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年採購案\中文電子書\上網公告版\"/>
    </mc:Choice>
  </mc:AlternateContent>
  <bookViews>
    <workbookView xWindow="100" yWindow="110" windowWidth="18110" windowHeight="7730"/>
  </bookViews>
  <sheets>
    <sheet name="2022 逢甲聯盟贈品(一年期書目)" sheetId="1" r:id="rId1"/>
  </sheets>
  <calcPr calcId="162913"/>
</workbook>
</file>

<file path=xl/calcChain.xml><?xml version="1.0" encoding="utf-8"?>
<calcChain xmlns="http://schemas.openxmlformats.org/spreadsheetml/2006/main">
  <c r="K5049" i="1" l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2819" i="1" l="1"/>
  <c r="J977" i="1"/>
  <c r="J256" i="1"/>
  <c r="J255" i="1"/>
  <c r="J254" i="1"/>
  <c r="J253" i="1"/>
  <c r="J252" i="1"/>
  <c r="J251" i="1"/>
  <c r="J250" i="1"/>
  <c r="J287" i="1"/>
  <c r="J527" i="1"/>
  <c r="J249" i="1"/>
  <c r="J4624" i="1"/>
  <c r="J4610" i="1"/>
  <c r="J2244" i="1"/>
  <c r="J2745" i="1"/>
  <c r="J248" i="1"/>
  <c r="J247" i="1"/>
  <c r="J114" i="1"/>
  <c r="J115" i="1"/>
  <c r="J124" i="1"/>
  <c r="J246" i="1"/>
  <c r="J526" i="1"/>
  <c r="J123" i="1"/>
  <c r="J118" i="1"/>
  <c r="J113" i="1"/>
  <c r="J122" i="1"/>
  <c r="J121" i="1"/>
  <c r="J2935" i="1"/>
  <c r="J245" i="1"/>
  <c r="J244" i="1"/>
  <c r="J286" i="1"/>
  <c r="J525" i="1"/>
  <c r="J243" i="1"/>
  <c r="J692" i="1"/>
  <c r="J1110" i="1"/>
  <c r="J691" i="1"/>
  <c r="J1109" i="1"/>
  <c r="J690" i="1"/>
  <c r="J1108" i="1"/>
  <c r="J1497" i="1"/>
  <c r="J112" i="1"/>
  <c r="J117" i="1"/>
  <c r="J242" i="1"/>
  <c r="J2201" i="1"/>
  <c r="J800" i="1"/>
  <c r="J580" i="1"/>
  <c r="J1754" i="1"/>
  <c r="J434" i="1"/>
  <c r="J1753" i="1"/>
  <c r="J1107" i="1"/>
  <c r="J976" i="1"/>
  <c r="J108" i="1"/>
  <c r="J2553" i="1"/>
  <c r="J2552" i="1"/>
  <c r="J2551" i="1"/>
  <c r="J2550" i="1"/>
  <c r="J2549" i="1"/>
  <c r="J2548" i="1"/>
  <c r="J2547" i="1"/>
  <c r="J524" i="1"/>
  <c r="J523" i="1"/>
  <c r="J522" i="1"/>
  <c r="J285" i="1"/>
  <c r="J521" i="1"/>
  <c r="J358" i="1"/>
  <c r="J284" i="1"/>
  <c r="J241" i="1"/>
  <c r="J520" i="1"/>
  <c r="J357" i="1"/>
  <c r="J356" i="1"/>
  <c r="J519" i="1"/>
  <c r="J240" i="1"/>
  <c r="J355" i="1"/>
  <c r="J146" i="1"/>
  <c r="J354" i="1"/>
  <c r="J1160" i="1"/>
  <c r="J145" i="1"/>
  <c r="J542" i="1"/>
  <c r="J1106" i="1"/>
  <c r="J1159" i="1"/>
  <c r="J1158" i="1"/>
  <c r="J1157" i="1"/>
  <c r="J1156" i="1"/>
  <c r="J1105" i="1"/>
  <c r="J1155" i="1"/>
  <c r="J1104" i="1"/>
  <c r="J1103" i="1"/>
  <c r="J1945" i="1"/>
  <c r="J1944" i="1"/>
  <c r="J1154" i="1"/>
  <c r="J283" i="1"/>
  <c r="J1102" i="1"/>
  <c r="J1101" i="1"/>
  <c r="J799" i="1"/>
  <c r="J1100" i="1"/>
  <c r="J1153" i="1"/>
  <c r="J433" i="1"/>
  <c r="J432" i="1"/>
  <c r="J431" i="1"/>
  <c r="J239" i="1"/>
  <c r="J238" i="1"/>
  <c r="J237" i="1"/>
  <c r="J975" i="1"/>
  <c r="J2546" i="1"/>
  <c r="J353" i="1"/>
  <c r="J144" i="1"/>
  <c r="J236" i="1"/>
  <c r="J518" i="1"/>
  <c r="J235" i="1"/>
  <c r="J517" i="1"/>
  <c r="J111" i="1"/>
  <c r="J282" i="1"/>
  <c r="J110" i="1"/>
  <c r="J281" i="1"/>
  <c r="J116" i="1"/>
  <c r="J352" i="1"/>
  <c r="J351" i="1"/>
  <c r="J2744" i="1"/>
  <c r="J2743" i="1"/>
  <c r="J2742" i="1"/>
  <c r="J350" i="1"/>
  <c r="J689" i="1"/>
  <c r="J1099" i="1"/>
  <c r="J234" i="1"/>
  <c r="J349" i="1"/>
  <c r="J2741" i="1"/>
  <c r="J348" i="1"/>
  <c r="J347" i="1"/>
  <c r="J541" i="1"/>
  <c r="J143" i="1"/>
  <c r="J346" i="1"/>
  <c r="J430" i="1"/>
  <c r="J345" i="1"/>
  <c r="J429" i="1"/>
  <c r="J516" i="1"/>
  <c r="J142" i="1"/>
  <c r="J428" i="1"/>
  <c r="J427" i="1"/>
  <c r="J426" i="1"/>
  <c r="J344" i="1"/>
  <c r="J343" i="1"/>
  <c r="J342" i="1"/>
  <c r="J341" i="1"/>
  <c r="J340" i="1"/>
  <c r="J339" i="1"/>
  <c r="J338" i="1"/>
  <c r="J337" i="1"/>
  <c r="J515" i="1"/>
  <c r="J425" i="1"/>
  <c r="J109" i="1"/>
  <c r="J233" i="1"/>
  <c r="J424" i="1"/>
  <c r="J423" i="1"/>
  <c r="J336" i="1"/>
  <c r="J232" i="1"/>
  <c r="J120" i="1"/>
  <c r="J231" i="1"/>
  <c r="J119" i="1"/>
  <c r="J688" i="1"/>
  <c r="J687" i="1"/>
  <c r="J280" i="1"/>
  <c r="J514" i="1"/>
  <c r="J513" i="1"/>
  <c r="J512" i="1"/>
  <c r="J279" i="1"/>
  <c r="J278" i="1"/>
  <c r="J540" i="1"/>
  <c r="J141" i="1"/>
  <c r="J140" i="1"/>
  <c r="J422" i="1"/>
  <c r="J421" i="1"/>
  <c r="J277" i="1"/>
  <c r="J276" i="1"/>
  <c r="J275" i="1"/>
  <c r="J274" i="1"/>
  <c r="J511" i="1"/>
  <c r="J510" i="1"/>
  <c r="J273" i="1"/>
  <c r="J272" i="1"/>
  <c r="J509" i="1"/>
  <c r="J271" i="1"/>
  <c r="J270" i="1"/>
  <c r="J269" i="1"/>
  <c r="J268" i="1"/>
  <c r="J267" i="1"/>
  <c r="J266" i="1"/>
  <c r="J1270" i="1"/>
  <c r="J420" i="1"/>
  <c r="J419" i="1"/>
  <c r="J418" i="1"/>
  <c r="J417" i="1"/>
  <c r="J416" i="1"/>
  <c r="J415" i="1"/>
  <c r="J974" i="1"/>
  <c r="J973" i="1"/>
  <c r="J230" i="1"/>
  <c r="J414" i="1"/>
  <c r="J413" i="1"/>
  <c r="J139" i="1"/>
  <c r="J138" i="1"/>
  <c r="J412" i="1"/>
  <c r="J508" i="1"/>
  <c r="J507" i="1"/>
  <c r="J335" i="1"/>
  <c r="J229" i="1"/>
  <c r="J228" i="1"/>
  <c r="J227" i="1"/>
  <c r="J226" i="1"/>
  <c r="J506" i="1"/>
  <c r="J225" i="1"/>
  <c r="J505" i="1"/>
  <c r="J224" i="1"/>
  <c r="J504" i="1"/>
  <c r="J503" i="1"/>
  <c r="J411" i="1"/>
  <c r="J502" i="1"/>
  <c r="J539" i="1"/>
  <c r="J265" i="1"/>
  <c r="J528" i="1"/>
  <c r="J1118" i="1"/>
  <c r="J798" i="1"/>
  <c r="J972" i="1"/>
  <c r="J971" i="1"/>
  <c r="J410" i="1"/>
  <c r="J409" i="1"/>
  <c r="J334" i="1"/>
  <c r="J223" i="1"/>
  <c r="J222" i="1"/>
  <c r="J333" i="1"/>
  <c r="J221" i="1"/>
  <c r="J408" i="1"/>
  <c r="J686" i="1"/>
  <c r="J538" i="1"/>
  <c r="J501" i="1"/>
  <c r="J220" i="1"/>
  <c r="J500" i="1"/>
  <c r="J499" i="1"/>
  <c r="J725" i="1"/>
  <c r="J797" i="1"/>
  <c r="J796" i="1"/>
  <c r="J1496" i="1"/>
  <c r="J685" i="1"/>
  <c r="J1098" i="1"/>
  <c r="J970" i="1"/>
  <c r="J684" i="1"/>
  <c r="J795" i="1"/>
  <c r="J724" i="1"/>
  <c r="J498" i="1"/>
  <c r="J497" i="1"/>
  <c r="J496" i="1"/>
  <c r="J407" i="1"/>
  <c r="J137" i="1"/>
  <c r="J1571" i="1"/>
  <c r="J794" i="1"/>
  <c r="J332" i="1"/>
  <c r="J495" i="1"/>
  <c r="J136" i="1"/>
  <c r="J331" i="1"/>
  <c r="J330" i="1"/>
  <c r="J329" i="1"/>
  <c r="J219" i="1"/>
  <c r="J218" i="1"/>
  <c r="J217" i="1"/>
  <c r="J216" i="1"/>
  <c r="J215" i="1"/>
  <c r="J406" i="1"/>
  <c r="J494" i="1"/>
  <c r="J537" i="1"/>
  <c r="J214" i="1"/>
  <c r="J493" i="1"/>
  <c r="J213" i="1"/>
  <c r="J492" i="1"/>
  <c r="J212" i="1"/>
  <c r="J1097" i="1"/>
  <c r="J491" i="1"/>
  <c r="J490" i="1"/>
  <c r="J211" i="1"/>
  <c r="J489" i="1"/>
  <c r="J328" i="1"/>
  <c r="J210" i="1"/>
  <c r="J209" i="1"/>
  <c r="J208" i="1"/>
  <c r="J207" i="1"/>
  <c r="J206" i="1"/>
  <c r="J488" i="1"/>
  <c r="J969" i="1"/>
  <c r="J968" i="1"/>
  <c r="J967" i="1"/>
  <c r="J966" i="1"/>
  <c r="J2934" i="1"/>
  <c r="J205" i="1"/>
  <c r="J327" i="1"/>
  <c r="J1096" i="1"/>
  <c r="J1095" i="1"/>
  <c r="J264" i="1"/>
  <c r="J965" i="1"/>
  <c r="J326" i="1"/>
  <c r="J405" i="1"/>
  <c r="J404" i="1"/>
  <c r="J964" i="1"/>
  <c r="J204" i="1"/>
  <c r="J487" i="1"/>
  <c r="J203" i="1"/>
  <c r="J486" i="1"/>
  <c r="J202" i="1"/>
  <c r="J201" i="1"/>
  <c r="J325" i="1"/>
  <c r="J485" i="1"/>
  <c r="J683" i="1"/>
  <c r="J200" i="1"/>
  <c r="J199" i="1"/>
  <c r="J324" i="1"/>
  <c r="J323" i="1"/>
  <c r="J198" i="1"/>
  <c r="J263" i="1"/>
  <c r="J197" i="1"/>
  <c r="J536" i="1"/>
  <c r="J196" i="1"/>
  <c r="J322" i="1"/>
  <c r="J963" i="1"/>
  <c r="J403" i="1"/>
  <c r="J402" i="1"/>
  <c r="J195" i="1"/>
  <c r="J401" i="1"/>
  <c r="J321" i="1"/>
  <c r="J262" i="1"/>
  <c r="J1094" i="1"/>
  <c r="J400" i="1"/>
  <c r="J399" i="1"/>
  <c r="J398" i="1"/>
  <c r="J397" i="1"/>
  <c r="J396" i="1"/>
  <c r="J395" i="1"/>
  <c r="J394" i="1"/>
  <c r="J393" i="1"/>
  <c r="J392" i="1"/>
  <c r="J391" i="1"/>
  <c r="J2002" i="1"/>
  <c r="J484" i="1"/>
  <c r="J1093" i="1"/>
  <c r="J1449" i="1"/>
  <c r="J1448" i="1"/>
  <c r="J1447" i="1"/>
  <c r="J1446" i="1"/>
  <c r="J1445" i="1"/>
  <c r="J194" i="1"/>
  <c r="J320" i="1"/>
  <c r="J483" i="1"/>
  <c r="J1444" i="1"/>
  <c r="J2933" i="1"/>
  <c r="J482" i="1"/>
  <c r="J481" i="1"/>
  <c r="J480" i="1"/>
  <c r="J1092" i="1"/>
  <c r="J1091" i="1"/>
  <c r="J1090" i="1"/>
  <c r="J1089" i="1"/>
  <c r="J1088" i="1"/>
  <c r="J479" i="1"/>
  <c r="J478" i="1"/>
  <c r="J477" i="1"/>
  <c r="J962" i="1"/>
  <c r="J319" i="1"/>
  <c r="J476" i="1"/>
  <c r="J318" i="1"/>
  <c r="J1087" i="1"/>
  <c r="J1086" i="1"/>
  <c r="J1085" i="1"/>
  <c r="J390" i="1"/>
  <c r="J475" i="1"/>
  <c r="J1084" i="1"/>
  <c r="J317" i="1"/>
  <c r="J389" i="1"/>
  <c r="J961" i="1"/>
  <c r="J135" i="1"/>
  <c r="J474" i="1"/>
  <c r="J388" i="1"/>
  <c r="J473" i="1"/>
  <c r="J261" i="1"/>
  <c r="J193" i="1"/>
  <c r="J316" i="1"/>
  <c r="J315" i="1"/>
  <c r="J472" i="1"/>
  <c r="J471" i="1"/>
  <c r="J134" i="1"/>
  <c r="J314" i="1"/>
  <c r="J313" i="1"/>
  <c r="J192" i="1"/>
  <c r="J191" i="1"/>
  <c r="J190" i="1"/>
  <c r="J189" i="1"/>
  <c r="J188" i="1"/>
  <c r="J387" i="1"/>
  <c r="J386" i="1"/>
  <c r="J470" i="1"/>
  <c r="J469" i="1"/>
  <c r="J468" i="1"/>
  <c r="J467" i="1"/>
  <c r="J723" i="1"/>
  <c r="J722" i="1"/>
  <c r="J1083" i="1"/>
  <c r="J466" i="1"/>
  <c r="J1269" i="1"/>
  <c r="J465" i="1"/>
  <c r="J312" i="1"/>
  <c r="J311" i="1"/>
  <c r="J310" i="1"/>
  <c r="J309" i="1"/>
  <c r="J793" i="1"/>
  <c r="J464" i="1"/>
  <c r="J463" i="1"/>
  <c r="J133" i="1"/>
  <c r="J682" i="1"/>
  <c r="J385" i="1"/>
  <c r="J308" i="1"/>
  <c r="J462" i="1"/>
  <c r="J187" i="1"/>
  <c r="J384" i="1"/>
  <c r="J383" i="1"/>
  <c r="J382" i="1"/>
  <c r="J186" i="1"/>
  <c r="J3436" i="1"/>
  <c r="J1082" i="1"/>
  <c r="J461" i="1"/>
  <c r="J150" i="1"/>
  <c r="J307" i="1"/>
  <c r="J185" i="1"/>
  <c r="J306" i="1"/>
  <c r="J149" i="1"/>
  <c r="J132" i="1"/>
  <c r="J148" i="1"/>
  <c r="J792" i="1"/>
  <c r="J681" i="1"/>
  <c r="J960" i="1"/>
  <c r="J680" i="1"/>
  <c r="J959" i="1"/>
  <c r="J3196" i="1"/>
  <c r="J679" i="1"/>
  <c r="J958" i="1"/>
  <c r="J957" i="1"/>
  <c r="J1268" i="1"/>
  <c r="J956" i="1"/>
  <c r="J955" i="1"/>
  <c r="J535" i="1"/>
  <c r="J460" i="1"/>
  <c r="J184" i="1"/>
  <c r="J1443" i="1"/>
  <c r="J954" i="1"/>
  <c r="J183" i="1"/>
  <c r="J182" i="1"/>
  <c r="J459" i="1"/>
  <c r="J131" i="1"/>
  <c r="J534" i="1"/>
  <c r="J533" i="1"/>
  <c r="J181" i="1"/>
  <c r="J458" i="1"/>
  <c r="J305" i="1"/>
  <c r="J457" i="1"/>
  <c r="J1570" i="1"/>
  <c r="J180" i="1"/>
  <c r="J456" i="1"/>
  <c r="J381" i="1"/>
  <c r="J380" i="1"/>
  <c r="J304" i="1"/>
  <c r="J455" i="1"/>
  <c r="J379" i="1"/>
  <c r="J2356" i="1"/>
  <c r="J953" i="1"/>
  <c r="J1442" i="1"/>
  <c r="J454" i="1"/>
  <c r="J260" i="1"/>
  <c r="J453" i="1"/>
  <c r="J259" i="1"/>
  <c r="J179" i="1"/>
  <c r="J721" i="1"/>
  <c r="J1081" i="1"/>
  <c r="J1080" i="1"/>
  <c r="J720" i="1"/>
  <c r="J719" i="1"/>
  <c r="J1495" i="1"/>
  <c r="J1494" i="1"/>
  <c r="J1493" i="1"/>
  <c r="J1441" i="1"/>
  <c r="J1492" i="1"/>
  <c r="J1491" i="1"/>
  <c r="J1490" i="1"/>
  <c r="J1943" i="1"/>
  <c r="J1942" i="1"/>
  <c r="J2545" i="1"/>
  <c r="J2544" i="1"/>
  <c r="J1941" i="1"/>
  <c r="J1940" i="1"/>
  <c r="J1939" i="1"/>
  <c r="J1938" i="1"/>
  <c r="J1937" i="1"/>
  <c r="J1936" i="1"/>
  <c r="J1935" i="1"/>
  <c r="J1934" i="1"/>
  <c r="J2243" i="1"/>
  <c r="J1933" i="1"/>
  <c r="J1932" i="1"/>
  <c r="J2740" i="1"/>
  <c r="J2739" i="1"/>
  <c r="J1931" i="1"/>
  <c r="J1930" i="1"/>
  <c r="J1929" i="1"/>
  <c r="J3369" i="1"/>
  <c r="J1928" i="1"/>
  <c r="J1927" i="1"/>
  <c r="J3368" i="1"/>
  <c r="J3367" i="1"/>
  <c r="J3366" i="1"/>
  <c r="J2932" i="1"/>
  <c r="J3435" i="1"/>
  <c r="J3365" i="1"/>
  <c r="J3195" i="1"/>
  <c r="J3364" i="1"/>
  <c r="J1752" i="1"/>
  <c r="J2543" i="1"/>
  <c r="J1079" i="1"/>
  <c r="J303" i="1"/>
  <c r="J678" i="1"/>
  <c r="J791" i="1"/>
  <c r="J1440" i="1"/>
  <c r="J1751" i="1"/>
  <c r="J1926" i="1"/>
  <c r="J718" i="1"/>
  <c r="J717" i="1"/>
  <c r="J1750" i="1"/>
  <c r="J1749" i="1"/>
  <c r="J302" i="1"/>
  <c r="J1078" i="1"/>
  <c r="J1439" i="1"/>
  <c r="J178" i="1"/>
  <c r="J1152" i="1"/>
  <c r="J677" i="1"/>
  <c r="J790" i="1"/>
  <c r="J1569" i="1"/>
  <c r="J1438" i="1"/>
  <c r="J789" i="1"/>
  <c r="J3434" i="1"/>
  <c r="J2931" i="1"/>
  <c r="J130" i="1"/>
  <c r="J579" i="1"/>
  <c r="J129" i="1"/>
  <c r="J378" i="1"/>
  <c r="J377" i="1"/>
  <c r="J301" i="1"/>
  <c r="J1077" i="1"/>
  <c r="J788" i="1"/>
  <c r="J300" i="1"/>
  <c r="J299" i="1"/>
  <c r="J298" i="1"/>
  <c r="J297" i="1"/>
  <c r="J296" i="1"/>
  <c r="J952" i="1"/>
  <c r="J578" i="1"/>
  <c r="J676" i="1"/>
  <c r="J1151" i="1"/>
  <c r="J787" i="1"/>
  <c r="J951" i="1"/>
  <c r="J950" i="1"/>
  <c r="J949" i="1"/>
  <c r="J948" i="1"/>
  <c r="J947" i="1"/>
  <c r="J577" i="1"/>
  <c r="J946" i="1"/>
  <c r="J1117" i="1"/>
  <c r="J945" i="1"/>
  <c r="J786" i="1"/>
  <c r="J944" i="1"/>
  <c r="J943" i="1"/>
  <c r="J1568" i="1"/>
  <c r="J942" i="1"/>
  <c r="J785" i="1"/>
  <c r="J941" i="1"/>
  <c r="J295" i="1"/>
  <c r="J532" i="1"/>
  <c r="J784" i="1"/>
  <c r="J675" i="1"/>
  <c r="J294" i="1"/>
  <c r="J376" i="1"/>
  <c r="J293" i="1"/>
  <c r="J783" i="1"/>
  <c r="J128" i="1"/>
  <c r="J452" i="1"/>
  <c r="J292" i="1"/>
  <c r="J177" i="1"/>
  <c r="J1748" i="1"/>
  <c r="J375" i="1"/>
  <c r="J374" i="1"/>
  <c r="J373" i="1"/>
  <c r="J940" i="1"/>
  <c r="J291" i="1"/>
  <c r="J782" i="1"/>
  <c r="J1076" i="1"/>
  <c r="J939" i="1"/>
  <c r="J290" i="1"/>
  <c r="J147" i="1"/>
  <c r="J372" i="1"/>
  <c r="J176" i="1"/>
  <c r="J175" i="1"/>
  <c r="J174" i="1"/>
  <c r="J173" i="1"/>
  <c r="J172" i="1"/>
  <c r="J451" i="1"/>
  <c r="J2001" i="1"/>
  <c r="J171" i="1"/>
  <c r="J371" i="1"/>
  <c r="J370" i="1"/>
  <c r="J450" i="1"/>
  <c r="J170" i="1"/>
  <c r="J449" i="1"/>
  <c r="J169" i="1"/>
  <c r="J168" i="1"/>
  <c r="J167" i="1"/>
  <c r="J166" i="1"/>
  <c r="J165" i="1"/>
  <c r="J164" i="1"/>
  <c r="J448" i="1"/>
  <c r="J369" i="1"/>
  <c r="J447" i="1"/>
  <c r="J368" i="1"/>
  <c r="J446" i="1"/>
  <c r="J163" i="1"/>
  <c r="J531" i="1"/>
  <c r="J674" i="1"/>
  <c r="J162" i="1"/>
  <c r="J161" i="1"/>
  <c r="J258" i="1"/>
  <c r="J445" i="1"/>
  <c r="J444" i="1"/>
  <c r="J443" i="1"/>
  <c r="J160" i="1"/>
  <c r="J159" i="1"/>
  <c r="J158" i="1"/>
  <c r="J257" i="1"/>
  <c r="J157" i="1"/>
  <c r="J442" i="1"/>
  <c r="J1437" i="1"/>
  <c r="J1489" i="1"/>
  <c r="J1925" i="1"/>
  <c r="J1924" i="1"/>
  <c r="J1436" i="1"/>
  <c r="J1923" i="1"/>
  <c r="J1922" i="1"/>
  <c r="J1921" i="1"/>
  <c r="J1920" i="1"/>
  <c r="J1919" i="1"/>
  <c r="J156" i="1"/>
  <c r="J289" i="1"/>
  <c r="J155" i="1"/>
  <c r="J441" i="1"/>
  <c r="J530" i="1"/>
  <c r="J154" i="1"/>
  <c r="J440" i="1"/>
  <c r="J367" i="1"/>
  <c r="J153" i="1"/>
  <c r="J439" i="1"/>
  <c r="J366" i="1"/>
  <c r="J365" i="1"/>
  <c r="J364" i="1"/>
  <c r="J152" i="1"/>
  <c r="J288" i="1"/>
  <c r="J438" i="1"/>
  <c r="J151" i="1"/>
  <c r="J2000" i="1"/>
  <c r="J673" i="1"/>
  <c r="J781" i="1"/>
  <c r="J1747" i="1"/>
  <c r="J1746" i="1"/>
  <c r="J938" i="1"/>
  <c r="J1745" i="1"/>
  <c r="J1267" i="1"/>
  <c r="J1744" i="1"/>
  <c r="J937" i="1"/>
  <c r="J1567" i="1"/>
  <c r="J936" i="1"/>
  <c r="J935" i="1"/>
  <c r="J672" i="1"/>
  <c r="J671" i="1"/>
  <c r="J670" i="1"/>
  <c r="J934" i="1"/>
  <c r="J933" i="1"/>
  <c r="J3363" i="1"/>
  <c r="J3433" i="1"/>
  <c r="J1918" i="1"/>
  <c r="J1488" i="1"/>
  <c r="J1487" i="1"/>
  <c r="J1486" i="1"/>
  <c r="J1917" i="1"/>
  <c r="J1916" i="1"/>
  <c r="J1915" i="1"/>
  <c r="J1266" i="1"/>
  <c r="J1435" i="1"/>
  <c r="J2930" i="1"/>
  <c r="J3362" i="1"/>
  <c r="J2200" i="1"/>
  <c r="J1743" i="1"/>
  <c r="J2542" i="1"/>
  <c r="J1075" i="1"/>
  <c r="J932" i="1"/>
  <c r="J669" i="1"/>
  <c r="J931" i="1"/>
  <c r="J576" i="1"/>
  <c r="J1074" i="1"/>
  <c r="J575" i="1"/>
  <c r="J930" i="1"/>
  <c r="J1742" i="1"/>
  <c r="J1741" i="1"/>
  <c r="J2541" i="1"/>
  <c r="J2540" i="1"/>
  <c r="J2539" i="1"/>
  <c r="J2538" i="1"/>
  <c r="J2537" i="1"/>
  <c r="J2536" i="1"/>
  <c r="J1073" i="1"/>
  <c r="J1072" i="1"/>
  <c r="J2929" i="1"/>
  <c r="J2928" i="1"/>
  <c r="J2818" i="1"/>
  <c r="J1434" i="1"/>
  <c r="J780" i="1"/>
  <c r="J1150" i="1"/>
  <c r="J1071" i="1"/>
  <c r="J716" i="1"/>
  <c r="J668" i="1"/>
  <c r="J929" i="1"/>
  <c r="J363" i="1"/>
  <c r="J928" i="1"/>
  <c r="J927" i="1"/>
  <c r="J926" i="1"/>
  <c r="J925" i="1"/>
  <c r="J924" i="1"/>
  <c r="J923" i="1"/>
  <c r="J667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362" i="1"/>
  <c r="J529" i="1"/>
  <c r="J361" i="1"/>
  <c r="J437" i="1"/>
  <c r="J436" i="1"/>
  <c r="J779" i="1"/>
  <c r="J666" i="1"/>
  <c r="J903" i="1"/>
  <c r="J902" i="1"/>
  <c r="J1740" i="1"/>
  <c r="J1739" i="1"/>
  <c r="J2535" i="1"/>
  <c r="J1070" i="1"/>
  <c r="J778" i="1"/>
  <c r="J574" i="1"/>
  <c r="J1149" i="1"/>
  <c r="J1566" i="1"/>
  <c r="J1069" i="1"/>
  <c r="J1738" i="1"/>
  <c r="J593" i="1"/>
  <c r="J2738" i="1"/>
  <c r="J573" i="1"/>
  <c r="J2737" i="1"/>
  <c r="J2736" i="1"/>
  <c r="J2735" i="1"/>
  <c r="J2734" i="1"/>
  <c r="J3361" i="1"/>
  <c r="J4068" i="1"/>
  <c r="J2733" i="1"/>
  <c r="J1914" i="1"/>
  <c r="J2064" i="1"/>
  <c r="J1068" i="1"/>
  <c r="J1433" i="1"/>
  <c r="J1913" i="1"/>
  <c r="J1912" i="1"/>
  <c r="J1265" i="1"/>
  <c r="J901" i="1"/>
  <c r="J1148" i="1"/>
  <c r="J665" i="1"/>
  <c r="J1911" i="1"/>
  <c r="J360" i="1"/>
  <c r="J572" i="1"/>
  <c r="J900" i="1"/>
  <c r="J899" i="1"/>
  <c r="J664" i="1"/>
  <c r="J663" i="1"/>
  <c r="J662" i="1"/>
  <c r="J661" i="1"/>
  <c r="J660" i="1"/>
  <c r="J659" i="1"/>
  <c r="J658" i="1"/>
  <c r="J898" i="1"/>
  <c r="J777" i="1"/>
  <c r="J776" i="1"/>
  <c r="J1147" i="1"/>
  <c r="J775" i="1"/>
  <c r="J774" i="1"/>
  <c r="J773" i="1"/>
  <c r="J772" i="1"/>
  <c r="J771" i="1"/>
  <c r="J897" i="1"/>
  <c r="J3432" i="1"/>
  <c r="J1264" i="1"/>
  <c r="J1565" i="1"/>
  <c r="J1263" i="1"/>
  <c r="J1999" i="1"/>
  <c r="J1432" i="1"/>
  <c r="J1262" i="1"/>
  <c r="J1564" i="1"/>
  <c r="J896" i="1"/>
  <c r="J895" i="1"/>
  <c r="J1146" i="1"/>
  <c r="J1145" i="1"/>
  <c r="J1144" i="1"/>
  <c r="J894" i="1"/>
  <c r="J893" i="1"/>
  <c r="J657" i="1"/>
  <c r="J892" i="1"/>
  <c r="J891" i="1"/>
  <c r="J715" i="1"/>
  <c r="J770" i="1"/>
  <c r="J1563" i="1"/>
  <c r="J890" i="1"/>
  <c r="J889" i="1"/>
  <c r="J769" i="1"/>
  <c r="J592" i="1"/>
  <c r="J768" i="1"/>
  <c r="J2534" i="1"/>
  <c r="J2780" i="1"/>
  <c r="J2732" i="1"/>
  <c r="J2731" i="1"/>
  <c r="J2779" i="1"/>
  <c r="J2242" i="1"/>
  <c r="J2964" i="1"/>
  <c r="J2199" i="1"/>
  <c r="J2963" i="1"/>
  <c r="J656" i="1"/>
  <c r="J655" i="1"/>
  <c r="J888" i="1"/>
  <c r="J1067" i="1"/>
  <c r="J654" i="1"/>
  <c r="J1910" i="1"/>
  <c r="J653" i="1"/>
  <c r="J1431" i="1"/>
  <c r="J652" i="1"/>
  <c r="J1430" i="1"/>
  <c r="J1116" i="1"/>
  <c r="J767" i="1"/>
  <c r="J651" i="1"/>
  <c r="J650" i="1"/>
  <c r="J887" i="1"/>
  <c r="J1737" i="1"/>
  <c r="J3360" i="1"/>
  <c r="J1115" i="1"/>
  <c r="J766" i="1"/>
  <c r="J649" i="1"/>
  <c r="J1066" i="1"/>
  <c r="J571" i="1"/>
  <c r="J714" i="1"/>
  <c r="J2533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1998" i="1"/>
  <c r="J1261" i="1"/>
  <c r="J1260" i="1"/>
  <c r="J1259" i="1"/>
  <c r="J1143" i="1"/>
  <c r="J648" i="1"/>
  <c r="J570" i="1"/>
  <c r="J1065" i="1"/>
  <c r="J1064" i="1"/>
  <c r="J1063" i="1"/>
  <c r="J1062" i="1"/>
  <c r="J1061" i="1"/>
  <c r="J1562" i="1"/>
  <c r="J1060" i="1"/>
  <c r="J1429" i="1"/>
  <c r="J1258" i="1"/>
  <c r="J1428" i="1"/>
  <c r="J1257" i="1"/>
  <c r="J1256" i="1"/>
  <c r="J1255" i="1"/>
  <c r="J1427" i="1"/>
  <c r="J1426" i="1"/>
  <c r="J1425" i="1"/>
  <c r="J1254" i="1"/>
  <c r="J1253" i="1"/>
  <c r="J1252" i="1"/>
  <c r="J1251" i="1"/>
  <c r="J1250" i="1"/>
  <c r="J1424" i="1"/>
  <c r="J1249" i="1"/>
  <c r="J1248" i="1"/>
  <c r="J1247" i="1"/>
  <c r="J1246" i="1"/>
  <c r="J1245" i="1"/>
  <c r="J1423" i="1"/>
  <c r="J2198" i="1"/>
  <c r="J1244" i="1"/>
  <c r="J2053" i="1"/>
  <c r="J2197" i="1"/>
  <c r="J2196" i="1"/>
  <c r="J2817" i="1"/>
  <c r="J2816" i="1"/>
  <c r="J2815" i="1"/>
  <c r="J1422" i="1"/>
  <c r="J2241" i="1"/>
  <c r="J1909" i="1"/>
  <c r="J1485" i="1"/>
  <c r="J1908" i="1"/>
  <c r="J1484" i="1"/>
  <c r="J569" i="1"/>
  <c r="J1907" i="1"/>
  <c r="J1421" i="1"/>
  <c r="J2715" i="1"/>
  <c r="J2240" i="1"/>
  <c r="J2714" i="1"/>
  <c r="J2713" i="1"/>
  <c r="J2712" i="1"/>
  <c r="J2711" i="1"/>
  <c r="J713" i="1"/>
  <c r="J712" i="1"/>
  <c r="J1142" i="1"/>
  <c r="J647" i="1"/>
  <c r="J1141" i="1"/>
  <c r="J1140" i="1"/>
  <c r="J886" i="1"/>
  <c r="J885" i="1"/>
  <c r="J568" i="1"/>
  <c r="J884" i="1"/>
  <c r="J567" i="1"/>
  <c r="J883" i="1"/>
  <c r="J1139" i="1"/>
  <c r="J591" i="1"/>
  <c r="J646" i="1"/>
  <c r="J2710" i="1"/>
  <c r="J2239" i="1"/>
  <c r="J765" i="1"/>
  <c r="J711" i="1"/>
  <c r="J710" i="1"/>
  <c r="J1059" i="1"/>
  <c r="J709" i="1"/>
  <c r="J708" i="1"/>
  <c r="J707" i="1"/>
  <c r="J706" i="1"/>
  <c r="J705" i="1"/>
  <c r="J704" i="1"/>
  <c r="J1058" i="1"/>
  <c r="J764" i="1"/>
  <c r="J566" i="1"/>
  <c r="J1057" i="1"/>
  <c r="J1138" i="1"/>
  <c r="J1243" i="1"/>
  <c r="J1997" i="1"/>
  <c r="J1996" i="1"/>
  <c r="J1995" i="1"/>
  <c r="J2063" i="1"/>
  <c r="J2238" i="1"/>
  <c r="J2237" i="1"/>
  <c r="J3359" i="1"/>
  <c r="J3358" i="1"/>
  <c r="J3357" i="1"/>
  <c r="J3356" i="1"/>
  <c r="J3355" i="1"/>
  <c r="J3354" i="1"/>
  <c r="J1114" i="1"/>
  <c r="J1056" i="1"/>
  <c r="J882" i="1"/>
  <c r="J881" i="1"/>
  <c r="J1055" i="1"/>
  <c r="J880" i="1"/>
  <c r="J879" i="1"/>
  <c r="J878" i="1"/>
  <c r="J877" i="1"/>
  <c r="J1054" i="1"/>
  <c r="J1053" i="1"/>
  <c r="J876" i="1"/>
  <c r="J1052" i="1"/>
  <c r="J1051" i="1"/>
  <c r="J1242" i="1"/>
  <c r="J1736" i="1"/>
  <c r="J1735" i="1"/>
  <c r="J1734" i="1"/>
  <c r="J1733" i="1"/>
  <c r="J2195" i="1"/>
  <c r="J2194" i="1"/>
  <c r="J2355" i="1"/>
  <c r="J2193" i="1"/>
  <c r="J1732" i="1"/>
  <c r="J1731" i="1"/>
  <c r="J2532" i="1"/>
  <c r="J2531" i="1"/>
  <c r="J2530" i="1"/>
  <c r="J1730" i="1"/>
  <c r="J1729" i="1"/>
  <c r="J1728" i="1"/>
  <c r="J2529" i="1"/>
  <c r="J2528" i="1"/>
  <c r="J645" i="1"/>
  <c r="J644" i="1"/>
  <c r="J875" i="1"/>
  <c r="J1050" i="1"/>
  <c r="J1049" i="1"/>
  <c r="J1241" i="1"/>
  <c r="J2927" i="1"/>
  <c r="J2709" i="1"/>
  <c r="J2236" i="1"/>
  <c r="J1561" i="1"/>
  <c r="J2814" i="1"/>
  <c r="J2527" i="1"/>
  <c r="J1994" i="1"/>
  <c r="J1560" i="1"/>
  <c r="J2354" i="1"/>
  <c r="J3353" i="1"/>
  <c r="J3352" i="1"/>
  <c r="J3351" i="1"/>
  <c r="J3350" i="1"/>
  <c r="J3349" i="1"/>
  <c r="J3348" i="1"/>
  <c r="J1993" i="1"/>
  <c r="J1137" i="1"/>
  <c r="J763" i="1"/>
  <c r="J1136" i="1"/>
  <c r="J1559" i="1"/>
  <c r="J565" i="1"/>
  <c r="J1048" i="1"/>
  <c r="J1047" i="1"/>
  <c r="J1046" i="1"/>
  <c r="J874" i="1"/>
  <c r="J590" i="1"/>
  <c r="J589" i="1"/>
  <c r="J588" i="1"/>
  <c r="J1906" i="1"/>
  <c r="J1280" i="1"/>
  <c r="J1279" i="1"/>
  <c r="J1278" i="1"/>
  <c r="J1277" i="1"/>
  <c r="J564" i="1"/>
  <c r="J1992" i="1"/>
  <c r="J1240" i="1"/>
  <c r="J1045" i="1"/>
  <c r="J1239" i="1"/>
  <c r="J1238" i="1"/>
  <c r="J703" i="1"/>
  <c r="J643" i="1"/>
  <c r="J642" i="1"/>
  <c r="J641" i="1"/>
  <c r="J873" i="1"/>
  <c r="J872" i="1"/>
  <c r="J1044" i="1"/>
  <c r="J1043" i="1"/>
  <c r="J563" i="1"/>
  <c r="J1135" i="1"/>
  <c r="J1420" i="1"/>
  <c r="J1419" i="1"/>
  <c r="J1418" i="1"/>
  <c r="J1417" i="1"/>
  <c r="J1991" i="1"/>
  <c r="J1042" i="1"/>
  <c r="J871" i="1"/>
  <c r="J1041" i="1"/>
  <c r="J870" i="1"/>
  <c r="J869" i="1"/>
  <c r="J640" i="1"/>
  <c r="J868" i="1"/>
  <c r="J562" i="1"/>
  <c r="J867" i="1"/>
  <c r="J866" i="1"/>
  <c r="J865" i="1"/>
  <c r="J864" i="1"/>
  <c r="J863" i="1"/>
  <c r="J561" i="1"/>
  <c r="J862" i="1"/>
  <c r="J1040" i="1"/>
  <c r="J560" i="1"/>
  <c r="J1039" i="1"/>
  <c r="J762" i="1"/>
  <c r="J761" i="1"/>
  <c r="J1134" i="1"/>
  <c r="J760" i="1"/>
  <c r="J759" i="1"/>
  <c r="J758" i="1"/>
  <c r="J1038" i="1"/>
  <c r="J1037" i="1"/>
  <c r="J1133" i="1"/>
  <c r="J1727" i="1"/>
  <c r="J861" i="1"/>
  <c r="J860" i="1"/>
  <c r="J757" i="1"/>
  <c r="J1990" i="1"/>
  <c r="J859" i="1"/>
  <c r="J858" i="1"/>
  <c r="J857" i="1"/>
  <c r="J856" i="1"/>
  <c r="J639" i="1"/>
  <c r="J638" i="1"/>
  <c r="J855" i="1"/>
  <c r="J854" i="1"/>
  <c r="J1132" i="1"/>
  <c r="J1131" i="1"/>
  <c r="J756" i="1"/>
  <c r="J1130" i="1"/>
  <c r="J637" i="1"/>
  <c r="J853" i="1"/>
  <c r="J559" i="1"/>
  <c r="J852" i="1"/>
  <c r="J558" i="1"/>
  <c r="J557" i="1"/>
  <c r="J1726" i="1"/>
  <c r="J851" i="1"/>
  <c r="J850" i="1"/>
  <c r="J849" i="1"/>
  <c r="J848" i="1"/>
  <c r="J755" i="1"/>
  <c r="J1036" i="1"/>
  <c r="J1989" i="1"/>
  <c r="J1988" i="1"/>
  <c r="J3347" i="1"/>
  <c r="J636" i="1"/>
  <c r="J1035" i="1"/>
  <c r="J1953" i="1"/>
  <c r="J1113" i="1"/>
  <c r="J1952" i="1"/>
  <c r="J1725" i="1"/>
  <c r="J1724" i="1"/>
  <c r="J1723" i="1"/>
  <c r="J847" i="1"/>
  <c r="J754" i="1"/>
  <c r="J846" i="1"/>
  <c r="J1722" i="1"/>
  <c r="J1721" i="1"/>
  <c r="J1129" i="1"/>
  <c r="J635" i="1"/>
  <c r="J1034" i="1"/>
  <c r="J634" i="1"/>
  <c r="J633" i="1"/>
  <c r="J632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033" i="1"/>
  <c r="J845" i="1"/>
  <c r="J753" i="1"/>
  <c r="J1032" i="1"/>
  <c r="J631" i="1"/>
  <c r="J844" i="1"/>
  <c r="J752" i="1"/>
  <c r="J1031" i="1"/>
  <c r="J1699" i="1"/>
  <c r="J1698" i="1"/>
  <c r="J1697" i="1"/>
  <c r="J843" i="1"/>
  <c r="J842" i="1"/>
  <c r="J841" i="1"/>
  <c r="J751" i="1"/>
  <c r="J1128" i="1"/>
  <c r="J630" i="1"/>
  <c r="J556" i="1"/>
  <c r="J555" i="1"/>
  <c r="J554" i="1"/>
  <c r="J1416" i="1"/>
  <c r="J750" i="1"/>
  <c r="J749" i="1"/>
  <c r="J748" i="1"/>
  <c r="J2526" i="1"/>
  <c r="J629" i="1"/>
  <c r="J628" i="1"/>
  <c r="J1905" i="1"/>
  <c r="J1904" i="1"/>
  <c r="J627" i="1"/>
  <c r="J747" i="1"/>
  <c r="J1127" i="1"/>
  <c r="J626" i="1"/>
  <c r="J553" i="1"/>
  <c r="J625" i="1"/>
  <c r="J1030" i="1"/>
  <c r="J1029" i="1"/>
  <c r="J746" i="1"/>
  <c r="J840" i="1"/>
  <c r="J839" i="1"/>
  <c r="J1028" i="1"/>
  <c r="J1027" i="1"/>
  <c r="J1696" i="1"/>
  <c r="J2525" i="1"/>
  <c r="J1987" i="1"/>
  <c r="J1695" i="1"/>
  <c r="J1694" i="1"/>
  <c r="J838" i="1"/>
  <c r="J624" i="1"/>
  <c r="J837" i="1"/>
  <c r="J623" i="1"/>
  <c r="J1026" i="1"/>
  <c r="J1025" i="1"/>
  <c r="J1951" i="1"/>
  <c r="J2524" i="1"/>
  <c r="J2523" i="1"/>
  <c r="J2522" i="1"/>
  <c r="J3194" i="1"/>
  <c r="J836" i="1"/>
  <c r="J1024" i="1"/>
  <c r="J1112" i="1"/>
  <c r="J622" i="1"/>
  <c r="J621" i="1"/>
  <c r="J1415" i="1"/>
  <c r="J1903" i="1"/>
  <c r="J2813" i="1"/>
  <c r="J2812" i="1"/>
  <c r="J2811" i="1"/>
  <c r="J2926" i="1"/>
  <c r="J2925" i="1"/>
  <c r="J3431" i="1"/>
  <c r="J2924" i="1"/>
  <c r="J2923" i="1"/>
  <c r="J620" i="1"/>
  <c r="J619" i="1"/>
  <c r="J587" i="1"/>
  <c r="J586" i="1"/>
  <c r="J552" i="1"/>
  <c r="J702" i="1"/>
  <c r="J701" i="1"/>
  <c r="J551" i="1"/>
  <c r="J550" i="1"/>
  <c r="J835" i="1"/>
  <c r="J834" i="1"/>
  <c r="J1023" i="1"/>
  <c r="J833" i="1"/>
  <c r="J832" i="1"/>
  <c r="J831" i="1"/>
  <c r="J830" i="1"/>
  <c r="J700" i="1"/>
  <c r="J699" i="1"/>
  <c r="J829" i="1"/>
  <c r="J698" i="1"/>
  <c r="J1022" i="1"/>
  <c r="J828" i="1"/>
  <c r="J745" i="1"/>
  <c r="J744" i="1"/>
  <c r="J697" i="1"/>
  <c r="J743" i="1"/>
  <c r="J742" i="1"/>
  <c r="J741" i="1"/>
  <c r="J740" i="1"/>
  <c r="J739" i="1"/>
  <c r="J738" i="1"/>
  <c r="J737" i="1"/>
  <c r="J736" i="1"/>
  <c r="J827" i="1"/>
  <c r="J1021" i="1"/>
  <c r="J618" i="1"/>
  <c r="J826" i="1"/>
  <c r="J1020" i="1"/>
  <c r="J1019" i="1"/>
  <c r="J735" i="1"/>
  <c r="J734" i="1"/>
  <c r="J733" i="1"/>
  <c r="J732" i="1"/>
  <c r="J696" i="1"/>
  <c r="J1558" i="1"/>
  <c r="J1557" i="1"/>
  <c r="J1414" i="1"/>
  <c r="J1556" i="1"/>
  <c r="J1693" i="1"/>
  <c r="J1555" i="1"/>
  <c r="J1237" i="1"/>
  <c r="J1554" i="1"/>
  <c r="J1236" i="1"/>
  <c r="J1692" i="1"/>
  <c r="J1691" i="1"/>
  <c r="J825" i="1"/>
  <c r="J824" i="1"/>
  <c r="J1690" i="1"/>
  <c r="J1689" i="1"/>
  <c r="J731" i="1"/>
  <c r="J1018" i="1"/>
  <c r="J1111" i="1"/>
  <c r="J2521" i="1"/>
  <c r="J2520" i="1"/>
  <c r="J2519" i="1"/>
  <c r="J2518" i="1"/>
  <c r="J2517" i="1"/>
  <c r="J2516" i="1"/>
  <c r="J2052" i="1"/>
  <c r="J2051" i="1"/>
  <c r="J2708" i="1"/>
  <c r="J2810" i="1"/>
  <c r="J2050" i="1"/>
  <c r="J2515" i="1"/>
  <c r="J1017" i="1"/>
  <c r="J1016" i="1"/>
  <c r="J1015" i="1"/>
  <c r="J1014" i="1"/>
  <c r="J1013" i="1"/>
  <c r="J1012" i="1"/>
  <c r="J1011" i="1"/>
  <c r="J1010" i="1"/>
  <c r="J1009" i="1"/>
  <c r="J1553" i="1"/>
  <c r="J1235" i="1"/>
  <c r="J2514" i="1"/>
  <c r="J2513" i="1"/>
  <c r="J2192" i="1"/>
  <c r="J2778" i="1"/>
  <c r="J1902" i="1"/>
  <c r="J1950" i="1"/>
  <c r="J2353" i="1"/>
  <c r="J2352" i="1"/>
  <c r="J823" i="1"/>
  <c r="J822" i="1"/>
  <c r="J2512" i="1"/>
  <c r="J2351" i="1"/>
  <c r="J1413" i="1"/>
  <c r="J1901" i="1"/>
  <c r="J1688" i="1"/>
  <c r="J3346" i="1"/>
  <c r="J2511" i="1"/>
  <c r="J2510" i="1"/>
  <c r="J2707" i="1"/>
  <c r="J2706" i="1"/>
  <c r="J1552" i="1"/>
  <c r="J2350" i="1"/>
  <c r="J2349" i="1"/>
  <c r="J2235" i="1"/>
  <c r="J1900" i="1"/>
  <c r="J1899" i="1"/>
  <c r="J1687" i="1"/>
  <c r="J1986" i="1"/>
  <c r="J1686" i="1"/>
  <c r="J1685" i="1"/>
  <c r="J1234" i="1"/>
  <c r="J1233" i="1"/>
  <c r="J1412" i="1"/>
  <c r="J1411" i="1"/>
  <c r="J2922" i="1"/>
  <c r="J2191" i="1"/>
  <c r="J2705" i="1"/>
  <c r="J2234" i="1"/>
  <c r="J2190" i="1"/>
  <c r="J695" i="1"/>
  <c r="J585" i="1"/>
  <c r="J694" i="1"/>
  <c r="J821" i="1"/>
  <c r="J617" i="1"/>
  <c r="J616" i="1"/>
  <c r="J820" i="1"/>
  <c r="J819" i="1"/>
  <c r="J1232" i="1"/>
  <c r="J1898" i="1"/>
  <c r="J1231" i="1"/>
  <c r="J1410" i="1"/>
  <c r="J1409" i="1"/>
  <c r="J1408" i="1"/>
  <c r="J1230" i="1"/>
  <c r="J1684" i="1"/>
  <c r="J1407" i="1"/>
  <c r="J1406" i="1"/>
  <c r="J1985" i="1"/>
  <c r="J1405" i="1"/>
  <c r="J1404" i="1"/>
  <c r="J1483" i="1"/>
  <c r="J1897" i="1"/>
  <c r="J1229" i="1"/>
  <c r="J1228" i="1"/>
  <c r="J1227" i="1"/>
  <c r="J1226" i="1"/>
  <c r="J1683" i="1"/>
  <c r="J1682" i="1"/>
  <c r="J1403" i="1"/>
  <c r="J1402" i="1"/>
  <c r="J1896" i="1"/>
  <c r="J1225" i="1"/>
  <c r="J1401" i="1"/>
  <c r="J1400" i="1"/>
  <c r="J1399" i="1"/>
  <c r="J1895" i="1"/>
  <c r="J1398" i="1"/>
  <c r="J2704" i="1"/>
  <c r="J3345" i="1"/>
  <c r="J2703" i="1"/>
  <c r="J2777" i="1"/>
  <c r="J1224" i="1"/>
  <c r="J1397" i="1"/>
  <c r="J1681" i="1"/>
  <c r="J1223" i="1"/>
  <c r="J1396" i="1"/>
  <c r="J1222" i="1"/>
  <c r="J1221" i="1"/>
  <c r="J1395" i="1"/>
  <c r="J1680" i="1"/>
  <c r="J1008" i="1"/>
  <c r="J730" i="1"/>
  <c r="J729" i="1"/>
  <c r="J549" i="1"/>
  <c r="J1007" i="1"/>
  <c r="J1006" i="1"/>
  <c r="J818" i="1"/>
  <c r="J1894" i="1"/>
  <c r="J615" i="1"/>
  <c r="J817" i="1"/>
  <c r="J1126" i="1"/>
  <c r="J1005" i="1"/>
  <c r="J1679" i="1"/>
  <c r="J1125" i="1"/>
  <c r="J1678" i="1"/>
  <c r="J1677" i="1"/>
  <c r="J1676" i="1"/>
  <c r="J1675" i="1"/>
  <c r="J2776" i="1"/>
  <c r="J584" i="1"/>
  <c r="J1004" i="1"/>
  <c r="J1482" i="1"/>
  <c r="J1481" i="1"/>
  <c r="J1480" i="1"/>
  <c r="J1893" i="1"/>
  <c r="J1479" i="1"/>
  <c r="J1478" i="1"/>
  <c r="J1477" i="1"/>
  <c r="J1476" i="1"/>
  <c r="J1475" i="1"/>
  <c r="J1474" i="1"/>
  <c r="J1892" i="1"/>
  <c r="J2921" i="1"/>
  <c r="J3596" i="1"/>
  <c r="J3595" i="1"/>
  <c r="J2920" i="1"/>
  <c r="J2189" i="1"/>
  <c r="J3594" i="1"/>
  <c r="J2919" i="1"/>
  <c r="J2188" i="1"/>
  <c r="J2918" i="1"/>
  <c r="J3193" i="1"/>
  <c r="J816" i="1"/>
  <c r="J1891" i="1"/>
  <c r="J728" i="1"/>
  <c r="J1220" i="1"/>
  <c r="J548" i="1"/>
  <c r="J1394" i="1"/>
  <c r="J1003" i="1"/>
  <c r="J1124" i="1"/>
  <c r="J1473" i="1"/>
  <c r="J2509" i="1"/>
  <c r="J815" i="1"/>
  <c r="J1551" i="1"/>
  <c r="J1002" i="1"/>
  <c r="J1001" i="1"/>
  <c r="J1000" i="1"/>
  <c r="J999" i="1"/>
  <c r="J998" i="1"/>
  <c r="J997" i="1"/>
  <c r="J996" i="1"/>
  <c r="J614" i="1"/>
  <c r="J995" i="1"/>
  <c r="J547" i="1"/>
  <c r="J814" i="1"/>
  <c r="J2348" i="1"/>
  <c r="J1393" i="1"/>
  <c r="J613" i="1"/>
  <c r="J1219" i="1"/>
  <c r="J1984" i="1"/>
  <c r="J1218" i="1"/>
  <c r="J1217" i="1"/>
  <c r="J1983" i="1"/>
  <c r="J2775" i="1"/>
  <c r="J1392" i="1"/>
  <c r="J1472" i="1"/>
  <c r="J1216" i="1"/>
  <c r="J1391" i="1"/>
  <c r="J1390" i="1"/>
  <c r="J1389" i="1"/>
  <c r="J1388" i="1"/>
  <c r="J1387" i="1"/>
  <c r="J2702" i="1"/>
  <c r="J3344" i="1"/>
  <c r="J2774" i="1"/>
  <c r="J1471" i="1"/>
  <c r="J1470" i="1"/>
  <c r="J1469" i="1"/>
  <c r="J2701" i="1"/>
  <c r="J2962" i="1"/>
  <c r="J2773" i="1"/>
  <c r="J3343" i="1"/>
  <c r="J546" i="1"/>
  <c r="J813" i="1"/>
  <c r="J1674" i="1"/>
  <c r="J1673" i="1"/>
  <c r="J1672" i="1"/>
  <c r="J727" i="1"/>
  <c r="J994" i="1"/>
  <c r="J3636" i="1"/>
  <c r="J3635" i="1"/>
  <c r="J3634" i="1"/>
  <c r="J1890" i="1"/>
  <c r="J1386" i="1"/>
  <c r="J1889" i="1"/>
  <c r="J993" i="1"/>
  <c r="J992" i="1"/>
  <c r="J1123" i="1"/>
  <c r="J1671" i="1"/>
  <c r="J3725" i="1"/>
  <c r="J3724" i="1"/>
  <c r="J812" i="1"/>
  <c r="J1550" i="1"/>
  <c r="J2347" i="1"/>
  <c r="J991" i="1"/>
  <c r="J612" i="1"/>
  <c r="J611" i="1"/>
  <c r="J1122" i="1"/>
  <c r="J811" i="1"/>
  <c r="J810" i="1"/>
  <c r="J809" i="1"/>
  <c r="J22" i="1"/>
  <c r="J2700" i="1"/>
  <c r="J1385" i="1"/>
  <c r="J1670" i="1"/>
  <c r="J990" i="1"/>
  <c r="J545" i="1"/>
  <c r="J989" i="1"/>
  <c r="J610" i="1"/>
  <c r="J988" i="1"/>
  <c r="J1549" i="1"/>
  <c r="J544" i="1"/>
  <c r="J1121" i="1"/>
  <c r="J1384" i="1"/>
  <c r="J1548" i="1"/>
  <c r="J1547" i="1"/>
  <c r="J1888" i="1"/>
  <c r="J1383" i="1"/>
  <c r="J609" i="1"/>
  <c r="J693" i="1"/>
  <c r="J1669" i="1"/>
  <c r="J1982" i="1"/>
  <c r="J1981" i="1"/>
  <c r="J1980" i="1"/>
  <c r="J2508" i="1"/>
  <c r="J987" i="1"/>
  <c r="J986" i="1"/>
  <c r="J808" i="1"/>
  <c r="J608" i="1"/>
  <c r="J807" i="1"/>
  <c r="J726" i="1"/>
  <c r="J806" i="1"/>
  <c r="J607" i="1"/>
  <c r="J2699" i="1"/>
  <c r="J2698" i="1"/>
  <c r="J2049" i="1"/>
  <c r="J3342" i="1"/>
  <c r="J2507" i="1"/>
  <c r="J2506" i="1"/>
  <c r="J3192" i="1"/>
  <c r="J3341" i="1"/>
  <c r="J3340" i="1"/>
  <c r="J1668" i="1"/>
  <c r="J2187" i="1"/>
  <c r="J4067" i="1"/>
  <c r="J4122" i="1"/>
  <c r="J3907" i="1"/>
  <c r="J2505" i="1"/>
  <c r="J1276" i="1"/>
  <c r="J1120" i="1"/>
  <c r="J1119" i="1"/>
  <c r="J583" i="1"/>
  <c r="J805" i="1"/>
  <c r="J606" i="1"/>
  <c r="J985" i="1"/>
  <c r="J984" i="1"/>
  <c r="J1887" i="1"/>
  <c r="J1886" i="1"/>
  <c r="J1885" i="1"/>
  <c r="J2346" i="1"/>
  <c r="J2186" i="1"/>
  <c r="J1546" i="1"/>
  <c r="J1667" i="1"/>
  <c r="J1884" i="1"/>
  <c r="J1883" i="1"/>
  <c r="J1882" i="1"/>
  <c r="J1881" i="1"/>
  <c r="J1880" i="1"/>
  <c r="J1666" i="1"/>
  <c r="J1665" i="1"/>
  <c r="J605" i="1"/>
  <c r="J1979" i="1"/>
  <c r="J1879" i="1"/>
  <c r="J1878" i="1"/>
  <c r="J1877" i="1"/>
  <c r="J1876" i="1"/>
  <c r="J2697" i="1"/>
  <c r="J2696" i="1"/>
  <c r="J1545" i="1"/>
  <c r="J604" i="1"/>
  <c r="J1382" i="1"/>
  <c r="J603" i="1"/>
  <c r="J1875" i="1"/>
  <c r="J1874" i="1"/>
  <c r="J1381" i="1"/>
  <c r="J804" i="1"/>
  <c r="J602" i="1"/>
  <c r="J1380" i="1"/>
  <c r="J983" i="1"/>
  <c r="J601" i="1"/>
  <c r="J600" i="1"/>
  <c r="J599" i="1"/>
  <c r="J1215" i="1"/>
  <c r="J1873" i="1"/>
  <c r="J1214" i="1"/>
  <c r="J1872" i="1"/>
  <c r="J1379" i="1"/>
  <c r="J803" i="1"/>
  <c r="J598" i="1"/>
  <c r="J597" i="1"/>
  <c r="J596" i="1"/>
  <c r="J982" i="1"/>
  <c r="J1871" i="1"/>
  <c r="J2695" i="1"/>
  <c r="J2048" i="1"/>
  <c r="J1664" i="1"/>
  <c r="J1663" i="1"/>
  <c r="J2047" i="1"/>
  <c r="J2504" i="1"/>
  <c r="J2748" i="1"/>
  <c r="J2694" i="1"/>
  <c r="J2693" i="1"/>
  <c r="J981" i="1"/>
  <c r="J1870" i="1"/>
  <c r="J1869" i="1"/>
  <c r="J1868" i="1"/>
  <c r="J1867" i="1"/>
  <c r="J1662" i="1"/>
  <c r="J1213" i="1"/>
  <c r="J1866" i="1"/>
  <c r="J1212" i="1"/>
  <c r="J1949" i="1"/>
  <c r="J1211" i="1"/>
  <c r="J1210" i="1"/>
  <c r="J1661" i="1"/>
  <c r="J1660" i="1"/>
  <c r="J1209" i="1"/>
  <c r="J2503" i="1"/>
  <c r="J2502" i="1"/>
  <c r="J2501" i="1"/>
  <c r="J2500" i="1"/>
  <c r="J980" i="1"/>
  <c r="J543" i="1"/>
  <c r="J802" i="1"/>
  <c r="J801" i="1"/>
  <c r="J595" i="1"/>
  <c r="J594" i="1"/>
  <c r="J1378" i="1"/>
  <c r="J1865" i="1"/>
  <c r="J1659" i="1"/>
  <c r="J1468" i="1"/>
  <c r="J1377" i="1"/>
  <c r="J1467" i="1"/>
  <c r="J1864" i="1"/>
  <c r="J1466" i="1"/>
  <c r="J1465" i="1"/>
  <c r="J1464" i="1"/>
  <c r="J1463" i="1"/>
  <c r="J1462" i="1"/>
  <c r="J1461" i="1"/>
  <c r="J1460" i="1"/>
  <c r="J1459" i="1"/>
  <c r="J1458" i="1"/>
  <c r="J1457" i="1"/>
  <c r="J1863" i="1"/>
  <c r="J1456" i="1"/>
  <c r="J1376" i="1"/>
  <c r="J1455" i="1"/>
  <c r="J2233" i="1"/>
  <c r="J1454" i="1"/>
  <c r="J2232" i="1"/>
  <c r="J2499" i="1"/>
  <c r="J2498" i="1"/>
  <c r="J1375" i="1"/>
  <c r="J1658" i="1"/>
  <c r="J1657" i="1"/>
  <c r="J1656" i="1"/>
  <c r="J1208" i="1"/>
  <c r="J1655" i="1"/>
  <c r="J1207" i="1"/>
  <c r="J1206" i="1"/>
  <c r="J1205" i="1"/>
  <c r="J2231" i="1"/>
  <c r="J2692" i="1"/>
  <c r="J1453" i="1"/>
  <c r="J1654" i="1"/>
  <c r="J1653" i="1"/>
  <c r="J1544" i="1"/>
  <c r="J1652" i="1"/>
  <c r="J1651" i="1"/>
  <c r="J1374" i="1"/>
  <c r="J1204" i="1"/>
  <c r="J1543" i="1"/>
  <c r="J1650" i="1"/>
  <c r="J1649" i="1"/>
  <c r="J1648" i="1"/>
  <c r="J1862" i="1"/>
  <c r="J1647" i="1"/>
  <c r="J1646" i="1"/>
  <c r="J1645" i="1"/>
  <c r="J1373" i="1"/>
  <c r="J1372" i="1"/>
  <c r="J1371" i="1"/>
  <c r="J1370" i="1"/>
  <c r="J1369" i="1"/>
  <c r="J1542" i="1"/>
  <c r="J1368" i="1"/>
  <c r="J1367" i="1"/>
  <c r="J1366" i="1"/>
  <c r="J1365" i="1"/>
  <c r="J1644" i="1"/>
  <c r="J1364" i="1"/>
  <c r="J1363" i="1"/>
  <c r="J2185" i="1"/>
  <c r="J2184" i="1"/>
  <c r="J2917" i="1"/>
  <c r="J1541" i="1"/>
  <c r="J1540" i="1"/>
  <c r="J1539" i="1"/>
  <c r="J1538" i="1"/>
  <c r="J1861" i="1"/>
  <c r="J1860" i="1"/>
  <c r="J1362" i="1"/>
  <c r="J1643" i="1"/>
  <c r="J4437" i="1"/>
  <c r="J2497" i="1"/>
  <c r="J2691" i="1"/>
  <c r="J3191" i="1"/>
  <c r="J2916" i="1"/>
  <c r="J3906" i="1"/>
  <c r="J1859" i="1"/>
  <c r="J1642" i="1"/>
  <c r="J2183" i="1"/>
  <c r="J2182" i="1"/>
  <c r="J2496" i="1"/>
  <c r="J2495" i="1"/>
  <c r="J2181" i="1"/>
  <c r="J2180" i="1"/>
  <c r="J2179" i="1"/>
  <c r="J2178" i="1"/>
  <c r="J2046" i="1"/>
  <c r="J2177" i="1"/>
  <c r="J2176" i="1"/>
  <c r="J2175" i="1"/>
  <c r="J2174" i="1"/>
  <c r="J2173" i="1"/>
  <c r="J2172" i="1"/>
  <c r="J2171" i="1"/>
  <c r="J2170" i="1"/>
  <c r="J2169" i="1"/>
  <c r="J2045" i="1"/>
  <c r="J2168" i="1"/>
  <c r="J2167" i="1"/>
  <c r="J2166" i="1"/>
  <c r="J2165" i="1"/>
  <c r="J2164" i="1"/>
  <c r="J2163" i="1"/>
  <c r="J2162" i="1"/>
  <c r="J2494" i="1"/>
  <c r="J2161" i="1"/>
  <c r="J2160" i="1"/>
  <c r="J2044" i="1"/>
  <c r="J2690" i="1"/>
  <c r="J2043" i="1"/>
  <c r="J2042" i="1"/>
  <c r="J2772" i="1"/>
  <c r="J2159" i="1"/>
  <c r="J2158" i="1"/>
  <c r="J2157" i="1"/>
  <c r="J2156" i="1"/>
  <c r="J2041" i="1"/>
  <c r="J2771" i="1"/>
  <c r="J2345" i="1"/>
  <c r="J1978" i="1"/>
  <c r="J2040" i="1"/>
  <c r="J2155" i="1"/>
  <c r="J2039" i="1"/>
  <c r="J1203" i="1"/>
  <c r="J2154" i="1"/>
  <c r="J2153" i="1"/>
  <c r="J2152" i="1"/>
  <c r="J2038" i="1"/>
  <c r="J2037" i="1"/>
  <c r="J2915" i="1"/>
  <c r="J2036" i="1"/>
  <c r="J2151" i="1"/>
  <c r="J2150" i="1"/>
  <c r="J2149" i="1"/>
  <c r="J2148" i="1"/>
  <c r="J2689" i="1"/>
  <c r="J2344" i="1"/>
  <c r="J2343" i="1"/>
  <c r="J1537" i="1"/>
  <c r="J1202" i="1"/>
  <c r="J2914" i="1"/>
  <c r="J2913" i="1"/>
  <c r="J2493" i="1"/>
  <c r="J2688" i="1"/>
  <c r="J2912" i="1"/>
  <c r="J2770" i="1"/>
  <c r="J3593" i="1"/>
  <c r="J3480" i="1"/>
  <c r="J3592" i="1"/>
  <c r="J3591" i="1"/>
  <c r="J3590" i="1"/>
  <c r="J2809" i="1"/>
  <c r="J2808" i="1"/>
  <c r="J2911" i="1"/>
  <c r="J1361" i="1"/>
  <c r="J1360" i="1"/>
  <c r="J1359" i="1"/>
  <c r="J1358" i="1"/>
  <c r="J1641" i="1"/>
  <c r="J1640" i="1"/>
  <c r="J1357" i="1"/>
  <c r="J1858" i="1"/>
  <c r="J1356" i="1"/>
  <c r="J1857" i="1"/>
  <c r="J1639" i="1"/>
  <c r="J4121" i="1"/>
  <c r="J4120" i="1"/>
  <c r="J4119" i="1"/>
  <c r="J4118" i="1"/>
  <c r="J4117" i="1"/>
  <c r="J4116" i="1"/>
  <c r="J3589" i="1"/>
  <c r="J4115" i="1"/>
  <c r="J4114" i="1"/>
  <c r="J4113" i="1"/>
  <c r="J4112" i="1"/>
  <c r="J4111" i="1"/>
  <c r="J3430" i="1"/>
  <c r="J3429" i="1"/>
  <c r="J3428" i="1"/>
  <c r="J3427" i="1"/>
  <c r="J3426" i="1"/>
  <c r="J3425" i="1"/>
  <c r="J3424" i="1"/>
  <c r="J3423" i="1"/>
  <c r="J3422" i="1"/>
  <c r="J2807" i="1"/>
  <c r="J2147" i="1"/>
  <c r="J4177" i="1"/>
  <c r="J1355" i="1"/>
  <c r="J1354" i="1"/>
  <c r="J1638" i="1"/>
  <c r="J1353" i="1"/>
  <c r="J4436" i="1"/>
  <c r="J4532" i="1"/>
  <c r="J2492" i="1"/>
  <c r="J2491" i="1"/>
  <c r="J2687" i="1"/>
  <c r="J1856" i="1"/>
  <c r="J1637" i="1"/>
  <c r="J1636" i="1"/>
  <c r="J1352" i="1"/>
  <c r="J1351" i="1"/>
  <c r="J1350" i="1"/>
  <c r="J4844" i="1"/>
  <c r="J4812" i="1"/>
  <c r="J4912" i="1"/>
  <c r="J1977" i="1"/>
  <c r="J4582" i="1"/>
  <c r="J4231" i="1"/>
  <c r="J4162" i="1"/>
  <c r="J1855" i="1"/>
  <c r="J1201" i="1"/>
  <c r="J1349" i="1"/>
  <c r="J5003" i="1"/>
  <c r="J2686" i="1"/>
  <c r="J2685" i="1"/>
  <c r="J4843" i="1"/>
  <c r="J2806" i="1"/>
  <c r="J4230" i="1"/>
  <c r="J2146" i="1"/>
  <c r="J1854" i="1"/>
  <c r="J4927" i="1"/>
  <c r="J4926" i="1"/>
  <c r="J1853" i="1"/>
  <c r="J1348" i="1"/>
  <c r="J4925" i="1"/>
  <c r="J5002" i="1"/>
  <c r="J4811" i="1"/>
  <c r="J4810" i="1"/>
  <c r="J1347" i="1"/>
  <c r="J3905" i="1"/>
  <c r="J3904" i="1"/>
  <c r="J3903" i="1"/>
  <c r="J1976" i="1"/>
  <c r="J3902" i="1"/>
  <c r="J1852" i="1"/>
  <c r="J1635" i="1"/>
  <c r="J1346" i="1"/>
  <c r="J1634" i="1"/>
  <c r="J4435" i="1"/>
  <c r="J1851" i="1"/>
  <c r="J1850" i="1"/>
  <c r="J1345" i="1"/>
  <c r="J1633" i="1"/>
  <c r="J2145" i="1"/>
  <c r="J2144" i="1"/>
  <c r="J2143" i="1"/>
  <c r="J2142" i="1"/>
  <c r="J2141" i="1"/>
  <c r="J2140" i="1"/>
  <c r="J1849" i="1"/>
  <c r="J2684" i="1"/>
  <c r="J2139" i="1"/>
  <c r="J1848" i="1"/>
  <c r="J1847" i="1"/>
  <c r="J2683" i="1"/>
  <c r="J2138" i="1"/>
  <c r="J2137" i="1"/>
  <c r="J2136" i="1"/>
  <c r="J1632" i="1"/>
  <c r="J1631" i="1"/>
  <c r="J1536" i="1"/>
  <c r="J1846" i="1"/>
  <c r="J1630" i="1"/>
  <c r="J1629" i="1"/>
  <c r="J3339" i="1"/>
  <c r="J1628" i="1"/>
  <c r="J1627" i="1"/>
  <c r="J2342" i="1"/>
  <c r="J1626" i="1"/>
  <c r="J2682" i="1"/>
  <c r="J2135" i="1"/>
  <c r="J2681" i="1"/>
  <c r="J1845" i="1"/>
  <c r="J1344" i="1"/>
  <c r="J1975" i="1"/>
  <c r="J2134" i="1"/>
  <c r="J3338" i="1"/>
  <c r="J3495" i="1"/>
  <c r="J4066" i="1"/>
  <c r="J1343" i="1"/>
  <c r="J1625" i="1"/>
  <c r="J2341" i="1"/>
  <c r="J2133" i="1"/>
  <c r="J2132" i="1"/>
  <c r="J1535" i="1"/>
  <c r="J1534" i="1"/>
  <c r="J1533" i="1"/>
  <c r="J2910" i="1"/>
  <c r="J2131" i="1"/>
  <c r="J1200" i="1"/>
  <c r="J1199" i="1"/>
  <c r="J3337" i="1"/>
  <c r="J2805" i="1"/>
  <c r="J3190" i="1"/>
  <c r="J3189" i="1"/>
  <c r="J2909" i="1"/>
  <c r="J3188" i="1"/>
  <c r="J3336" i="1"/>
  <c r="J3901" i="1"/>
  <c r="J4434" i="1"/>
  <c r="J3900" i="1"/>
  <c r="J1198" i="1"/>
  <c r="J2908" i="1"/>
  <c r="J3479" i="1"/>
  <c r="J3421" i="1"/>
  <c r="J1342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844" i="1"/>
  <c r="J1341" i="1"/>
  <c r="J1340" i="1"/>
  <c r="J1339" i="1"/>
  <c r="J1338" i="1"/>
  <c r="J1337" i="1"/>
  <c r="J1532" i="1"/>
  <c r="J3899" i="1"/>
  <c r="J3633" i="1"/>
  <c r="J1336" i="1"/>
  <c r="J3478" i="1"/>
  <c r="J4433" i="1"/>
  <c r="J3187" i="1"/>
  <c r="J2680" i="1"/>
  <c r="J3335" i="1"/>
  <c r="J979" i="1"/>
  <c r="J2679" i="1"/>
  <c r="J1843" i="1"/>
  <c r="J978" i="1"/>
  <c r="J2678" i="1"/>
  <c r="J2677" i="1"/>
  <c r="J435" i="1"/>
  <c r="J1624" i="1"/>
  <c r="J2804" i="1"/>
  <c r="J3334" i="1"/>
  <c r="J3186" i="1"/>
  <c r="J2803" i="1"/>
  <c r="J3898" i="1"/>
  <c r="J3897" i="1"/>
  <c r="J3185" i="1"/>
  <c r="J3184" i="1"/>
  <c r="J3896" i="1"/>
  <c r="J3895" i="1"/>
  <c r="J3894" i="1"/>
  <c r="J1531" i="1"/>
  <c r="J1842" i="1"/>
  <c r="J1530" i="1"/>
  <c r="J3893" i="1"/>
  <c r="J3892" i="1"/>
  <c r="J3891" i="1"/>
  <c r="J2130" i="1"/>
  <c r="J3588" i="1"/>
  <c r="J4553" i="1"/>
  <c r="J3890" i="1"/>
  <c r="J1841" i="1"/>
  <c r="J1197" i="1"/>
  <c r="J1529" i="1"/>
  <c r="J1623" i="1"/>
  <c r="J1622" i="1"/>
  <c r="J1196" i="1"/>
  <c r="J1335" i="1"/>
  <c r="J1334" i="1"/>
  <c r="J1960" i="1"/>
  <c r="J1840" i="1"/>
  <c r="J2490" i="1"/>
  <c r="J1621" i="1"/>
  <c r="J1195" i="1"/>
  <c r="J1452" i="1"/>
  <c r="J1620" i="1"/>
  <c r="J1619" i="1"/>
  <c r="J1618" i="1"/>
  <c r="J1194" i="1"/>
  <c r="J1617" i="1"/>
  <c r="J2676" i="1"/>
  <c r="J2489" i="1"/>
  <c r="J1839" i="1"/>
  <c r="J2907" i="1"/>
  <c r="J1333" i="1"/>
  <c r="J1838" i="1"/>
  <c r="J1332" i="1"/>
  <c r="J1331" i="1"/>
  <c r="J1837" i="1"/>
  <c r="J1330" i="1"/>
  <c r="J1329" i="1"/>
  <c r="J1328" i="1"/>
  <c r="J1327" i="1"/>
  <c r="J1451" i="1"/>
  <c r="J1616" i="1"/>
  <c r="J2769" i="1"/>
  <c r="J1615" i="1"/>
  <c r="J1614" i="1"/>
  <c r="J2488" i="1"/>
  <c r="J1275" i="1"/>
  <c r="J3420" i="1"/>
  <c r="J1836" i="1"/>
  <c r="J1835" i="1"/>
  <c r="J2675" i="1"/>
  <c r="J1326" i="1"/>
  <c r="J1834" i="1"/>
  <c r="J3419" i="1"/>
  <c r="J2230" i="1"/>
  <c r="J1193" i="1"/>
  <c r="J1613" i="1"/>
  <c r="J1833" i="1"/>
  <c r="J1274" i="1"/>
  <c r="J1612" i="1"/>
  <c r="J1325" i="1"/>
  <c r="J2340" i="1"/>
  <c r="J1324" i="1"/>
  <c r="J1192" i="1"/>
  <c r="J2487" i="1"/>
  <c r="J1611" i="1"/>
  <c r="J2674" i="1"/>
  <c r="J2486" i="1"/>
  <c r="J2485" i="1"/>
  <c r="J2484" i="1"/>
  <c r="J1610" i="1"/>
  <c r="J3889" i="1"/>
  <c r="J2339" i="1"/>
  <c r="J1609" i="1"/>
  <c r="J1528" i="1"/>
  <c r="J1832" i="1"/>
  <c r="J2229" i="1"/>
  <c r="J2483" i="1"/>
  <c r="J2673" i="1"/>
  <c r="J2482" i="1"/>
  <c r="J3333" i="1"/>
  <c r="J3332" i="1"/>
  <c r="J1323" i="1"/>
  <c r="J1322" i="1"/>
  <c r="J2906" i="1"/>
  <c r="J2905" i="1"/>
  <c r="J2904" i="1"/>
  <c r="J3034" i="1"/>
  <c r="J2129" i="1"/>
  <c r="J2128" i="1"/>
  <c r="J2481" i="1"/>
  <c r="J1527" i="1"/>
  <c r="J1831" i="1"/>
  <c r="J1830" i="1"/>
  <c r="J1829" i="1"/>
  <c r="J2035" i="1"/>
  <c r="J3033" i="1"/>
  <c r="J1526" i="1"/>
  <c r="J1948" i="1"/>
  <c r="J1525" i="1"/>
  <c r="J1828" i="1"/>
  <c r="J1827" i="1"/>
  <c r="J2903" i="1"/>
  <c r="J1321" i="1"/>
  <c r="J1273" i="1"/>
  <c r="J1524" i="1"/>
  <c r="J1191" i="1"/>
  <c r="J3331" i="1"/>
  <c r="J2902" i="1"/>
  <c r="J2480" i="1"/>
  <c r="J2479" i="1"/>
  <c r="J2338" i="1"/>
  <c r="J2337" i="1"/>
  <c r="J2336" i="1"/>
  <c r="J2335" i="1"/>
  <c r="J1523" i="1"/>
  <c r="J4229" i="1"/>
  <c r="J1826" i="1"/>
  <c r="J1320" i="1"/>
  <c r="J1319" i="1"/>
  <c r="J1318" i="1"/>
  <c r="J1317" i="1"/>
  <c r="J3183" i="1"/>
  <c r="J2127" i="1"/>
  <c r="J1316" i="1"/>
  <c r="J1522" i="1"/>
  <c r="J1608" i="1"/>
  <c r="J1959" i="1"/>
  <c r="J1825" i="1"/>
  <c r="J3375" i="1"/>
  <c r="J3330" i="1"/>
  <c r="J3329" i="1"/>
  <c r="J4065" i="1"/>
  <c r="J3328" i="1"/>
  <c r="J1607" i="1"/>
  <c r="J1606" i="1"/>
  <c r="J1947" i="1"/>
  <c r="J1946" i="1"/>
  <c r="J2747" i="1"/>
  <c r="J1605" i="1"/>
  <c r="J1604" i="1"/>
  <c r="J1603" i="1"/>
  <c r="J1602" i="1"/>
  <c r="J2478" i="1"/>
  <c r="J1824" i="1"/>
  <c r="J1823" i="1"/>
  <c r="J1822" i="1"/>
  <c r="J1521" i="1"/>
  <c r="J1272" i="1"/>
  <c r="J1520" i="1"/>
  <c r="J2334" i="1"/>
  <c r="J2333" i="1"/>
  <c r="J1821" i="1"/>
  <c r="J2672" i="1"/>
  <c r="J1315" i="1"/>
  <c r="J2126" i="1"/>
  <c r="J1190" i="1"/>
  <c r="J1314" i="1"/>
  <c r="J2332" i="1"/>
  <c r="J2034" i="1"/>
  <c r="J1601" i="1"/>
  <c r="J2477" i="1"/>
  <c r="J1313" i="1"/>
  <c r="J4531" i="1"/>
  <c r="J1312" i="1"/>
  <c r="J1311" i="1"/>
  <c r="J1600" i="1"/>
  <c r="J1820" i="1"/>
  <c r="J1310" i="1"/>
  <c r="J1309" i="1"/>
  <c r="J1819" i="1"/>
  <c r="J1599" i="1"/>
  <c r="J1308" i="1"/>
  <c r="J1307" i="1"/>
  <c r="J1306" i="1"/>
  <c r="J2125" i="1"/>
  <c r="J1305" i="1"/>
  <c r="J1304" i="1"/>
  <c r="J1303" i="1"/>
  <c r="J1818" i="1"/>
  <c r="J1817" i="1"/>
  <c r="J2331" i="1"/>
  <c r="J1816" i="1"/>
  <c r="J1302" i="1"/>
  <c r="J1301" i="1"/>
  <c r="J2124" i="1"/>
  <c r="J1815" i="1"/>
  <c r="J1814" i="1"/>
  <c r="J1813" i="1"/>
  <c r="J1812" i="1"/>
  <c r="J1811" i="1"/>
  <c r="J1271" i="1"/>
  <c r="J1810" i="1"/>
  <c r="J1809" i="1"/>
  <c r="J1598" i="1"/>
  <c r="J1519" i="1"/>
  <c r="J1189" i="1"/>
  <c r="J1188" i="1"/>
  <c r="J1808" i="1"/>
  <c r="J1958" i="1"/>
  <c r="J1187" i="1"/>
  <c r="J2476" i="1"/>
  <c r="J2475" i="1"/>
  <c r="J1597" i="1"/>
  <c r="J2474" i="1"/>
  <c r="J2033" i="1"/>
  <c r="J2032" i="1"/>
  <c r="J2473" i="1"/>
  <c r="J2472" i="1"/>
  <c r="J2330" i="1"/>
  <c r="J2329" i="1"/>
  <c r="J2746" i="1"/>
  <c r="J2471" i="1"/>
  <c r="J2470" i="1"/>
  <c r="J2469" i="1"/>
  <c r="J1807" i="1"/>
  <c r="J1186" i="1"/>
  <c r="J4809" i="1"/>
  <c r="J4161" i="1"/>
  <c r="J2123" i="1"/>
  <c r="J4530" i="1"/>
  <c r="J4326" i="1"/>
  <c r="J4577" i="1"/>
  <c r="J4228" i="1"/>
  <c r="J4227" i="1"/>
  <c r="J4576" i="1"/>
  <c r="J2768" i="1"/>
  <c r="J2062" i="1"/>
  <c r="J2671" i="1"/>
  <c r="J2122" i="1"/>
  <c r="J2468" i="1"/>
  <c r="J2467" i="1"/>
  <c r="J1518" i="1"/>
  <c r="J1517" i="1"/>
  <c r="J1806" i="1"/>
  <c r="J1300" i="1"/>
  <c r="J2901" i="1"/>
  <c r="J2121" i="1"/>
  <c r="J1299" i="1"/>
  <c r="J2061" i="1"/>
  <c r="J1596" i="1"/>
  <c r="J2228" i="1"/>
  <c r="J2670" i="1"/>
  <c r="J2669" i="1"/>
  <c r="J2668" i="1"/>
  <c r="J2667" i="1"/>
  <c r="J1595" i="1"/>
  <c r="J1805" i="1"/>
  <c r="J2031" i="1"/>
  <c r="J1516" i="1"/>
  <c r="J1515" i="1"/>
  <c r="J1594" i="1"/>
  <c r="J2466" i="1"/>
  <c r="J2767" i="1"/>
  <c r="J2465" i="1"/>
  <c r="J1593" i="1"/>
  <c r="J1592" i="1"/>
  <c r="J1804" i="1"/>
  <c r="J1803" i="1"/>
  <c r="J1185" i="1"/>
  <c r="J1184" i="1"/>
  <c r="J1802" i="1"/>
  <c r="J1183" i="1"/>
  <c r="J1182" i="1"/>
  <c r="J1181" i="1"/>
  <c r="J1180" i="1"/>
  <c r="J1179" i="1"/>
  <c r="J1178" i="1"/>
  <c r="J1177" i="1"/>
  <c r="J1176" i="1"/>
  <c r="J1175" i="1"/>
  <c r="J1174" i="1"/>
  <c r="J1173" i="1"/>
  <c r="J1801" i="1"/>
  <c r="J1514" i="1"/>
  <c r="J1172" i="1"/>
  <c r="J1171" i="1"/>
  <c r="J1513" i="1"/>
  <c r="J1800" i="1"/>
  <c r="J1799" i="1"/>
  <c r="J1798" i="1"/>
  <c r="J1298" i="1"/>
  <c r="J1797" i="1"/>
  <c r="J1591" i="1"/>
  <c r="J1170" i="1"/>
  <c r="J1512" i="1"/>
  <c r="J1169" i="1"/>
  <c r="J1511" i="1"/>
  <c r="J1590" i="1"/>
  <c r="J1297" i="1"/>
  <c r="J1168" i="1"/>
  <c r="J1796" i="1"/>
  <c r="J1167" i="1"/>
  <c r="J1795" i="1"/>
  <c r="J1794" i="1"/>
  <c r="J1793" i="1"/>
  <c r="J1510" i="1"/>
  <c r="J1509" i="1"/>
  <c r="J1589" i="1"/>
  <c r="J1588" i="1"/>
  <c r="J1587" i="1"/>
  <c r="J1586" i="1"/>
  <c r="J1792" i="1"/>
  <c r="J1957" i="1"/>
  <c r="J1791" i="1"/>
  <c r="J1790" i="1"/>
  <c r="J1789" i="1"/>
  <c r="J1296" i="1"/>
  <c r="J1788" i="1"/>
  <c r="J1787" i="1"/>
  <c r="J1585" i="1"/>
  <c r="J1584" i="1"/>
  <c r="J1295" i="1"/>
  <c r="J1786" i="1"/>
  <c r="J1508" i="1"/>
  <c r="J1507" i="1"/>
  <c r="J1294" i="1"/>
  <c r="J1583" i="1"/>
  <c r="J1450" i="1"/>
  <c r="J1293" i="1"/>
  <c r="J1292" i="1"/>
  <c r="J1582" i="1"/>
  <c r="J1785" i="1"/>
  <c r="J1784" i="1"/>
  <c r="J1783" i="1"/>
  <c r="J1166" i="1"/>
  <c r="J1291" i="1"/>
  <c r="J1782" i="1"/>
  <c r="J1781" i="1"/>
  <c r="J1165" i="1"/>
  <c r="J1581" i="1"/>
  <c r="J1780" i="1"/>
  <c r="J1580" i="1"/>
  <c r="J1579" i="1"/>
  <c r="J1578" i="1"/>
  <c r="J1577" i="1"/>
  <c r="J1576" i="1"/>
  <c r="J1575" i="1"/>
  <c r="J1574" i="1"/>
  <c r="J1164" i="1"/>
  <c r="J1779" i="1"/>
  <c r="J2666" i="1"/>
  <c r="J2120" i="1"/>
  <c r="J2119" i="1"/>
  <c r="J1956" i="1"/>
  <c r="J1955" i="1"/>
  <c r="J1163" i="1"/>
  <c r="J2030" i="1"/>
  <c r="J2464" i="1"/>
  <c r="J2665" i="1"/>
  <c r="J1778" i="1"/>
  <c r="J2664" i="1"/>
  <c r="J1162" i="1"/>
  <c r="J1777" i="1"/>
  <c r="J1573" i="1"/>
  <c r="J1506" i="1"/>
  <c r="J2663" i="1"/>
  <c r="J2662" i="1"/>
  <c r="J2463" i="1"/>
  <c r="J2661" i="1"/>
  <c r="J2660" i="1"/>
  <c r="J1161" i="1"/>
  <c r="J2462" i="1"/>
  <c r="J2461" i="1"/>
  <c r="J1776" i="1"/>
  <c r="J2659" i="1"/>
  <c r="J2658" i="1"/>
  <c r="J2657" i="1"/>
  <c r="J2656" i="1"/>
  <c r="J1775" i="1"/>
  <c r="J1774" i="1"/>
  <c r="J1773" i="1"/>
  <c r="J1772" i="1"/>
  <c r="J2655" i="1"/>
  <c r="J1771" i="1"/>
  <c r="J2654" i="1"/>
  <c r="J1770" i="1"/>
  <c r="J1769" i="1"/>
  <c r="J2653" i="1"/>
  <c r="J1768" i="1"/>
  <c r="J1505" i="1"/>
  <c r="J1504" i="1"/>
  <c r="J1954" i="1"/>
  <c r="J1767" i="1"/>
  <c r="J1766" i="1"/>
  <c r="J1765" i="1"/>
  <c r="J1764" i="1"/>
  <c r="J2652" i="1"/>
  <c r="J2651" i="1"/>
  <c r="J1503" i="1"/>
  <c r="J1290" i="1"/>
  <c r="J1289" i="1"/>
  <c r="J1763" i="1"/>
  <c r="J2118" i="1"/>
  <c r="J2117" i="1"/>
  <c r="J1762" i="1"/>
  <c r="J1288" i="1"/>
  <c r="J1287" i="1"/>
  <c r="J1761" i="1"/>
  <c r="J1760" i="1"/>
  <c r="J1286" i="1"/>
  <c r="J1502" i="1"/>
  <c r="J1501" i="1"/>
  <c r="J1759" i="1"/>
  <c r="J1758" i="1"/>
  <c r="J1285" i="1"/>
  <c r="J1284" i="1"/>
  <c r="J1283" i="1"/>
  <c r="J1500" i="1"/>
  <c r="J1282" i="1"/>
  <c r="J2766" i="1"/>
  <c r="J1757" i="1"/>
  <c r="J48" i="1"/>
  <c r="J1281" i="1"/>
  <c r="J1499" i="1"/>
  <c r="J1572" i="1"/>
  <c r="J1756" i="1"/>
  <c r="J2650" i="1"/>
  <c r="J1755" i="1"/>
  <c r="J2116" i="1"/>
  <c r="J2328" i="1"/>
  <c r="J2029" i="1"/>
  <c r="J2327" i="1"/>
  <c r="J2326" i="1"/>
  <c r="J2649" i="1"/>
  <c r="J2648" i="1"/>
  <c r="J2647" i="1"/>
  <c r="J2115" i="1"/>
  <c r="J2114" i="1"/>
  <c r="J2646" i="1"/>
  <c r="J2460" i="1"/>
  <c r="J2459" i="1"/>
  <c r="J2060" i="1"/>
  <c r="J2645" i="1"/>
  <c r="J2227" i="1"/>
  <c r="J2226" i="1"/>
  <c r="J2225" i="1"/>
  <c r="J2224" i="1"/>
  <c r="J2223" i="1"/>
  <c r="J2222" i="1"/>
  <c r="J2644" i="1"/>
  <c r="J2028" i="1"/>
  <c r="J2027" i="1"/>
  <c r="J2026" i="1"/>
  <c r="J2802" i="1"/>
  <c r="J3477" i="1"/>
  <c r="J3476" i="1"/>
  <c r="J3475" i="1"/>
  <c r="J3474" i="1"/>
  <c r="J3473" i="1"/>
  <c r="J3472" i="1"/>
  <c r="J2458" i="1"/>
  <c r="J2643" i="1"/>
  <c r="J2642" i="1"/>
  <c r="J2641" i="1"/>
  <c r="J2640" i="1"/>
  <c r="J2325" i="1"/>
  <c r="J2900" i="1"/>
  <c r="J2639" i="1"/>
  <c r="J2059" i="1"/>
  <c r="J3327" i="1"/>
  <c r="J2801" i="1"/>
  <c r="J2113" i="1"/>
  <c r="J2324" i="1"/>
  <c r="J2638" i="1"/>
  <c r="J2457" i="1"/>
  <c r="J4176" i="1"/>
  <c r="J4775" i="1"/>
  <c r="J2221" i="1"/>
  <c r="J2637" i="1"/>
  <c r="J2112" i="1"/>
  <c r="J2800" i="1"/>
  <c r="J2025" i="1"/>
  <c r="J2636" i="1"/>
  <c r="J4432" i="1"/>
  <c r="J4431" i="1"/>
  <c r="J2456" i="1"/>
  <c r="J4160" i="1"/>
  <c r="J2455" i="1"/>
  <c r="J2454" i="1"/>
  <c r="J3182" i="1"/>
  <c r="J2453" i="1"/>
  <c r="J2452" i="1"/>
  <c r="J2451" i="1"/>
  <c r="J2450" i="1"/>
  <c r="J2449" i="1"/>
  <c r="J2448" i="1"/>
  <c r="J2447" i="1"/>
  <c r="J2446" i="1"/>
  <c r="J2445" i="1"/>
  <c r="J3888" i="1"/>
  <c r="J3887" i="1"/>
  <c r="J3886" i="1"/>
  <c r="J3885" i="1"/>
  <c r="J4430" i="1"/>
  <c r="J4429" i="1"/>
  <c r="J4428" i="1"/>
  <c r="J4427" i="1"/>
  <c r="J4426" i="1"/>
  <c r="J2444" i="1"/>
  <c r="J2443" i="1"/>
  <c r="J2442" i="1"/>
  <c r="J2441" i="1"/>
  <c r="J2440" i="1"/>
  <c r="J2439" i="1"/>
  <c r="J2438" i="1"/>
  <c r="J2437" i="1"/>
  <c r="J2436" i="1"/>
  <c r="J2435" i="1"/>
  <c r="J3181" i="1"/>
  <c r="J2434" i="1"/>
  <c r="J3180" i="1"/>
  <c r="J3884" i="1"/>
  <c r="J3883" i="1"/>
  <c r="J4425" i="1"/>
  <c r="J4424" i="1"/>
  <c r="J4423" i="1"/>
  <c r="J4422" i="1"/>
  <c r="J4421" i="1"/>
  <c r="J4420" i="1"/>
  <c r="J4720" i="1"/>
  <c r="J4719" i="1"/>
  <c r="J4718" i="1"/>
  <c r="J4717" i="1"/>
  <c r="J4716" i="1"/>
  <c r="J4715" i="1"/>
  <c r="J3179" i="1"/>
  <c r="J3178" i="1"/>
  <c r="J3882" i="1"/>
  <c r="J3881" i="1"/>
  <c r="J3880" i="1"/>
  <c r="J3879" i="1"/>
  <c r="J3878" i="1"/>
  <c r="J3877" i="1"/>
  <c r="J3876" i="1"/>
  <c r="J2433" i="1"/>
  <c r="J2432" i="1"/>
  <c r="J2431" i="1"/>
  <c r="J2765" i="1"/>
  <c r="J2024" i="1"/>
  <c r="J2023" i="1"/>
  <c r="J2111" i="1"/>
  <c r="J2827" i="1"/>
  <c r="J3494" i="1"/>
  <c r="J4159" i="1"/>
  <c r="J2430" i="1"/>
  <c r="J2220" i="1"/>
  <c r="J2429" i="1"/>
  <c r="J2428" i="1"/>
  <c r="J2427" i="1"/>
  <c r="J2426" i="1"/>
  <c r="J2425" i="1"/>
  <c r="J2424" i="1"/>
  <c r="J2423" i="1"/>
  <c r="J2422" i="1"/>
  <c r="J2421" i="1"/>
  <c r="J2635" i="1"/>
  <c r="J2634" i="1"/>
  <c r="J2633" i="1"/>
  <c r="J2764" i="1"/>
  <c r="J2420" i="1"/>
  <c r="J2058" i="1"/>
  <c r="J2323" i="1"/>
  <c r="J2322" i="1"/>
  <c r="J2321" i="1"/>
  <c r="J2320" i="1"/>
  <c r="J2319" i="1"/>
  <c r="J2057" i="1"/>
  <c r="J2419" i="1"/>
  <c r="J3326" i="1"/>
  <c r="J3587" i="1"/>
  <c r="J2899" i="1"/>
  <c r="J2110" i="1"/>
  <c r="J2632" i="1"/>
  <c r="J4714" i="1"/>
  <c r="J3032" i="1"/>
  <c r="J3177" i="1"/>
  <c r="J2022" i="1"/>
  <c r="J2763" i="1"/>
  <c r="J2418" i="1"/>
  <c r="J2109" i="1"/>
  <c r="J2417" i="1"/>
  <c r="J2631" i="1"/>
  <c r="J2108" i="1"/>
  <c r="J2630" i="1"/>
  <c r="J2107" i="1"/>
  <c r="J2106" i="1"/>
  <c r="J2318" i="1"/>
  <c r="J2317" i="1"/>
  <c r="J2316" i="1"/>
  <c r="J2315" i="1"/>
  <c r="J2314" i="1"/>
  <c r="J2629" i="1"/>
  <c r="J2021" i="1"/>
  <c r="J2020" i="1"/>
  <c r="J2313" i="1"/>
  <c r="J2312" i="1"/>
  <c r="J2628" i="1"/>
  <c r="J2311" i="1"/>
  <c r="J2310" i="1"/>
  <c r="J2105" i="1"/>
  <c r="J2019" i="1"/>
  <c r="J2309" i="1"/>
  <c r="J2018" i="1"/>
  <c r="J2308" i="1"/>
  <c r="J2627" i="1"/>
  <c r="J2416" i="1"/>
  <c r="J2415" i="1"/>
  <c r="J2626" i="1"/>
  <c r="J2307" i="1"/>
  <c r="J2306" i="1"/>
  <c r="J2625" i="1"/>
  <c r="J2624" i="1"/>
  <c r="J2305" i="1"/>
  <c r="J2017" i="1"/>
  <c r="J2016" i="1"/>
  <c r="J2304" i="1"/>
  <c r="J2623" i="1"/>
  <c r="J2622" i="1"/>
  <c r="J2621" i="1"/>
  <c r="J2620" i="1"/>
  <c r="J2619" i="1"/>
  <c r="J2618" i="1"/>
  <c r="J2303" i="1"/>
  <c r="J2302" i="1"/>
  <c r="J2301" i="1"/>
  <c r="J2300" i="1"/>
  <c r="J2617" i="1"/>
  <c r="J2616" i="1"/>
  <c r="J2615" i="1"/>
  <c r="J2614" i="1"/>
  <c r="J2299" i="1"/>
  <c r="J2414" i="1"/>
  <c r="J2298" i="1"/>
  <c r="J2413" i="1"/>
  <c r="J2613" i="1"/>
  <c r="J2412" i="1"/>
  <c r="J2411" i="1"/>
  <c r="J2297" i="1"/>
  <c r="J2296" i="1"/>
  <c r="J2104" i="1"/>
  <c r="J2295" i="1"/>
  <c r="J2294" i="1"/>
  <c r="J2293" i="1"/>
  <c r="J2292" i="1"/>
  <c r="J2291" i="1"/>
  <c r="J2103" i="1"/>
  <c r="J2102" i="1"/>
  <c r="J2290" i="1"/>
  <c r="J2289" i="1"/>
  <c r="J2101" i="1"/>
  <c r="J2288" i="1"/>
  <c r="J2287" i="1"/>
  <c r="J2612" i="1"/>
  <c r="J2286" i="1"/>
  <c r="J2285" i="1"/>
  <c r="J2219" i="1"/>
  <c r="J2611" i="1"/>
  <c r="J2610" i="1"/>
  <c r="J2284" i="1"/>
  <c r="J2283" i="1"/>
  <c r="J2609" i="1"/>
  <c r="J2015" i="1"/>
  <c r="J2014" i="1"/>
  <c r="J2013" i="1"/>
  <c r="J2012" i="1"/>
  <c r="J2011" i="1"/>
  <c r="J2010" i="1"/>
  <c r="J2009" i="1"/>
  <c r="J2608" i="1"/>
  <c r="J2410" i="1"/>
  <c r="J2607" i="1"/>
  <c r="J2606" i="1"/>
  <c r="J2282" i="1"/>
  <c r="J2008" i="1"/>
  <c r="J2281" i="1"/>
  <c r="J2605" i="1"/>
  <c r="J2604" i="1"/>
  <c r="J2603" i="1"/>
  <c r="J2100" i="1"/>
  <c r="J2602" i="1"/>
  <c r="J2409" i="1"/>
  <c r="J2601" i="1"/>
  <c r="J2099" i="1"/>
  <c r="J2600" i="1"/>
  <c r="J2098" i="1"/>
  <c r="J2599" i="1"/>
  <c r="J2408" i="1"/>
  <c r="J2097" i="1"/>
  <c r="J2280" i="1"/>
  <c r="J2598" i="1"/>
  <c r="J2407" i="1"/>
  <c r="J2406" i="1"/>
  <c r="J2405" i="1"/>
  <c r="J2279" i="1"/>
  <c r="J2597" i="1"/>
  <c r="J2007" i="1"/>
  <c r="J1498" i="1"/>
  <c r="J2596" i="1"/>
  <c r="J2404" i="1"/>
  <c r="J2218" i="1"/>
  <c r="J2595" i="1"/>
  <c r="J2278" i="1"/>
  <c r="J2762" i="1"/>
  <c r="J2594" i="1"/>
  <c r="J2761" i="1"/>
  <c r="J2593" i="1"/>
  <c r="J2592" i="1"/>
  <c r="J2096" i="1"/>
  <c r="J2591" i="1"/>
  <c r="J2590" i="1"/>
  <c r="J2589" i="1"/>
  <c r="J2217" i="1"/>
  <c r="J2588" i="1"/>
  <c r="J2587" i="1"/>
  <c r="J2586" i="1"/>
  <c r="J2095" i="1"/>
  <c r="J2585" i="1"/>
  <c r="J2094" i="1"/>
  <c r="J2403" i="1"/>
  <c r="J2402" i="1"/>
  <c r="J2401" i="1"/>
  <c r="J2400" i="1"/>
  <c r="J2399" i="1"/>
  <c r="J2398" i="1"/>
  <c r="J3176" i="1"/>
  <c r="J2397" i="1"/>
  <c r="J3175" i="1"/>
  <c r="J3174" i="1"/>
  <c r="J2396" i="1"/>
  <c r="J2584" i="1"/>
  <c r="J2277" i="1"/>
  <c r="J2276" i="1"/>
  <c r="J2093" i="1"/>
  <c r="J2275" i="1"/>
  <c r="J2395" i="1"/>
  <c r="J3173" i="1"/>
  <c r="J2006" i="1"/>
  <c r="J2898" i="1"/>
  <c r="J2583" i="1"/>
  <c r="J2582" i="1"/>
  <c r="J2394" i="1"/>
  <c r="J2274" i="1"/>
  <c r="J2581" i="1"/>
  <c r="J2092" i="1"/>
  <c r="J2273" i="1"/>
  <c r="J3632" i="1"/>
  <c r="J2091" i="1"/>
  <c r="J2090" i="1"/>
  <c r="J2393" i="1"/>
  <c r="J2272" i="1"/>
  <c r="J2089" i="1"/>
  <c r="J2271" i="1"/>
  <c r="J2270" i="1"/>
  <c r="J2088" i="1"/>
  <c r="J2269" i="1"/>
  <c r="J2268" i="1"/>
  <c r="J2267" i="1"/>
  <c r="J2087" i="1"/>
  <c r="J2266" i="1"/>
  <c r="J2265" i="1"/>
  <c r="J2264" i="1"/>
  <c r="J2263" i="1"/>
  <c r="J2262" i="1"/>
  <c r="J2261" i="1"/>
  <c r="J2260" i="1"/>
  <c r="J2259" i="1"/>
  <c r="J2258" i="1"/>
  <c r="J2086" i="1"/>
  <c r="J2392" i="1"/>
  <c r="J2085" i="1"/>
  <c r="J2257" i="1"/>
  <c r="J3031" i="1"/>
  <c r="J3172" i="1"/>
  <c r="J3418" i="1"/>
  <c r="J2580" i="1"/>
  <c r="J2256" i="1"/>
  <c r="J2056" i="1"/>
  <c r="J2391" i="1"/>
  <c r="J2390" i="1"/>
  <c r="J2579" i="1"/>
  <c r="J2578" i="1"/>
  <c r="J2760" i="1"/>
  <c r="J2577" i="1"/>
  <c r="J2255" i="1"/>
  <c r="J2084" i="1"/>
  <c r="J2759" i="1"/>
  <c r="J4110" i="1"/>
  <c r="J2389" i="1"/>
  <c r="J2388" i="1"/>
  <c r="J2387" i="1"/>
  <c r="J2386" i="1"/>
  <c r="J2897" i="1"/>
  <c r="J2254" i="1"/>
  <c r="J2083" i="1"/>
  <c r="J2758" i="1"/>
  <c r="J2385" i="1"/>
  <c r="J2384" i="1"/>
  <c r="J2383" i="1"/>
  <c r="J2382" i="1"/>
  <c r="J2381" i="1"/>
  <c r="J2380" i="1"/>
  <c r="J2379" i="1"/>
  <c r="J2576" i="1"/>
  <c r="J2378" i="1"/>
  <c r="J2575" i="1"/>
  <c r="J2055" i="1"/>
  <c r="J2082" i="1"/>
  <c r="J2757" i="1"/>
  <c r="J2377" i="1"/>
  <c r="J2756" i="1"/>
  <c r="J2081" i="1"/>
  <c r="J2574" i="1"/>
  <c r="J2573" i="1"/>
  <c r="J2376" i="1"/>
  <c r="J2755" i="1"/>
  <c r="J2572" i="1"/>
  <c r="J3417" i="1"/>
  <c r="J3416" i="1"/>
  <c r="J2571" i="1"/>
  <c r="J2253" i="1"/>
  <c r="J3374" i="1"/>
  <c r="J3325" i="1"/>
  <c r="J2216" i="1"/>
  <c r="J2570" i="1"/>
  <c r="J2896" i="1"/>
  <c r="J3324" i="1"/>
  <c r="J2961" i="1"/>
  <c r="J3586" i="1"/>
  <c r="J3171" i="1"/>
  <c r="J3631" i="1"/>
  <c r="J2215" i="1"/>
  <c r="J2960" i="1"/>
  <c r="J2214" i="1"/>
  <c r="J2213" i="1"/>
  <c r="J3630" i="1"/>
  <c r="J3629" i="1"/>
  <c r="J4064" i="1"/>
  <c r="J3628" i="1"/>
  <c r="J2212" i="1"/>
  <c r="J2211" i="1"/>
  <c r="J2959" i="1"/>
  <c r="J2210" i="1"/>
  <c r="J2209" i="1"/>
  <c r="J2895" i="1"/>
  <c r="J2958" i="1"/>
  <c r="J2957" i="1"/>
  <c r="J2208" i="1"/>
  <c r="J2956" i="1"/>
  <c r="J2955" i="1"/>
  <c r="J2954" i="1"/>
  <c r="J2953" i="1"/>
  <c r="J2952" i="1"/>
  <c r="J2951" i="1"/>
  <c r="J3627" i="1"/>
  <c r="J4063" i="1"/>
  <c r="J2207" i="1"/>
  <c r="J2950" i="1"/>
  <c r="J3415" i="1"/>
  <c r="J2949" i="1"/>
  <c r="J3414" i="1"/>
  <c r="J3626" i="1"/>
  <c r="J2206" i="1"/>
  <c r="J2205" i="1"/>
  <c r="J2948" i="1"/>
  <c r="J2947" i="1"/>
  <c r="J3323" i="1"/>
  <c r="J3322" i="1"/>
  <c r="J3321" i="1"/>
  <c r="J2946" i="1"/>
  <c r="J2945" i="1"/>
  <c r="J2944" i="1"/>
  <c r="J3625" i="1"/>
  <c r="J3624" i="1"/>
  <c r="J4062" i="1"/>
  <c r="J2569" i="1"/>
  <c r="J2080" i="1"/>
  <c r="J2943" i="1"/>
  <c r="J3585" i="1"/>
  <c r="J3320" i="1"/>
  <c r="J2375" i="1"/>
  <c r="J2568" i="1"/>
  <c r="J3319" i="1"/>
  <c r="J4061" i="1"/>
  <c r="J2567" i="1"/>
  <c r="J2374" i="1"/>
  <c r="J2204" i="1"/>
  <c r="J3170" i="1"/>
  <c r="J3413" i="1"/>
  <c r="J3412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2894" i="1"/>
  <c r="J2893" i="1"/>
  <c r="J2892" i="1"/>
  <c r="J127" i="1"/>
  <c r="J5" i="1"/>
  <c r="J6" i="1"/>
  <c r="J7" i="1"/>
  <c r="J9" i="1"/>
  <c r="J8" i="1"/>
  <c r="J10" i="1"/>
  <c r="J12" i="1"/>
  <c r="J15" i="1"/>
  <c r="J14" i="1"/>
  <c r="J23" i="1"/>
  <c r="J26" i="1"/>
  <c r="J29" i="1"/>
  <c r="J31" i="1"/>
  <c r="J32" i="1"/>
  <c r="J34" i="1"/>
  <c r="J35" i="1"/>
  <c r="J42" i="1"/>
  <c r="J43" i="1"/>
  <c r="J46" i="1"/>
  <c r="J49" i="1"/>
  <c r="J51" i="1"/>
  <c r="J52" i="1"/>
  <c r="J57" i="1"/>
  <c r="J54" i="1"/>
  <c r="J58" i="1"/>
  <c r="J62" i="1"/>
  <c r="J55" i="1"/>
  <c r="J61" i="1"/>
  <c r="J4109" i="1"/>
  <c r="J2373" i="1"/>
  <c r="J2252" i="1"/>
  <c r="J2079" i="1"/>
  <c r="J2372" i="1"/>
  <c r="J2078" i="1"/>
  <c r="J2077" i="1"/>
  <c r="J2005" i="1"/>
  <c r="J2891" i="1"/>
  <c r="J3169" i="1"/>
  <c r="J2890" i="1"/>
  <c r="J3168" i="1"/>
  <c r="J3306" i="1"/>
  <c r="J3030" i="1"/>
  <c r="J3167" i="1"/>
  <c r="J2799" i="1"/>
  <c r="J3166" i="1"/>
  <c r="J2203" i="1"/>
  <c r="J2076" i="1"/>
  <c r="J2075" i="1"/>
  <c r="J2889" i="1"/>
  <c r="J3305" i="1"/>
  <c r="J3304" i="1"/>
  <c r="J2074" i="1"/>
  <c r="J2251" i="1"/>
  <c r="J2073" i="1"/>
  <c r="J2072" i="1"/>
  <c r="J2566" i="1"/>
  <c r="J2371" i="1"/>
  <c r="J2071" i="1"/>
  <c r="J2888" i="1"/>
  <c r="J2887" i="1"/>
  <c r="J2565" i="1"/>
  <c r="J2564" i="1"/>
  <c r="J2563" i="1"/>
  <c r="J2004" i="1"/>
  <c r="J2070" i="1"/>
  <c r="J3623" i="1"/>
  <c r="J4623" i="1"/>
  <c r="J4622" i="1"/>
  <c r="J4621" i="1"/>
  <c r="J4847" i="1"/>
  <c r="J2054" i="1"/>
  <c r="J3165" i="1"/>
  <c r="J2942" i="1"/>
  <c r="J2941" i="1"/>
  <c r="J3303" i="1"/>
  <c r="J2370" i="1"/>
  <c r="J4868" i="1"/>
  <c r="J4867" i="1"/>
  <c r="J2562" i="1"/>
  <c r="J2561" i="1"/>
  <c r="J3029" i="1"/>
  <c r="J2250" i="1"/>
  <c r="J2249" i="1"/>
  <c r="J2248" i="1"/>
  <c r="J3302" i="1"/>
  <c r="J3301" i="1"/>
  <c r="J3300" i="1"/>
  <c r="J2560" i="1"/>
  <c r="J2202" i="1"/>
  <c r="J2754" i="1"/>
  <c r="J3471" i="1"/>
  <c r="J3470" i="1"/>
  <c r="J3469" i="1"/>
  <c r="J4552" i="1"/>
  <c r="J4419" i="1"/>
  <c r="J4551" i="1"/>
  <c r="J4226" i="1"/>
  <c r="J65" i="1"/>
  <c r="J64" i="1"/>
  <c r="J4911" i="1"/>
  <c r="J4842" i="1"/>
  <c r="J3299" i="1"/>
  <c r="J2247" i="1"/>
  <c r="J2753" i="1"/>
  <c r="J4887" i="1"/>
  <c r="J4529" i="1"/>
  <c r="J3298" i="1"/>
  <c r="J2003" i="1"/>
  <c r="J4841" i="1"/>
  <c r="J4225" i="1"/>
  <c r="J4528" i="1"/>
  <c r="J3297" i="1"/>
  <c r="J4224" i="1"/>
  <c r="J2069" i="1"/>
  <c r="J2369" i="1"/>
  <c r="J2368" i="1"/>
  <c r="J2886" i="1"/>
  <c r="J3164" i="1"/>
  <c r="J2367" i="1"/>
  <c r="J2366" i="1"/>
  <c r="J2752" i="1"/>
  <c r="J2246" i="1"/>
  <c r="J2245" i="1"/>
  <c r="J2068" i="1"/>
  <c r="J2751" i="1"/>
  <c r="J2067" i="1"/>
  <c r="J2826" i="1"/>
  <c r="J4713" i="1"/>
  <c r="J4609" i="1"/>
  <c r="J4808" i="1"/>
  <c r="J4910" i="1"/>
  <c r="J2365" i="1"/>
  <c r="J2364" i="1"/>
  <c r="J2363" i="1"/>
  <c r="J3296" i="1"/>
  <c r="J3163" i="1"/>
  <c r="J2798" i="1"/>
  <c r="J3162" i="1"/>
  <c r="J3295" i="1"/>
  <c r="J2797" i="1"/>
  <c r="J3294" i="1"/>
  <c r="J2885" i="1"/>
  <c r="J3161" i="1"/>
  <c r="J2796" i="1"/>
  <c r="J2825" i="1"/>
  <c r="J4175" i="1"/>
  <c r="J3028" i="1"/>
  <c r="J3293" i="1"/>
  <c r="J2559" i="1"/>
  <c r="J3160" i="1"/>
  <c r="J3292" i="1"/>
  <c r="J2558" i="1"/>
  <c r="J2884" i="1"/>
  <c r="J2557" i="1"/>
  <c r="J2883" i="1"/>
  <c r="J3291" i="1"/>
  <c r="J3290" i="1"/>
  <c r="J2556" i="1"/>
  <c r="J2750" i="1"/>
  <c r="J2749" i="1"/>
  <c r="J2362" i="1"/>
  <c r="J2361" i="1"/>
  <c r="J2360" i="1"/>
  <c r="J2359" i="1"/>
  <c r="J2358" i="1"/>
  <c r="J2357" i="1"/>
  <c r="J2066" i="1"/>
  <c r="J2555" i="1"/>
  <c r="J68" i="1"/>
  <c r="J99" i="1"/>
  <c r="J82" i="1"/>
  <c r="J86" i="1"/>
  <c r="J91" i="1"/>
  <c r="J94" i="1"/>
  <c r="J97" i="1"/>
  <c r="J101" i="1"/>
  <c r="J70" i="1"/>
  <c r="J2554" i="1"/>
  <c r="J3723" i="1"/>
  <c r="J2882" i="1"/>
  <c r="J2065" i="1"/>
  <c r="J3722" i="1"/>
  <c r="J3721" i="1"/>
  <c r="J3468" i="1"/>
  <c r="J3584" i="1"/>
  <c r="J3467" i="1"/>
  <c r="J4060" i="1"/>
  <c r="J4059" i="1"/>
  <c r="J4058" i="1"/>
  <c r="J4057" i="1"/>
  <c r="J3720" i="1"/>
  <c r="J3719" i="1"/>
  <c r="J3718" i="1"/>
  <c r="J3289" i="1"/>
  <c r="J3288" i="1"/>
  <c r="J3287" i="1"/>
  <c r="J3286" i="1"/>
  <c r="J2940" i="1"/>
  <c r="J2881" i="1"/>
  <c r="J2939" i="1"/>
  <c r="J2795" i="1"/>
  <c r="J2880" i="1"/>
  <c r="J2879" i="1"/>
  <c r="J3285" i="1"/>
  <c r="J3284" i="1"/>
  <c r="J2878" i="1"/>
  <c r="J3283" i="1"/>
  <c r="J3282" i="1"/>
  <c r="J3281" i="1"/>
  <c r="J3280" i="1"/>
  <c r="J3279" i="1"/>
  <c r="J3278" i="1"/>
  <c r="J3277" i="1"/>
  <c r="J3276" i="1"/>
  <c r="J3159" i="1"/>
  <c r="J3158" i="1"/>
  <c r="J3275" i="1"/>
  <c r="J3274" i="1"/>
  <c r="J3273" i="1"/>
  <c r="J2794" i="1"/>
  <c r="J2793" i="1"/>
  <c r="J4158" i="1"/>
  <c r="J3027" i="1"/>
  <c r="J3026" i="1"/>
  <c r="J2877" i="1"/>
  <c r="J2792" i="1"/>
  <c r="J3466" i="1"/>
  <c r="J3272" i="1"/>
  <c r="J2876" i="1"/>
  <c r="J2875" i="1"/>
  <c r="J3157" i="1"/>
  <c r="J3025" i="1"/>
  <c r="J2874" i="1"/>
  <c r="J2873" i="1"/>
  <c r="J3271" i="1"/>
  <c r="J3270" i="1"/>
  <c r="J3156" i="1"/>
  <c r="J3269" i="1"/>
  <c r="J3268" i="1"/>
  <c r="J3024" i="1"/>
  <c r="J3023" i="1"/>
  <c r="J3022" i="1"/>
  <c r="J3155" i="1"/>
  <c r="J2872" i="1"/>
  <c r="J359" i="1"/>
  <c r="J3154" i="1"/>
  <c r="J3021" i="1"/>
  <c r="J3267" i="1"/>
  <c r="J3153" i="1"/>
  <c r="J3152" i="1"/>
  <c r="J3151" i="1"/>
  <c r="J3150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791" i="1"/>
  <c r="J4840" i="1"/>
  <c r="J4223" i="1"/>
  <c r="J4222" i="1"/>
  <c r="J4221" i="1"/>
  <c r="J3583" i="1"/>
  <c r="J3149" i="1"/>
  <c r="J2871" i="1"/>
  <c r="J2870" i="1"/>
  <c r="J2869" i="1"/>
  <c r="J2868" i="1"/>
  <c r="J2867" i="1"/>
  <c r="J2866" i="1"/>
  <c r="J2865" i="1"/>
  <c r="J3411" i="1"/>
  <c r="J3410" i="1"/>
  <c r="J3409" i="1"/>
  <c r="J3408" i="1"/>
  <c r="J3407" i="1"/>
  <c r="J3406" i="1"/>
  <c r="J3405" i="1"/>
  <c r="J3404" i="1"/>
  <c r="J3266" i="1"/>
  <c r="J2864" i="1"/>
  <c r="J3265" i="1"/>
  <c r="J2863" i="1"/>
  <c r="J2862" i="1"/>
  <c r="J3148" i="1"/>
  <c r="J2861" i="1"/>
  <c r="J3147" i="1"/>
  <c r="J2860" i="1"/>
  <c r="J2859" i="1"/>
  <c r="J72" i="1"/>
  <c r="J4955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2790" i="1"/>
  <c r="J2789" i="1"/>
  <c r="J3116" i="1"/>
  <c r="J2993" i="1"/>
  <c r="J3115" i="1"/>
  <c r="J3114" i="1"/>
  <c r="J2858" i="1"/>
  <c r="J2857" i="1"/>
  <c r="J3264" i="1"/>
  <c r="J3263" i="1"/>
  <c r="J2788" i="1"/>
  <c r="J3262" i="1"/>
  <c r="J3261" i="1"/>
  <c r="J3260" i="1"/>
  <c r="J3259" i="1"/>
  <c r="J3258" i="1"/>
  <c r="J3257" i="1"/>
  <c r="J3256" i="1"/>
  <c r="J3255" i="1"/>
  <c r="J3254" i="1"/>
  <c r="J3253" i="1"/>
  <c r="J3113" i="1"/>
  <c r="J3112" i="1"/>
  <c r="J3403" i="1"/>
  <c r="J2992" i="1"/>
  <c r="J3402" i="1"/>
  <c r="J3875" i="1"/>
  <c r="J4839" i="1"/>
  <c r="J2856" i="1"/>
  <c r="J3111" i="1"/>
  <c r="J4886" i="1"/>
  <c r="J3874" i="1"/>
  <c r="J3110" i="1"/>
  <c r="J2991" i="1"/>
  <c r="J2787" i="1"/>
  <c r="J3109" i="1"/>
  <c r="J2855" i="1"/>
  <c r="J75" i="1"/>
  <c r="J3373" i="1"/>
  <c r="J3372" i="1"/>
  <c r="J3401" i="1"/>
  <c r="J4774" i="1"/>
  <c r="J3873" i="1"/>
  <c r="J4885" i="1"/>
  <c r="J4157" i="1"/>
  <c r="J4712" i="1"/>
  <c r="J3252" i="1"/>
  <c r="J4056" i="1"/>
  <c r="J3108" i="1"/>
  <c r="J2990" i="1"/>
  <c r="J3251" i="1"/>
  <c r="J2989" i="1"/>
  <c r="J3250" i="1"/>
  <c r="J3465" i="1"/>
  <c r="J3872" i="1"/>
  <c r="J3464" i="1"/>
  <c r="J3463" i="1"/>
  <c r="J4418" i="1"/>
  <c r="J4527" i="1"/>
  <c r="J4526" i="1"/>
  <c r="J4325" i="1"/>
  <c r="J4220" i="1"/>
  <c r="J4263" i="1"/>
  <c r="J78" i="1"/>
  <c r="J77" i="1"/>
  <c r="J3107" i="1"/>
  <c r="J4657" i="1"/>
  <c r="J3622" i="1"/>
  <c r="J3871" i="1"/>
  <c r="J3582" i="1"/>
  <c r="J3106" i="1"/>
  <c r="J3249" i="1"/>
  <c r="J3105" i="1"/>
  <c r="J3104" i="1"/>
  <c r="J3103" i="1"/>
  <c r="J3102" i="1"/>
  <c r="J3101" i="1"/>
  <c r="J3100" i="1"/>
  <c r="J3099" i="1"/>
  <c r="J2988" i="1"/>
  <c r="J2854" i="1"/>
  <c r="J3248" i="1"/>
  <c r="J2987" i="1"/>
  <c r="J2986" i="1"/>
  <c r="J3247" i="1"/>
  <c r="J3246" i="1"/>
  <c r="J3245" i="1"/>
  <c r="J2985" i="1"/>
  <c r="J2938" i="1"/>
  <c r="J2853" i="1"/>
  <c r="J2852" i="1"/>
  <c r="J3244" i="1"/>
  <c r="J2851" i="1"/>
  <c r="J2850" i="1"/>
  <c r="J3400" i="1"/>
  <c r="J3098" i="1"/>
  <c r="J3097" i="1"/>
  <c r="J3399" i="1"/>
  <c r="J3398" i="1"/>
  <c r="J3397" i="1"/>
  <c r="J3396" i="1"/>
  <c r="J3395" i="1"/>
  <c r="J3243" i="1"/>
  <c r="J3096" i="1"/>
  <c r="J3242" i="1"/>
  <c r="J3241" i="1"/>
  <c r="J3240" i="1"/>
  <c r="J2849" i="1"/>
  <c r="J2848" i="1"/>
  <c r="J2984" i="1"/>
  <c r="J2983" i="1"/>
  <c r="J2982" i="1"/>
  <c r="J3095" i="1"/>
  <c r="J3239" i="1"/>
  <c r="J4980" i="1"/>
  <c r="J3238" i="1"/>
  <c r="J3237" i="1"/>
  <c r="J3236" i="1"/>
  <c r="J3235" i="1"/>
  <c r="J3234" i="1"/>
  <c r="J3233" i="1"/>
  <c r="J3232" i="1"/>
  <c r="J3231" i="1"/>
  <c r="J4219" i="1"/>
  <c r="J3621" i="1"/>
  <c r="J4055" i="1"/>
  <c r="J3230" i="1"/>
  <c r="J4525" i="1"/>
  <c r="J3094" i="1"/>
  <c r="J3229" i="1"/>
  <c r="J2847" i="1"/>
  <c r="J3228" i="1"/>
  <c r="J3227" i="1"/>
  <c r="J3226" i="1"/>
  <c r="J3371" i="1"/>
  <c r="J3225" i="1"/>
  <c r="J2981" i="1"/>
  <c r="J4524" i="1"/>
  <c r="J4523" i="1"/>
  <c r="J3462" i="1"/>
  <c r="J3093" i="1"/>
  <c r="J3092" i="1"/>
  <c r="J3091" i="1"/>
  <c r="J3090" i="1"/>
  <c r="J3089" i="1"/>
  <c r="J3088" i="1"/>
  <c r="J3087" i="1"/>
  <c r="J3870" i="1"/>
  <c r="J2824" i="1"/>
  <c r="J4108" i="1"/>
  <c r="J3869" i="1"/>
  <c r="J3868" i="1"/>
  <c r="J3086" i="1"/>
  <c r="J3085" i="1"/>
  <c r="J2846" i="1"/>
  <c r="J3084" i="1"/>
  <c r="J3083" i="1"/>
  <c r="J3082" i="1"/>
  <c r="J3081" i="1"/>
  <c r="J3224" i="1"/>
  <c r="J2845" i="1"/>
  <c r="J3223" i="1"/>
  <c r="J2844" i="1"/>
  <c r="J3080" i="1"/>
  <c r="J3079" i="1"/>
  <c r="J3078" i="1"/>
  <c r="J2843" i="1"/>
  <c r="J3222" i="1"/>
  <c r="J3221" i="1"/>
  <c r="J2842" i="1"/>
  <c r="J2841" i="1"/>
  <c r="J3220" i="1"/>
  <c r="J2840" i="1"/>
  <c r="J3219" i="1"/>
  <c r="J3218" i="1"/>
  <c r="J2786" i="1"/>
  <c r="J3217" i="1"/>
  <c r="J2785" i="1"/>
  <c r="J2784" i="1"/>
  <c r="J2839" i="1"/>
  <c r="J3077" i="1"/>
  <c r="J4798" i="1"/>
  <c r="J4054" i="1"/>
  <c r="J3076" i="1"/>
  <c r="J3075" i="1"/>
  <c r="J4656" i="1"/>
  <c r="J4324" i="1"/>
  <c r="J4323" i="1"/>
  <c r="J3394" i="1"/>
  <c r="J3393" i="1"/>
  <c r="J3392" i="1"/>
  <c r="J2838" i="1"/>
  <c r="J2837" i="1"/>
  <c r="J4156" i="1"/>
  <c r="J4608" i="1"/>
  <c r="J4773" i="1"/>
  <c r="J3216" i="1"/>
  <c r="J2980" i="1"/>
  <c r="J2979" i="1"/>
  <c r="J2937" i="1"/>
  <c r="J2783" i="1"/>
  <c r="J2836" i="1"/>
  <c r="J3074" i="1"/>
  <c r="J3215" i="1"/>
  <c r="J2978" i="1"/>
  <c r="J3391" i="1"/>
  <c r="J3214" i="1"/>
  <c r="J3390" i="1"/>
  <c r="J2977" i="1"/>
  <c r="J2976" i="1"/>
  <c r="J2975" i="1"/>
  <c r="J2782" i="1"/>
  <c r="J3389" i="1"/>
  <c r="J3073" i="1"/>
  <c r="J3072" i="1"/>
  <c r="J4655" i="1"/>
  <c r="J4711" i="1"/>
  <c r="J4710" i="1"/>
  <c r="J4709" i="1"/>
  <c r="J4884" i="1"/>
  <c r="J4575" i="1"/>
  <c r="J4807" i="1"/>
  <c r="J3581" i="1"/>
  <c r="J3580" i="1"/>
  <c r="J4053" i="1"/>
  <c r="J2974" i="1"/>
  <c r="J3213" i="1"/>
  <c r="J4708" i="1"/>
  <c r="J4979" i="1"/>
  <c r="J4978" i="1"/>
  <c r="J4977" i="1"/>
  <c r="J4574" i="1"/>
  <c r="J4573" i="1"/>
  <c r="J4572" i="1"/>
  <c r="J4571" i="1"/>
  <c r="J4570" i="1"/>
  <c r="J4569" i="1"/>
  <c r="J4806" i="1"/>
  <c r="J4550" i="1"/>
  <c r="J4549" i="1"/>
  <c r="J4322" i="1"/>
  <c r="J3388" i="1"/>
  <c r="J2835" i="1"/>
  <c r="J2973" i="1"/>
  <c r="J3071" i="1"/>
  <c r="J3070" i="1"/>
  <c r="J3069" i="1"/>
  <c r="J3068" i="1"/>
  <c r="J3867" i="1"/>
  <c r="J4903" i="1"/>
  <c r="J4107" i="1"/>
  <c r="J4262" i="1"/>
  <c r="J4707" i="1"/>
  <c r="J4620" i="1"/>
  <c r="J4619" i="1"/>
  <c r="J3067" i="1"/>
  <c r="J3066" i="1"/>
  <c r="J3065" i="1"/>
  <c r="J3064" i="1"/>
  <c r="J3866" i="1"/>
  <c r="J2972" i="1"/>
  <c r="J4321" i="1"/>
  <c r="J4417" i="1"/>
  <c r="J3063" i="1"/>
  <c r="J3062" i="1"/>
  <c r="J3061" i="1"/>
  <c r="J3060" i="1"/>
  <c r="J3059" i="1"/>
  <c r="J3058" i="1"/>
  <c r="J3057" i="1"/>
  <c r="J3056" i="1"/>
  <c r="J4607" i="1"/>
  <c r="J4706" i="1"/>
  <c r="J4772" i="1"/>
  <c r="J4771" i="1"/>
  <c r="J4218" i="1"/>
  <c r="J4217" i="1"/>
  <c r="J4216" i="1"/>
  <c r="J4215" i="1"/>
  <c r="J4606" i="1"/>
  <c r="J4770" i="1"/>
  <c r="J4605" i="1"/>
  <c r="J4618" i="1"/>
  <c r="J4052" i="1"/>
  <c r="J4075" i="1"/>
  <c r="J3579" i="1"/>
  <c r="J4902" i="1"/>
  <c r="J4901" i="1"/>
  <c r="J4051" i="1"/>
  <c r="J3387" i="1"/>
  <c r="J2781" i="1"/>
  <c r="J3865" i="1"/>
  <c r="J3386" i="1"/>
  <c r="J4106" i="1"/>
  <c r="J4105" i="1"/>
  <c r="J4104" i="1"/>
  <c r="J3385" i="1"/>
  <c r="J3384" i="1"/>
  <c r="J2823" i="1"/>
  <c r="J3212" i="1"/>
  <c r="J3211" i="1"/>
  <c r="J3210" i="1"/>
  <c r="J4050" i="1"/>
  <c r="J3209" i="1"/>
  <c r="J4049" i="1"/>
  <c r="J3208" i="1"/>
  <c r="J3207" i="1"/>
  <c r="J3206" i="1"/>
  <c r="J3205" i="1"/>
  <c r="J4048" i="1"/>
  <c r="J3204" i="1"/>
  <c r="J3493" i="1"/>
  <c r="J3620" i="1"/>
  <c r="J4047" i="1"/>
  <c r="J3203" i="1"/>
  <c r="J3202" i="1"/>
  <c r="J4046" i="1"/>
  <c r="J4045" i="1"/>
  <c r="J4074" i="1"/>
  <c r="J4044" i="1"/>
  <c r="J4043" i="1"/>
  <c r="J4042" i="1"/>
  <c r="J4041" i="1"/>
  <c r="J3055" i="1"/>
  <c r="J4214" i="1"/>
  <c r="J4522" i="1"/>
  <c r="J4320" i="1"/>
  <c r="J4174" i="1"/>
  <c r="J2822" i="1"/>
  <c r="J2971" i="1"/>
  <c r="J3201" i="1"/>
  <c r="J3054" i="1"/>
  <c r="J3053" i="1"/>
  <c r="J3052" i="1"/>
  <c r="J3051" i="1"/>
  <c r="J3050" i="1"/>
  <c r="J2970" i="1"/>
  <c r="J2969" i="1"/>
  <c r="J4040" i="1"/>
  <c r="J4039" i="1"/>
  <c r="J4521" i="1"/>
  <c r="J4520" i="1"/>
  <c r="J4519" i="1"/>
  <c r="J3200" i="1"/>
  <c r="J2834" i="1"/>
  <c r="J3383" i="1"/>
  <c r="J3382" i="1"/>
  <c r="J3049" i="1"/>
  <c r="J3048" i="1"/>
  <c r="J3492" i="1"/>
  <c r="J4103" i="1"/>
  <c r="J4073" i="1"/>
  <c r="J3578" i="1"/>
  <c r="J3864" i="1"/>
  <c r="J3717" i="1"/>
  <c r="J3716" i="1"/>
  <c r="J3863" i="1"/>
  <c r="J4416" i="1"/>
  <c r="J3862" i="1"/>
  <c r="J3715" i="1"/>
  <c r="J3861" i="1"/>
  <c r="J3860" i="1"/>
  <c r="J4319" i="1"/>
  <c r="J4415" i="1"/>
  <c r="J4414" i="1"/>
  <c r="J2833" i="1"/>
  <c r="J3047" i="1"/>
  <c r="J3046" i="1"/>
  <c r="J4038" i="1"/>
  <c r="J3859" i="1"/>
  <c r="J4037" i="1"/>
  <c r="J3858" i="1"/>
  <c r="J3857" i="1"/>
  <c r="J4036" i="1"/>
  <c r="J3714" i="1"/>
  <c r="J4035" i="1"/>
  <c r="J4034" i="1"/>
  <c r="J4883" i="1"/>
  <c r="J4805" i="1"/>
  <c r="J2832" i="1"/>
  <c r="J2831" i="1"/>
  <c r="J3199" i="1"/>
  <c r="J3045" i="1"/>
  <c r="J4033" i="1"/>
  <c r="J4213" i="1"/>
  <c r="J4212" i="1"/>
  <c r="J4211" i="1"/>
  <c r="J2830" i="1"/>
  <c r="J3577" i="1"/>
  <c r="J3576" i="1"/>
  <c r="J3575" i="1"/>
  <c r="J3574" i="1"/>
  <c r="J3573" i="1"/>
  <c r="J3572" i="1"/>
  <c r="J3571" i="1"/>
  <c r="J3570" i="1"/>
  <c r="J3569" i="1"/>
  <c r="J3568" i="1"/>
  <c r="J3044" i="1"/>
  <c r="J3567" i="1"/>
  <c r="J2829" i="1"/>
  <c r="J3619" i="1"/>
  <c r="J3381" i="1"/>
  <c r="J3043" i="1"/>
  <c r="J4032" i="1"/>
  <c r="J2968" i="1"/>
  <c r="J3713" i="1"/>
  <c r="J2936" i="1"/>
  <c r="J3712" i="1"/>
  <c r="J2828" i="1"/>
  <c r="J3042" i="1"/>
  <c r="J4318" i="1"/>
  <c r="J2967" i="1"/>
  <c r="J3380" i="1"/>
  <c r="J3711" i="1"/>
  <c r="J2966" i="1"/>
  <c r="J3491" i="1"/>
  <c r="J3710" i="1"/>
  <c r="J2965" i="1"/>
  <c r="J3198" i="1"/>
  <c r="J3041" i="1"/>
  <c r="J2821" i="1"/>
  <c r="J3370" i="1"/>
  <c r="J3040" i="1"/>
  <c r="J4102" i="1"/>
  <c r="J3856" i="1"/>
  <c r="J3039" i="1"/>
  <c r="J4101" i="1"/>
  <c r="J3461" i="1"/>
  <c r="J3379" i="1"/>
  <c r="J3038" i="1"/>
  <c r="J3566" i="1"/>
  <c r="J3709" i="1"/>
  <c r="J3565" i="1"/>
  <c r="J3564" i="1"/>
  <c r="J3563" i="1"/>
  <c r="J3855" i="1"/>
  <c r="J3854" i="1"/>
  <c r="J4261" i="1"/>
  <c r="J3853" i="1"/>
  <c r="J3852" i="1"/>
  <c r="J3851" i="1"/>
  <c r="J3850" i="1"/>
  <c r="J3849" i="1"/>
  <c r="J3848" i="1"/>
  <c r="J3708" i="1"/>
  <c r="J2820" i="1"/>
  <c r="J3037" i="1"/>
  <c r="J3036" i="1"/>
  <c r="J3197" i="1"/>
  <c r="J3847" i="1"/>
  <c r="J3846" i="1"/>
  <c r="J3845" i="1"/>
  <c r="J3844" i="1"/>
  <c r="J3843" i="1"/>
  <c r="J3842" i="1"/>
  <c r="J3841" i="1"/>
  <c r="J3840" i="1"/>
  <c r="J3839" i="1"/>
  <c r="J3707" i="1"/>
  <c r="J3460" i="1"/>
  <c r="J3035" i="1"/>
  <c r="J3838" i="1"/>
  <c r="J3837" i="1"/>
  <c r="J4654" i="1"/>
  <c r="J4866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126" i="1"/>
  <c r="J125" i="1"/>
  <c r="J11" i="1"/>
  <c r="J13" i="1"/>
  <c r="J16" i="1"/>
  <c r="J17" i="1"/>
  <c r="J18" i="1"/>
  <c r="J19" i="1"/>
  <c r="J20" i="1"/>
  <c r="J21" i="1"/>
  <c r="J24" i="1"/>
  <c r="J25" i="1"/>
  <c r="J27" i="1"/>
  <c r="J28" i="1"/>
  <c r="J30" i="1"/>
  <c r="J33" i="1"/>
  <c r="J36" i="1"/>
  <c r="J37" i="1"/>
  <c r="J38" i="1"/>
  <c r="J39" i="1"/>
  <c r="J40" i="1"/>
  <c r="J41" i="1"/>
  <c r="J44" i="1"/>
  <c r="J45" i="1"/>
  <c r="J47" i="1"/>
  <c r="J50" i="1"/>
  <c r="J53" i="1"/>
  <c r="J56" i="1"/>
  <c r="J59" i="1"/>
  <c r="J60" i="1"/>
  <c r="J63" i="1"/>
  <c r="J66" i="1"/>
  <c r="J4996" i="1"/>
  <c r="J4031" i="1"/>
  <c r="J4769" i="1"/>
  <c r="J4768" i="1"/>
  <c r="J3562" i="1"/>
  <c r="J3706" i="1"/>
  <c r="J3378" i="1"/>
  <c r="J3705" i="1"/>
  <c r="J3704" i="1"/>
  <c r="J3703" i="1"/>
  <c r="J3702" i="1"/>
  <c r="J3701" i="1"/>
  <c r="J3700" i="1"/>
  <c r="J4030" i="1"/>
  <c r="J3459" i="1"/>
  <c r="J3699" i="1"/>
  <c r="J4317" i="1"/>
  <c r="J3698" i="1"/>
  <c r="J3697" i="1"/>
  <c r="J4029" i="1"/>
  <c r="J3696" i="1"/>
  <c r="J4028" i="1"/>
  <c r="J4100" i="1"/>
  <c r="J4072" i="1"/>
  <c r="J3561" i="1"/>
  <c r="J3458" i="1"/>
  <c r="J3695" i="1"/>
  <c r="J3560" i="1"/>
  <c r="J3694" i="1"/>
  <c r="J3377" i="1"/>
  <c r="J3376" i="1"/>
  <c r="J3693" i="1"/>
  <c r="J4976" i="1"/>
  <c r="J4027" i="1"/>
  <c r="J3559" i="1"/>
  <c r="J3558" i="1"/>
  <c r="J4518" i="1"/>
  <c r="J4026" i="1"/>
  <c r="J4025" i="1"/>
  <c r="J4024" i="1"/>
  <c r="J4023" i="1"/>
  <c r="J3557" i="1"/>
  <c r="J3556" i="1"/>
  <c r="J3618" i="1"/>
  <c r="J4022" i="1"/>
  <c r="J3490" i="1"/>
  <c r="J3489" i="1"/>
  <c r="J3692" i="1"/>
  <c r="J4021" i="1"/>
  <c r="J3822" i="1"/>
  <c r="J4020" i="1"/>
  <c r="J4019" i="1"/>
  <c r="J3691" i="1"/>
  <c r="J3690" i="1"/>
  <c r="J3689" i="1"/>
  <c r="J3688" i="1"/>
  <c r="J3687" i="1"/>
  <c r="J3686" i="1"/>
  <c r="J3685" i="1"/>
  <c r="J3821" i="1"/>
  <c r="J4018" i="1"/>
  <c r="J3555" i="1"/>
  <c r="J3554" i="1"/>
  <c r="J3553" i="1"/>
  <c r="J3820" i="1"/>
  <c r="J3819" i="1"/>
  <c r="J3818" i="1"/>
  <c r="J3457" i="1"/>
  <c r="J3817" i="1"/>
  <c r="J3684" i="1"/>
  <c r="J3816" i="1"/>
  <c r="J3683" i="1"/>
  <c r="J4017" i="1"/>
  <c r="J4016" i="1"/>
  <c r="J4015" i="1"/>
  <c r="J4014" i="1"/>
  <c r="J4013" i="1"/>
  <c r="J4012" i="1"/>
  <c r="J4011" i="1"/>
  <c r="J4010" i="1"/>
  <c r="J4210" i="1"/>
  <c r="J4009" i="1"/>
  <c r="J4008" i="1"/>
  <c r="J4007" i="1"/>
  <c r="J4006" i="1"/>
  <c r="J4005" i="1"/>
  <c r="J4004" i="1"/>
  <c r="J4003" i="1"/>
  <c r="J4002" i="1"/>
  <c r="J4001" i="1"/>
  <c r="J4000" i="1"/>
  <c r="J3999" i="1"/>
  <c r="J3815" i="1"/>
  <c r="J3617" i="1"/>
  <c r="J3552" i="1"/>
  <c r="J3814" i="1"/>
  <c r="J4413" i="1"/>
  <c r="J3813" i="1"/>
  <c r="J4099" i="1"/>
  <c r="J4098" i="1"/>
  <c r="J3551" i="1"/>
  <c r="J3812" i="1"/>
  <c r="J3998" i="1"/>
  <c r="J3997" i="1"/>
  <c r="J4097" i="1"/>
  <c r="J4096" i="1"/>
  <c r="J3811" i="1"/>
  <c r="J4095" i="1"/>
  <c r="J4581" i="1"/>
  <c r="J3996" i="1"/>
  <c r="J4846" i="1"/>
  <c r="J3682" i="1"/>
  <c r="J4071" i="1"/>
  <c r="J3681" i="1"/>
  <c r="J3995" i="1"/>
  <c r="J4412" i="1"/>
  <c r="J4705" i="1"/>
  <c r="J4411" i="1"/>
  <c r="J3810" i="1"/>
  <c r="J4410" i="1"/>
  <c r="J4409" i="1"/>
  <c r="J3809" i="1"/>
  <c r="J3808" i="1"/>
  <c r="J3994" i="1"/>
  <c r="J4209" i="1"/>
  <c r="J3550" i="1"/>
  <c r="J3993" i="1"/>
  <c r="J4094" i="1"/>
  <c r="J5001" i="1"/>
  <c r="J3992" i="1"/>
  <c r="J3991" i="1"/>
  <c r="J4517" i="1"/>
  <c r="J4516" i="1"/>
  <c r="J4515" i="1"/>
  <c r="J3549" i="1"/>
  <c r="J3548" i="1"/>
  <c r="J4408" i="1"/>
  <c r="J4407" i="1"/>
  <c r="J3807" i="1"/>
  <c r="J3806" i="1"/>
  <c r="J3805" i="1"/>
  <c r="J4406" i="1"/>
  <c r="J4514" i="1"/>
  <c r="J4513" i="1"/>
  <c r="J4512" i="1"/>
  <c r="J4511" i="1"/>
  <c r="J4767" i="1"/>
  <c r="J3616" i="1"/>
  <c r="J3615" i="1"/>
  <c r="J4604" i="1"/>
  <c r="J4603" i="1"/>
  <c r="J4510" i="1"/>
  <c r="J4405" i="1"/>
  <c r="J4316" i="1"/>
  <c r="J4208" i="1"/>
  <c r="J4602" i="1"/>
  <c r="J4207" i="1"/>
  <c r="J3547" i="1"/>
  <c r="J3804" i="1"/>
  <c r="J4548" i="1"/>
  <c r="J3990" i="1"/>
  <c r="J4155" i="1"/>
  <c r="J4404" i="1"/>
  <c r="J3803" i="1"/>
  <c r="J3989" i="1"/>
  <c r="J3988" i="1"/>
  <c r="J3456" i="1"/>
  <c r="J3455" i="1"/>
  <c r="J3454" i="1"/>
  <c r="J3546" i="1"/>
  <c r="J4766" i="1"/>
  <c r="J4797" i="1"/>
  <c r="J3987" i="1"/>
  <c r="J3802" i="1"/>
  <c r="J3801" i="1"/>
  <c r="J3680" i="1"/>
  <c r="J3986" i="1"/>
  <c r="J3985" i="1"/>
  <c r="J3453" i="1"/>
  <c r="J3984" i="1"/>
  <c r="J3545" i="1"/>
  <c r="J3983" i="1"/>
  <c r="J3982" i="1"/>
  <c r="J3981" i="1"/>
  <c r="J3980" i="1"/>
  <c r="J3979" i="1"/>
  <c r="J3978" i="1"/>
  <c r="J3977" i="1"/>
  <c r="J3976" i="1"/>
  <c r="J3975" i="1"/>
  <c r="J3974" i="1"/>
  <c r="J3800" i="1"/>
  <c r="J3973" i="1"/>
  <c r="J3972" i="1"/>
  <c r="J3971" i="1"/>
  <c r="J3970" i="1"/>
  <c r="J3544" i="1"/>
  <c r="J3969" i="1"/>
  <c r="J3799" i="1"/>
  <c r="J3798" i="1"/>
  <c r="J3797" i="1"/>
  <c r="J3796" i="1"/>
  <c r="J3795" i="1"/>
  <c r="J3794" i="1"/>
  <c r="J3679" i="1"/>
  <c r="J3793" i="1"/>
  <c r="J3452" i="1"/>
  <c r="J3614" i="1"/>
  <c r="J4093" i="1"/>
  <c r="J3488" i="1"/>
  <c r="J3678" i="1"/>
  <c r="J3792" i="1"/>
  <c r="J3791" i="1"/>
  <c r="J3790" i="1"/>
  <c r="J3677" i="1"/>
  <c r="J3676" i="1"/>
  <c r="J3968" i="1"/>
  <c r="J3675" i="1"/>
  <c r="J3967" i="1"/>
  <c r="J3966" i="1"/>
  <c r="J3965" i="1"/>
  <c r="J3964" i="1"/>
  <c r="J3543" i="1"/>
  <c r="J3789" i="1"/>
  <c r="J3788" i="1"/>
  <c r="J3787" i="1"/>
  <c r="J3786" i="1"/>
  <c r="J3785" i="1"/>
  <c r="J3784" i="1"/>
  <c r="J3783" i="1"/>
  <c r="J3782" i="1"/>
  <c r="J3781" i="1"/>
  <c r="J4403" i="1"/>
  <c r="J4402" i="1"/>
  <c r="J4401" i="1"/>
  <c r="J4400" i="1"/>
  <c r="J4399" i="1"/>
  <c r="J4398" i="1"/>
  <c r="J4547" i="1"/>
  <c r="J4509" i="1"/>
  <c r="J4508" i="1"/>
  <c r="J4765" i="1"/>
  <c r="J4397" i="1"/>
  <c r="J4534" i="1"/>
  <c r="J5000" i="1"/>
  <c r="J4999" i="1"/>
  <c r="J4995" i="1"/>
  <c r="J4396" i="1"/>
  <c r="J4764" i="1"/>
  <c r="J4998" i="1"/>
  <c r="J4909" i="1"/>
  <c r="J3780" i="1"/>
  <c r="J3779" i="1"/>
  <c r="J4315" i="1"/>
  <c r="J4763" i="1"/>
  <c r="J4762" i="1"/>
  <c r="J4653" i="1"/>
  <c r="J4900" i="1"/>
  <c r="J4761" i="1"/>
  <c r="J4652" i="1"/>
  <c r="J4651" i="1"/>
  <c r="J4568" i="1"/>
  <c r="J4650" i="1"/>
  <c r="J4154" i="1"/>
  <c r="J4649" i="1"/>
  <c r="J4760" i="1"/>
  <c r="J4759" i="1"/>
  <c r="J4758" i="1"/>
  <c r="J4648" i="1"/>
  <c r="J4757" i="1"/>
  <c r="J4756" i="1"/>
  <c r="J4507" i="1"/>
  <c r="J3674" i="1"/>
  <c r="J4092" i="1"/>
  <c r="J3673" i="1"/>
  <c r="J4647" i="1"/>
  <c r="J4646" i="1"/>
  <c r="J3451" i="1"/>
  <c r="J3542" i="1"/>
  <c r="J3672" i="1"/>
  <c r="J4091" i="1"/>
  <c r="J3671" i="1"/>
  <c r="J3450" i="1"/>
  <c r="J3541" i="1"/>
  <c r="J3778" i="1"/>
  <c r="J3613" i="1"/>
  <c r="J3963" i="1"/>
  <c r="J3962" i="1"/>
  <c r="J3612" i="1"/>
  <c r="J3961" i="1"/>
  <c r="J3777" i="1"/>
  <c r="J4314" i="1"/>
  <c r="J3449" i="1"/>
  <c r="J4395" i="1"/>
  <c r="J3540" i="1"/>
  <c r="J4313" i="1"/>
  <c r="J4312" i="1"/>
  <c r="J3670" i="1"/>
  <c r="J4645" i="1"/>
  <c r="J3776" i="1"/>
  <c r="J4090" i="1"/>
  <c r="J4089" i="1"/>
  <c r="J4088" i="1"/>
  <c r="J4087" i="1"/>
  <c r="J4086" i="1"/>
  <c r="J4085" i="1"/>
  <c r="J3775" i="1"/>
  <c r="J3539" i="1"/>
  <c r="J3538" i="1"/>
  <c r="J4882" i="1"/>
  <c r="J3774" i="1"/>
  <c r="J3773" i="1"/>
  <c r="J4394" i="1"/>
  <c r="J4567" i="1"/>
  <c r="J3772" i="1"/>
  <c r="J3771" i="1"/>
  <c r="J3770" i="1"/>
  <c r="J3769" i="1"/>
  <c r="J582" i="1"/>
  <c r="J581" i="1"/>
  <c r="J4173" i="1"/>
  <c r="J4153" i="1"/>
  <c r="J4152" i="1"/>
  <c r="J4393" i="1"/>
  <c r="J4151" i="1"/>
  <c r="J4206" i="1"/>
  <c r="J3537" i="1"/>
  <c r="J3487" i="1"/>
  <c r="J4506" i="1"/>
  <c r="J4392" i="1"/>
  <c r="J3768" i="1"/>
  <c r="J4084" i="1"/>
  <c r="J3669" i="1"/>
  <c r="J3668" i="1"/>
  <c r="J3960" i="1"/>
  <c r="J3767" i="1"/>
  <c r="J3766" i="1"/>
  <c r="J3448" i="1"/>
  <c r="J3536" i="1"/>
  <c r="J3535" i="1"/>
  <c r="J3534" i="1"/>
  <c r="J3447" i="1"/>
  <c r="J3765" i="1"/>
  <c r="J3764" i="1"/>
  <c r="J3959" i="1"/>
  <c r="J3958" i="1"/>
  <c r="J3533" i="1"/>
  <c r="J3957" i="1"/>
  <c r="J3956" i="1"/>
  <c r="J3532" i="1"/>
  <c r="J3667" i="1"/>
  <c r="J3763" i="1"/>
  <c r="J3446" i="1"/>
  <c r="J3955" i="1"/>
  <c r="J3445" i="1"/>
  <c r="J3444" i="1"/>
  <c r="J3762" i="1"/>
  <c r="J4311" i="1"/>
  <c r="J4505" i="1"/>
  <c r="J4260" i="1"/>
  <c r="J4504" i="1"/>
  <c r="J4503" i="1"/>
  <c r="J4259" i="1"/>
  <c r="J4258" i="1"/>
  <c r="J4257" i="1"/>
  <c r="J4391" i="1"/>
  <c r="J4256" i="1"/>
  <c r="J4255" i="1"/>
  <c r="J4254" i="1"/>
  <c r="J4253" i="1"/>
  <c r="J3611" i="1"/>
  <c r="J4252" i="1"/>
  <c r="J4502" i="1"/>
  <c r="J3954" i="1"/>
  <c r="J4083" i="1"/>
  <c r="J3610" i="1"/>
  <c r="J3953" i="1"/>
  <c r="J3609" i="1"/>
  <c r="J3531" i="1"/>
  <c r="J4501" i="1"/>
  <c r="J4500" i="1"/>
  <c r="J4150" i="1"/>
  <c r="J3761" i="1"/>
  <c r="J3760" i="1"/>
  <c r="J3759" i="1"/>
  <c r="J3758" i="1"/>
  <c r="J3757" i="1"/>
  <c r="J3756" i="1"/>
  <c r="J3608" i="1"/>
  <c r="J3607" i="1"/>
  <c r="J3952" i="1"/>
  <c r="J3951" i="1"/>
  <c r="J3606" i="1"/>
  <c r="J4070" i="1"/>
  <c r="J3486" i="1"/>
  <c r="J3485" i="1"/>
  <c r="J4310" i="1"/>
  <c r="J3950" i="1"/>
  <c r="J3949" i="1"/>
  <c r="J3666" i="1"/>
  <c r="J3755" i="1"/>
  <c r="J3948" i="1"/>
  <c r="J3665" i="1"/>
  <c r="J3664" i="1"/>
  <c r="J3947" i="1"/>
  <c r="J3663" i="1"/>
  <c r="J4082" i="1"/>
  <c r="J3754" i="1"/>
  <c r="J3753" i="1"/>
  <c r="J3752" i="1"/>
  <c r="J3946" i="1"/>
  <c r="J4081" i="1"/>
  <c r="J3751" i="1"/>
  <c r="J3750" i="1"/>
  <c r="J3945" i="1"/>
  <c r="J4149" i="1"/>
  <c r="J4580" i="1"/>
  <c r="J4704" i="1"/>
  <c r="J4644" i="1"/>
  <c r="J3749" i="1"/>
  <c r="J4148" i="1"/>
  <c r="J3748" i="1"/>
  <c r="J4080" i="1"/>
  <c r="J4079" i="1"/>
  <c r="J3944" i="1"/>
  <c r="J3530" i="1"/>
  <c r="J3529" i="1"/>
  <c r="J3528" i="1"/>
  <c r="J3527" i="1"/>
  <c r="J3526" i="1"/>
  <c r="J3525" i="1"/>
  <c r="J3524" i="1"/>
  <c r="J3943" i="1"/>
  <c r="J3523" i="1"/>
  <c r="J3942" i="1"/>
  <c r="J3747" i="1"/>
  <c r="J3746" i="1"/>
  <c r="J3745" i="1"/>
  <c r="J3941" i="1"/>
  <c r="J3443" i="1"/>
  <c r="J3522" i="1"/>
  <c r="J3442" i="1"/>
  <c r="J4975" i="1"/>
  <c r="J3662" i="1"/>
  <c r="J3661" i="1"/>
  <c r="J3660" i="1"/>
  <c r="J3659" i="1"/>
  <c r="J3658" i="1"/>
  <c r="J3744" i="1"/>
  <c r="J104" i="1"/>
  <c r="J3521" i="1"/>
  <c r="J3657" i="1"/>
  <c r="J3656" i="1"/>
  <c r="J3655" i="1"/>
  <c r="J3654" i="1"/>
  <c r="J3653" i="1"/>
  <c r="J4309" i="1"/>
  <c r="J4499" i="1"/>
  <c r="J4308" i="1"/>
  <c r="J4307" i="1"/>
  <c r="J3520" i="1"/>
  <c r="J3519" i="1"/>
  <c r="J3518" i="1"/>
  <c r="J4755" i="1"/>
  <c r="J4205" i="1"/>
  <c r="J3517" i="1"/>
  <c r="J4754" i="1"/>
  <c r="J4643" i="1"/>
  <c r="J4601" i="1"/>
  <c r="J4546" i="1"/>
  <c r="J4390" i="1"/>
  <c r="J4389" i="1"/>
  <c r="J3441" i="1"/>
  <c r="J3516" i="1"/>
  <c r="J4306" i="1"/>
  <c r="J3652" i="1"/>
  <c r="J3484" i="1"/>
  <c r="J3651" i="1"/>
  <c r="J3515" i="1"/>
  <c r="J3605" i="1"/>
  <c r="J3604" i="1"/>
  <c r="J3440" i="1"/>
  <c r="J4147" i="1"/>
  <c r="J4305" i="1"/>
  <c r="J3940" i="1"/>
  <c r="J3650" i="1"/>
  <c r="J4304" i="1"/>
  <c r="J4146" i="1"/>
  <c r="J3649" i="1"/>
  <c r="J4204" i="1"/>
  <c r="J4203" i="1"/>
  <c r="J4202" i="1"/>
  <c r="J3939" i="1"/>
  <c r="J3743" i="1"/>
  <c r="J3742" i="1"/>
  <c r="J3483" i="1"/>
  <c r="J4753" i="1"/>
  <c r="J4796" i="1"/>
  <c r="J4795" i="1"/>
  <c r="J4838" i="1"/>
  <c r="J4703" i="1"/>
  <c r="J3514" i="1"/>
  <c r="J4899" i="1"/>
  <c r="J3938" i="1"/>
  <c r="J4303" i="1"/>
  <c r="J4302" i="1"/>
  <c r="J4837" i="1"/>
  <c r="J3741" i="1"/>
  <c r="J4388" i="1"/>
  <c r="J4387" i="1"/>
  <c r="J4386" i="1"/>
  <c r="J4898" i="1"/>
  <c r="J4498" i="1"/>
  <c r="J4497" i="1"/>
  <c r="J4804" i="1"/>
  <c r="J4924" i="1"/>
  <c r="J4496" i="1"/>
  <c r="J3740" i="1"/>
  <c r="J4495" i="1"/>
  <c r="J3439" i="1"/>
  <c r="J3438" i="1"/>
  <c r="J5034" i="1"/>
  <c r="J5033" i="1"/>
  <c r="J3739" i="1"/>
  <c r="J4201" i="1"/>
  <c r="J4200" i="1"/>
  <c r="J3603" i="1"/>
  <c r="J4702" i="1"/>
  <c r="J4701" i="1"/>
  <c r="J4794" i="1"/>
  <c r="J4642" i="1"/>
  <c r="J4385" i="1"/>
  <c r="J4301" i="1"/>
  <c r="J4793" i="1"/>
  <c r="J3648" i="1"/>
  <c r="J4251" i="1"/>
  <c r="J3647" i="1"/>
  <c r="J4145" i="1"/>
  <c r="J3937" i="1"/>
  <c r="J3738" i="1"/>
  <c r="J3513" i="1"/>
  <c r="J3737" i="1"/>
  <c r="J3512" i="1"/>
  <c r="J4199" i="1"/>
  <c r="J3511" i="1"/>
  <c r="J4792" i="1"/>
  <c r="J3736" i="1"/>
  <c r="J3936" i="1"/>
  <c r="J4700" i="1"/>
  <c r="J3935" i="1"/>
  <c r="J3735" i="1"/>
  <c r="J3734" i="1"/>
  <c r="J3733" i="1"/>
  <c r="J3934" i="1"/>
  <c r="J4699" i="1"/>
  <c r="J3482" i="1"/>
  <c r="J3933" i="1"/>
  <c r="J4198" i="1"/>
  <c r="J4974" i="1"/>
  <c r="J4973" i="1"/>
  <c r="J5032" i="1"/>
  <c r="J4972" i="1"/>
  <c r="J4971" i="1"/>
  <c r="J4970" i="1"/>
  <c r="J4969" i="1"/>
  <c r="J4968" i="1"/>
  <c r="J4967" i="1"/>
  <c r="J3732" i="1"/>
  <c r="J3731" i="1"/>
  <c r="J3932" i="1"/>
  <c r="J3931" i="1"/>
  <c r="J3930" i="1"/>
  <c r="J3929" i="1"/>
  <c r="J3928" i="1"/>
  <c r="J3927" i="1"/>
  <c r="J3926" i="1"/>
  <c r="J3925" i="1"/>
  <c r="J3924" i="1"/>
  <c r="J4494" i="1"/>
  <c r="J4493" i="1"/>
  <c r="J4752" i="1"/>
  <c r="J4144" i="1"/>
  <c r="J4069" i="1"/>
  <c r="J4994" i="1"/>
  <c r="J3510" i="1"/>
  <c r="J4384" i="1"/>
  <c r="J5031" i="1"/>
  <c r="J4954" i="1"/>
  <c r="J4143" i="1"/>
  <c r="J4881" i="1"/>
  <c r="J4600" i="1"/>
  <c r="J4836" i="1"/>
  <c r="J4953" i="1"/>
  <c r="J4599" i="1"/>
  <c r="J4598" i="1"/>
  <c r="J4197" i="1"/>
  <c r="J4880" i="1"/>
  <c r="J4698" i="1"/>
  <c r="J3730" i="1"/>
  <c r="J4142" i="1"/>
  <c r="J4196" i="1"/>
  <c r="J4195" i="1"/>
  <c r="J4141" i="1"/>
  <c r="J4194" i="1"/>
  <c r="J4193" i="1"/>
  <c r="J3509" i="1"/>
  <c r="J4192" i="1"/>
  <c r="J4191" i="1"/>
  <c r="J4383" i="1"/>
  <c r="J4492" i="1"/>
  <c r="J3437" i="1"/>
  <c r="J4250" i="1"/>
  <c r="J3602" i="1"/>
  <c r="J4249" i="1"/>
  <c r="J4248" i="1"/>
  <c r="J4247" i="1"/>
  <c r="J4246" i="1"/>
  <c r="J4245" i="1"/>
  <c r="J4244" i="1"/>
  <c r="J4491" i="1"/>
  <c r="J4243" i="1"/>
  <c r="J4242" i="1"/>
  <c r="J4490" i="1"/>
  <c r="J4241" i="1"/>
  <c r="J4240" i="1"/>
  <c r="J4239" i="1"/>
  <c r="J4238" i="1"/>
  <c r="J4237" i="1"/>
  <c r="J4236" i="1"/>
  <c r="J4617" i="1"/>
  <c r="J4616" i="1"/>
  <c r="J4615" i="1"/>
  <c r="J4614" i="1"/>
  <c r="J4613" i="1"/>
  <c r="J4845" i="1"/>
  <c r="J4956" i="1"/>
  <c r="J3508" i="1"/>
  <c r="J3646" i="1"/>
  <c r="J4489" i="1"/>
  <c r="J4488" i="1"/>
  <c r="J4751" i="1"/>
  <c r="J4597" i="1"/>
  <c r="J4382" i="1"/>
  <c r="J4545" i="1"/>
  <c r="J3601" i="1"/>
  <c r="J4487" i="1"/>
  <c r="J4300" i="1"/>
  <c r="J4299" i="1"/>
  <c r="J4298" i="1"/>
  <c r="J4297" i="1"/>
  <c r="J4486" i="1"/>
  <c r="J4485" i="1"/>
  <c r="J4641" i="1"/>
  <c r="J3923" i="1"/>
  <c r="J3645" i="1"/>
  <c r="J3644" i="1"/>
  <c r="J3729" i="1"/>
  <c r="J3481" i="1"/>
  <c r="J3643" i="1"/>
  <c r="J3642" i="1"/>
  <c r="J3600" i="1"/>
  <c r="J3599" i="1"/>
  <c r="J4078" i="1"/>
  <c r="J3598" i="1"/>
  <c r="J3641" i="1"/>
  <c r="J3922" i="1"/>
  <c r="J3921" i="1"/>
  <c r="J3920" i="1"/>
  <c r="J3640" i="1"/>
  <c r="J3639" i="1"/>
  <c r="J3638" i="1"/>
  <c r="J3507" i="1"/>
  <c r="J4077" i="1"/>
  <c r="J4190" i="1"/>
  <c r="J3919" i="1"/>
  <c r="J3918" i="1"/>
  <c r="J4189" i="1"/>
  <c r="J4484" i="1"/>
  <c r="J3506" i="1"/>
  <c r="J3917" i="1"/>
  <c r="J3728" i="1"/>
  <c r="J3505" i="1"/>
  <c r="J4381" i="1"/>
  <c r="J4835" i="1"/>
  <c r="J5012" i="1"/>
  <c r="J4188" i="1"/>
  <c r="J3504" i="1"/>
  <c r="J3503" i="1"/>
  <c r="J3502" i="1"/>
  <c r="J4380" i="1"/>
  <c r="J4379" i="1"/>
  <c r="J4378" i="1"/>
  <c r="J4140" i="1"/>
  <c r="J4544" i="1"/>
  <c r="J4377" i="1"/>
  <c r="J4376" i="1"/>
  <c r="J4375" i="1"/>
  <c r="J4879" i="1"/>
  <c r="J3727" i="1"/>
  <c r="J3916" i="1"/>
  <c r="J4897" i="1"/>
  <c r="J4750" i="1"/>
  <c r="J4296" i="1"/>
  <c r="J4749" i="1"/>
  <c r="J4865" i="1"/>
  <c r="J4748" i="1"/>
  <c r="J4139" i="1"/>
  <c r="J4483" i="1"/>
  <c r="J4482" i="1"/>
  <c r="J4481" i="1"/>
  <c r="J4480" i="1"/>
  <c r="J4479" i="1"/>
  <c r="J4187" i="1"/>
  <c r="J4374" i="1"/>
  <c r="J4478" i="1"/>
  <c r="J4477" i="1"/>
  <c r="J4373" i="1"/>
  <c r="J4476" i="1"/>
  <c r="J4295" i="1"/>
  <c r="J4294" i="1"/>
  <c r="J4293" i="1"/>
  <c r="J4292" i="1"/>
  <c r="J4372" i="1"/>
  <c r="J4186" i="1"/>
  <c r="J4371" i="1"/>
  <c r="J4923" i="1"/>
  <c r="J4370" i="1"/>
  <c r="J4966" i="1"/>
  <c r="J4138" i="1"/>
  <c r="J4369" i="1"/>
  <c r="J4368" i="1"/>
  <c r="J4367" i="1"/>
  <c r="J4366" i="1"/>
  <c r="J4365" i="1"/>
  <c r="J4364" i="1"/>
  <c r="J4363" i="1"/>
  <c r="J4697" i="1"/>
  <c r="J4696" i="1"/>
  <c r="J4291" i="1"/>
  <c r="J3501" i="1"/>
  <c r="J4172" i="1"/>
  <c r="J3726" i="1"/>
  <c r="J4290" i="1"/>
  <c r="J4475" i="1"/>
  <c r="J4474" i="1"/>
  <c r="J4362" i="1"/>
  <c r="J4361" i="1"/>
  <c r="J4289" i="1"/>
  <c r="J4543" i="1"/>
  <c r="J4185" i="1"/>
  <c r="J4360" i="1"/>
  <c r="J4235" i="1"/>
  <c r="J4473" i="1"/>
  <c r="J4472" i="1"/>
  <c r="J4471" i="1"/>
  <c r="J4896" i="1"/>
  <c r="J5047" i="1"/>
  <c r="J4470" i="1"/>
  <c r="J4469" i="1"/>
  <c r="J4234" i="1"/>
  <c r="J4922" i="1"/>
  <c r="J4895" i="1"/>
  <c r="J4993" i="1"/>
  <c r="J4542" i="1"/>
  <c r="J4541" i="1"/>
  <c r="J4468" i="1"/>
  <c r="J4288" i="1"/>
  <c r="J4287" i="1"/>
  <c r="J4359" i="1"/>
  <c r="J4137" i="1"/>
  <c r="J4136" i="1"/>
  <c r="J4467" i="1"/>
  <c r="J4992" i="1"/>
  <c r="J4286" i="1"/>
  <c r="J4285" i="1"/>
  <c r="J4284" i="1"/>
  <c r="J4283" i="1"/>
  <c r="J4282" i="1"/>
  <c r="J4281" i="1"/>
  <c r="J4466" i="1"/>
  <c r="J4358" i="1"/>
  <c r="J4184" i="1"/>
  <c r="J4135" i="1"/>
  <c r="J4134" i="1"/>
  <c r="J4540" i="1"/>
  <c r="J4539" i="1"/>
  <c r="J4538" i="1"/>
  <c r="J4612" i="1"/>
  <c r="J4596" i="1"/>
  <c r="J4465" i="1"/>
  <c r="J4464" i="1"/>
  <c r="J4357" i="1"/>
  <c r="J4356" i="1"/>
  <c r="J4463" i="1"/>
  <c r="J4280" i="1"/>
  <c r="J4279" i="1"/>
  <c r="J4278" i="1"/>
  <c r="J4355" i="1"/>
  <c r="J4133" i="1"/>
  <c r="J4354" i="1"/>
  <c r="J4537" i="1"/>
  <c r="J4353" i="1"/>
  <c r="J4277" i="1"/>
  <c r="J4462" i="1"/>
  <c r="J4536" i="1"/>
  <c r="J4352" i="1"/>
  <c r="J4351" i="1"/>
  <c r="J4350" i="1"/>
  <c r="J4695" i="1"/>
  <c r="J4349" i="1"/>
  <c r="J4461" i="1"/>
  <c r="J4132" i="1"/>
  <c r="J4131" i="1"/>
  <c r="J4130" i="1"/>
  <c r="J4129" i="1"/>
  <c r="J4128" i="1"/>
  <c r="J4566" i="1"/>
  <c r="J4565" i="1"/>
  <c r="J4564" i="1"/>
  <c r="J4563" i="1"/>
  <c r="J4747" i="1"/>
  <c r="J4746" i="1"/>
  <c r="J4745" i="1"/>
  <c r="J4834" i="1"/>
  <c r="J4833" i="1"/>
  <c r="J4832" i="1"/>
  <c r="J4127" i="1"/>
  <c r="J4460" i="1"/>
  <c r="J4126" i="1"/>
  <c r="J4459" i="1"/>
  <c r="J4458" i="1"/>
  <c r="J4348" i="1"/>
  <c r="J4457" i="1"/>
  <c r="J4791" i="1"/>
  <c r="J4790" i="1"/>
  <c r="J4908" i="1"/>
  <c r="J4991" i="1"/>
  <c r="J4456" i="1"/>
  <c r="J4455" i="1"/>
  <c r="J4454" i="1"/>
  <c r="J4453" i="1"/>
  <c r="J4276" i="1"/>
  <c r="J4125" i="1"/>
  <c r="J4744" i="1"/>
  <c r="J4535" i="1"/>
  <c r="J4347" i="1"/>
  <c r="J4346" i="1"/>
  <c r="J3915" i="1"/>
  <c r="J4233" i="1"/>
  <c r="J4183" i="1"/>
  <c r="J4345" i="1"/>
  <c r="J4182" i="1"/>
  <c r="J4344" i="1"/>
  <c r="J4343" i="1"/>
  <c r="J4640" i="1"/>
  <c r="J4124" i="1"/>
  <c r="J4232" i="1"/>
  <c r="J4342" i="1"/>
  <c r="J4341" i="1"/>
  <c r="J4340" i="1"/>
  <c r="J4275" i="1"/>
  <c r="J4274" i="1"/>
  <c r="J4171" i="1"/>
  <c r="J4273" i="1"/>
  <c r="J4339" i="1"/>
  <c r="J4452" i="1"/>
  <c r="J4272" i="1"/>
  <c r="J4451" i="1"/>
  <c r="J4271" i="1"/>
  <c r="J4270" i="1"/>
  <c r="J4338" i="1"/>
  <c r="J4337" i="1"/>
  <c r="J4336" i="1"/>
  <c r="J4335" i="1"/>
  <c r="J4334" i="1"/>
  <c r="J4450" i="1"/>
  <c r="J4449" i="1"/>
  <c r="J4448" i="1"/>
  <c r="J4447" i="1"/>
  <c r="J4446" i="1"/>
  <c r="J4445" i="1"/>
  <c r="J4444" i="1"/>
  <c r="J4443" i="1"/>
  <c r="J4442" i="1"/>
  <c r="J4441" i="1"/>
  <c r="J4743" i="1"/>
  <c r="J4742" i="1"/>
  <c r="J4741" i="1"/>
  <c r="J4740" i="1"/>
  <c r="J4739" i="1"/>
  <c r="J4738" i="1"/>
  <c r="J4737" i="1"/>
  <c r="J4333" i="1"/>
  <c r="J4907" i="1"/>
  <c r="J4831" i="1"/>
  <c r="J4332" i="1"/>
  <c r="J4181" i="1"/>
  <c r="J4440" i="1"/>
  <c r="J4562" i="1"/>
  <c r="J4533" i="1"/>
  <c r="J4694" i="1"/>
  <c r="J4693" i="1"/>
  <c r="J4170" i="1"/>
  <c r="J4169" i="1"/>
  <c r="J4331" i="1"/>
  <c r="J4269" i="1"/>
  <c r="J4268" i="1"/>
  <c r="J4330" i="1"/>
  <c r="J4329" i="1"/>
  <c r="J4561" i="1"/>
  <c r="J4692" i="1"/>
  <c r="J4168" i="1"/>
  <c r="J4167" i="1"/>
  <c r="J4166" i="1"/>
  <c r="J4165" i="1"/>
  <c r="J4164" i="1"/>
  <c r="J4163" i="1"/>
  <c r="J4736" i="1"/>
  <c r="J4639" i="1"/>
  <c r="J4579" i="1"/>
  <c r="J4819" i="1"/>
  <c r="J4691" i="1"/>
  <c r="J4690" i="1"/>
  <c r="J4638" i="1"/>
  <c r="J4637" i="1"/>
  <c r="J4636" i="1"/>
  <c r="J4635" i="1"/>
  <c r="J4634" i="1"/>
  <c r="J4633" i="1"/>
  <c r="J4123" i="1"/>
  <c r="J4180" i="1"/>
  <c r="J4595" i="1"/>
  <c r="J4611" i="1"/>
  <c r="J4689" i="1"/>
  <c r="J4688" i="1"/>
  <c r="J4776" i="1"/>
  <c r="J4578" i="1"/>
  <c r="J4594" i="1"/>
  <c r="J4906" i="1"/>
  <c r="J4687" i="1"/>
  <c r="J4686" i="1"/>
  <c r="J4267" i="1"/>
  <c r="J4921" i="1"/>
  <c r="J4328" i="1"/>
  <c r="J4439" i="1"/>
  <c r="J4266" i="1"/>
  <c r="J4560" i="1"/>
  <c r="J4735" i="1"/>
  <c r="J4327" i="1"/>
  <c r="J4685" i="1"/>
  <c r="J4684" i="1"/>
  <c r="J4265" i="1"/>
  <c r="J4789" i="1"/>
  <c r="J4179" i="1"/>
  <c r="J4683" i="1"/>
  <c r="J4682" i="1"/>
  <c r="J4864" i="1"/>
  <c r="J4264" i="1"/>
  <c r="J4178" i="1"/>
  <c r="J4734" i="1"/>
  <c r="J4681" i="1"/>
  <c r="J4680" i="1"/>
  <c r="J4593" i="1"/>
  <c r="J4632" i="1"/>
  <c r="J4592" i="1"/>
  <c r="J4733" i="1"/>
  <c r="J4679" i="1"/>
  <c r="J4591" i="1"/>
  <c r="J4631" i="1"/>
  <c r="J4678" i="1"/>
  <c r="J4677" i="1"/>
  <c r="J5046" i="1"/>
  <c r="J4590" i="1"/>
  <c r="J4905" i="1"/>
  <c r="J4732" i="1"/>
  <c r="J4676" i="1"/>
  <c r="J4589" i="1"/>
  <c r="J4630" i="1"/>
  <c r="J4731" i="1"/>
  <c r="J4730" i="1"/>
  <c r="J4588" i="1"/>
  <c r="J4830" i="1"/>
  <c r="J4675" i="1"/>
  <c r="J4894" i="1"/>
  <c r="J4559" i="1"/>
  <c r="J4674" i="1"/>
  <c r="J4729" i="1"/>
  <c r="J4728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673" i="1"/>
  <c r="J4629" i="1"/>
  <c r="J67" i="1"/>
  <c r="J69" i="1"/>
  <c r="J71" i="1"/>
  <c r="J73" i="1"/>
  <c r="J74" i="1"/>
  <c r="J76" i="1"/>
  <c r="J79" i="1"/>
  <c r="J80" i="1"/>
  <c r="J81" i="1"/>
  <c r="J83" i="1"/>
  <c r="J84" i="1"/>
  <c r="J85" i="1"/>
  <c r="J87" i="1"/>
  <c r="J88" i="1"/>
  <c r="J89" i="1"/>
  <c r="J90" i="1"/>
  <c r="J92" i="1"/>
  <c r="J93" i="1"/>
  <c r="J95" i="1"/>
  <c r="J96" i="1"/>
  <c r="J98" i="1"/>
  <c r="J100" i="1"/>
  <c r="J102" i="1"/>
  <c r="J103" i="1"/>
  <c r="J105" i="1"/>
  <c r="J106" i="1"/>
  <c r="J107" i="1"/>
  <c r="J4727" i="1"/>
  <c r="J4558" i="1"/>
  <c r="J4672" i="1"/>
  <c r="J4671" i="1"/>
  <c r="J4670" i="1"/>
  <c r="J4669" i="1"/>
  <c r="J4668" i="1"/>
  <c r="J4667" i="1"/>
  <c r="J4666" i="1"/>
  <c r="J4665" i="1"/>
  <c r="J4587" i="1"/>
  <c r="J4586" i="1"/>
  <c r="J4863" i="1"/>
  <c r="J4664" i="1"/>
  <c r="J4663" i="1"/>
  <c r="J4628" i="1"/>
  <c r="J4965" i="1"/>
  <c r="J4557" i="1"/>
  <c r="J4627" i="1"/>
  <c r="J4893" i="1"/>
  <c r="J4952" i="1"/>
  <c r="J4951" i="1"/>
  <c r="J4878" i="1"/>
  <c r="J4662" i="1"/>
  <c r="J4877" i="1"/>
  <c r="J4904" i="1"/>
  <c r="J4661" i="1"/>
  <c r="J4626" i="1"/>
  <c r="J4585" i="1"/>
  <c r="J4660" i="1"/>
  <c r="J4862" i="1"/>
  <c r="J4861" i="1"/>
  <c r="J5030" i="1"/>
  <c r="J5029" i="1"/>
  <c r="J4964" i="1"/>
  <c r="J5028" i="1"/>
  <c r="J5027" i="1"/>
  <c r="J5026" i="1"/>
  <c r="J5004" i="1"/>
  <c r="J4584" i="1"/>
  <c r="J5025" i="1"/>
  <c r="J4726" i="1"/>
  <c r="J4725" i="1"/>
  <c r="J4556" i="1"/>
  <c r="J4876" i="1"/>
  <c r="J4583" i="1"/>
  <c r="J4659" i="1"/>
  <c r="J4937" i="1"/>
  <c r="J4555" i="1"/>
  <c r="J4892" i="1"/>
  <c r="J4990" i="1"/>
  <c r="J4860" i="1"/>
  <c r="J4891" i="1"/>
  <c r="J5011" i="1"/>
  <c r="J4554" i="1"/>
  <c r="J5019" i="1"/>
  <c r="J4958" i="1"/>
  <c r="J4625" i="1"/>
  <c r="J4920" i="1"/>
  <c r="J4936" i="1"/>
  <c r="J4935" i="1"/>
  <c r="J4658" i="1"/>
  <c r="J4829" i="1"/>
  <c r="J4859" i="1"/>
  <c r="J4890" i="1"/>
  <c r="J4858" i="1"/>
  <c r="J4989" i="1"/>
  <c r="J4889" i="1"/>
  <c r="J4857" i="1"/>
  <c r="J4856" i="1"/>
  <c r="J4988" i="1"/>
  <c r="J4828" i="1"/>
  <c r="J4827" i="1"/>
  <c r="J4724" i="1"/>
  <c r="J4723" i="1"/>
  <c r="J4875" i="1"/>
  <c r="J4803" i="1"/>
  <c r="J4802" i="1"/>
  <c r="J4722" i="1"/>
  <c r="J4818" i="1"/>
  <c r="J4874" i="1"/>
  <c r="J5010" i="1"/>
  <c r="J5009" i="1"/>
  <c r="J4817" i="1"/>
  <c r="J4855" i="1"/>
  <c r="J4826" i="1"/>
  <c r="J4816" i="1"/>
  <c r="J4815" i="1"/>
  <c r="J4825" i="1"/>
  <c r="J4934" i="1"/>
  <c r="J4997" i="1"/>
  <c r="J4814" i="1"/>
  <c r="J4813" i="1"/>
  <c r="J5005" i="1"/>
  <c r="J4801" i="1"/>
  <c r="J4800" i="1"/>
  <c r="J4854" i="1"/>
  <c r="J4950" i="1"/>
  <c r="J4987" i="1"/>
  <c r="J4888" i="1"/>
  <c r="J4824" i="1"/>
  <c r="J5024" i="1"/>
  <c r="J4986" i="1"/>
  <c r="J4873" i="1"/>
  <c r="J4853" i="1"/>
  <c r="J4852" i="1"/>
  <c r="J4823" i="1"/>
  <c r="J4851" i="1"/>
  <c r="J4919" i="1"/>
  <c r="J4799" i="1"/>
  <c r="J4933" i="1"/>
  <c r="J4949" i="1"/>
  <c r="J4850" i="1"/>
  <c r="J4849" i="1"/>
  <c r="J4872" i="1"/>
  <c r="J4963" i="1"/>
  <c r="J4871" i="1"/>
  <c r="J4848" i="1"/>
  <c r="J4948" i="1"/>
  <c r="J4947" i="1"/>
  <c r="J4946" i="1"/>
  <c r="J4932" i="1"/>
  <c r="J4931" i="1"/>
  <c r="J4962" i="1"/>
  <c r="J4918" i="1"/>
  <c r="J4917" i="1"/>
  <c r="J4916" i="1"/>
  <c r="J4945" i="1"/>
  <c r="J4944" i="1"/>
  <c r="J4943" i="1"/>
  <c r="J4942" i="1"/>
  <c r="J4915" i="1"/>
  <c r="J4822" i="1"/>
  <c r="J4941" i="1"/>
  <c r="J4940" i="1"/>
  <c r="J4939" i="1"/>
  <c r="J4821" i="1"/>
  <c r="J4914" i="1"/>
  <c r="J4870" i="1"/>
  <c r="J4869" i="1"/>
  <c r="J4938" i="1"/>
  <c r="J4985" i="1"/>
  <c r="J5018" i="1"/>
  <c r="J4930" i="1"/>
  <c r="J4984" i="1"/>
  <c r="J4929" i="1"/>
  <c r="J5045" i="1"/>
  <c r="J4983" i="1"/>
  <c r="J4982" i="1"/>
  <c r="J3914" i="1"/>
  <c r="J4961" i="1"/>
  <c r="J5008" i="1"/>
  <c r="J5023" i="1"/>
  <c r="J4913" i="1"/>
  <c r="J5017" i="1"/>
  <c r="J5016" i="1"/>
  <c r="J5007" i="1"/>
  <c r="J5022" i="1"/>
  <c r="J5021" i="1"/>
  <c r="J4928" i="1"/>
  <c r="J5044" i="1"/>
  <c r="J4960" i="1"/>
  <c r="J4981" i="1"/>
  <c r="J5043" i="1"/>
  <c r="J5042" i="1"/>
  <c r="J5041" i="1"/>
  <c r="J5040" i="1"/>
  <c r="J5039" i="1"/>
  <c r="J4959" i="1"/>
  <c r="J5038" i="1"/>
  <c r="J5037" i="1"/>
  <c r="J5006" i="1"/>
  <c r="J5036" i="1"/>
  <c r="J5015" i="1"/>
  <c r="J4957" i="1"/>
  <c r="J5014" i="1"/>
  <c r="J5013" i="1"/>
  <c r="J5048" i="1"/>
  <c r="J5049" i="1"/>
  <c r="J5035" i="1"/>
  <c r="J4820" i="1"/>
  <c r="J3913" i="1"/>
  <c r="J3500" i="1"/>
  <c r="J3499" i="1"/>
  <c r="J3637" i="1"/>
  <c r="J3498" i="1"/>
  <c r="J3497" i="1"/>
  <c r="J3496" i="1"/>
  <c r="J4438" i="1"/>
  <c r="J4721" i="1"/>
  <c r="J3912" i="1"/>
  <c r="J3597" i="1"/>
  <c r="J3911" i="1"/>
  <c r="J3910" i="1"/>
  <c r="J3909" i="1"/>
  <c r="J4076" i="1"/>
  <c r="J3908" i="1"/>
  <c r="J5020" i="1"/>
</calcChain>
</file>

<file path=xl/sharedStrings.xml><?xml version="1.0" encoding="utf-8"?>
<sst xmlns="http://schemas.openxmlformats.org/spreadsheetml/2006/main" count="45422" uniqueCount="15654">
  <si>
    <t>資料庫編號：</t>
  </si>
  <si>
    <t>20220620135035</t>
  </si>
  <si>
    <t>資料庫名稱：</t>
  </si>
  <si>
    <t>2022 逢甲聯盟贈品(一年期書目)</t>
  </si>
  <si>
    <t>已加入出版品筆數：</t>
  </si>
  <si>
    <t>5045</t>
  </si>
  <si>
    <t>出版品名稱</t>
  </si>
  <si>
    <t>ISBN</t>
  </si>
  <si>
    <t>出版單位</t>
  </si>
  <si>
    <t>作者</t>
  </si>
  <si>
    <t>出版年</t>
  </si>
  <si>
    <t>分類號</t>
  </si>
  <si>
    <t>大分類</t>
  </si>
  <si>
    <t>內容語文</t>
  </si>
  <si>
    <t>出版狀態</t>
  </si>
  <si>
    <t>URL</t>
  </si>
  <si>
    <t>英國文學源流導覽</t>
  </si>
  <si>
    <t>9789574451685</t>
  </si>
  <si>
    <t>書林出版有限公司</t>
  </si>
  <si>
    <t>蘇其康，王儀君</t>
  </si>
  <si>
    <t>2010</t>
  </si>
  <si>
    <t>350</t>
  </si>
  <si>
    <t>873.9</t>
  </si>
  <si>
    <t>語言文學類</t>
  </si>
  <si>
    <t>繁體中文</t>
  </si>
  <si>
    <t>已出版</t>
  </si>
  <si>
    <t>無土蔬菜栽培</t>
  </si>
  <si>
    <t>9576010500</t>
  </si>
  <si>
    <t>五洲出版有限公司</t>
  </si>
  <si>
    <t>劉熙，廖本裕</t>
  </si>
  <si>
    <t>2015</t>
  </si>
  <si>
    <t>435.16</t>
  </si>
  <si>
    <t>應用科學類</t>
  </si>
  <si>
    <t>樂理入門與指導</t>
  </si>
  <si>
    <t>9576010780</t>
  </si>
  <si>
    <t>音樂研究社</t>
  </si>
  <si>
    <t>911</t>
  </si>
  <si>
    <t>藝術類</t>
  </si>
  <si>
    <t>健身強功修練秘笈</t>
  </si>
  <si>
    <t>9576011515</t>
  </si>
  <si>
    <t>曾奇峰</t>
  </si>
  <si>
    <t>320</t>
  </si>
  <si>
    <t>411.1</t>
  </si>
  <si>
    <t>咖啡‧芒果‧腰果栽培法</t>
  </si>
  <si>
    <t>957601235X</t>
  </si>
  <si>
    <t>謝海青</t>
  </si>
  <si>
    <t>300</t>
  </si>
  <si>
    <t>435.3</t>
  </si>
  <si>
    <t>梅‧荔枝‧可可栽培法</t>
  </si>
  <si>
    <t>9576012392</t>
  </si>
  <si>
    <t>劉志廣</t>
  </si>
  <si>
    <t>蚯蚓的利用與養殖</t>
  </si>
  <si>
    <t>957601140X</t>
  </si>
  <si>
    <t>謝宜敏</t>
  </si>
  <si>
    <t>386.6</t>
  </si>
  <si>
    <t>科學類</t>
  </si>
  <si>
    <t>土木建築工程估價</t>
  </si>
  <si>
    <t>9576012163</t>
  </si>
  <si>
    <t>史天興</t>
  </si>
  <si>
    <t>360</t>
  </si>
  <si>
    <t>441.523</t>
  </si>
  <si>
    <t>建築工程監工實務</t>
  </si>
  <si>
    <t>957601056X</t>
  </si>
  <si>
    <t>杜東洲</t>
  </si>
  <si>
    <t>2013</t>
  </si>
  <si>
    <t>520</t>
  </si>
  <si>
    <t>441.527</t>
  </si>
  <si>
    <t>機工機械辭典</t>
  </si>
  <si>
    <t>9789576013058</t>
  </si>
  <si>
    <t>胡詳麟，陳威</t>
  </si>
  <si>
    <t>2014</t>
  </si>
  <si>
    <t>446.04</t>
  </si>
  <si>
    <t>心意六合拳</t>
  </si>
  <si>
    <t>9576011442</t>
  </si>
  <si>
    <t>徐谷鳴</t>
  </si>
  <si>
    <t>528.97</t>
  </si>
  <si>
    <t>社會科學類</t>
  </si>
  <si>
    <t>峨嵋欄手門</t>
  </si>
  <si>
    <t>9576010586</t>
  </si>
  <si>
    <t>528.972</t>
  </si>
  <si>
    <t>鐵砂掌功秘訣</t>
  </si>
  <si>
    <t>9576012430</t>
  </si>
  <si>
    <t>袁楚材</t>
  </si>
  <si>
    <t>易經的圖與卦</t>
  </si>
  <si>
    <t>9576010918</t>
  </si>
  <si>
    <t>閆修篆</t>
  </si>
  <si>
    <t>121.17</t>
  </si>
  <si>
    <t>哲學類</t>
  </si>
  <si>
    <t>內外輕功</t>
  </si>
  <si>
    <t>9576011213</t>
  </si>
  <si>
    <t>萬賴聲</t>
  </si>
  <si>
    <t>白鶴門食鶴拳</t>
  </si>
  <si>
    <t>9576012422</t>
  </si>
  <si>
    <t>劉故，蘇昱彰</t>
  </si>
  <si>
    <t>蛇與龜鱉的飼養</t>
  </si>
  <si>
    <t>957601090X</t>
  </si>
  <si>
    <t>洪向志</t>
  </si>
  <si>
    <t>380</t>
  </si>
  <si>
    <t>437.865</t>
  </si>
  <si>
    <t>民法概要突破</t>
  </si>
  <si>
    <t>9789578418479</t>
  </si>
  <si>
    <t>大日出版有限公司</t>
  </si>
  <si>
    <t>曾文龍</t>
  </si>
  <si>
    <t>2012</t>
  </si>
  <si>
    <t>550</t>
  </si>
  <si>
    <t>584</t>
  </si>
  <si>
    <t>大江南北好呷菜─山珍野味之功德林人氣料理大公開</t>
  </si>
  <si>
    <t>9789868590816</t>
  </si>
  <si>
    <t>柿子文化事業有限公司</t>
  </si>
  <si>
    <t>樊定宣，厲長文</t>
  </si>
  <si>
    <t>427.31</t>
  </si>
  <si>
    <t>體育史</t>
  </si>
  <si>
    <t>9578248709</t>
  </si>
  <si>
    <t>品度股份有限公司</t>
  </si>
  <si>
    <t>徐元民</t>
  </si>
  <si>
    <t>2005</t>
  </si>
  <si>
    <t>528.909</t>
  </si>
  <si>
    <t>印尼語7000單字</t>
  </si>
  <si>
    <t>9789867438928</t>
  </si>
  <si>
    <t>統一出版社有限公司</t>
  </si>
  <si>
    <t>陳玉順</t>
  </si>
  <si>
    <t>2009</t>
  </si>
  <si>
    <t>803.9112</t>
  </si>
  <si>
    <t>幽默力：善用幽默力，展現出色的吸引力</t>
  </si>
  <si>
    <t>9789866517204</t>
  </si>
  <si>
    <t>就是文化有限公司</t>
  </si>
  <si>
    <t>韓明媚</t>
  </si>
  <si>
    <t>185.8</t>
  </si>
  <si>
    <t>世界最偉大的吸引力法則</t>
  </si>
  <si>
    <t>9789866498657</t>
  </si>
  <si>
    <t>德威國際文化事業有限公司</t>
  </si>
  <si>
    <t>威廉.沃克.阿特金森</t>
  </si>
  <si>
    <t>170</t>
  </si>
  <si>
    <t>每天懂一點人情世故</t>
  </si>
  <si>
    <t>9789868669727</t>
  </si>
  <si>
    <t>達人文創事業有限公司</t>
  </si>
  <si>
    <t>章岩</t>
  </si>
  <si>
    <t>2011</t>
  </si>
  <si>
    <t>177.3</t>
  </si>
  <si>
    <t>Money就藏在細節裡：猶太裔富翁和郭台銘沒有說透的致富祕密</t>
  </si>
  <si>
    <t>9789868626836</t>
  </si>
  <si>
    <t>智言館</t>
  </si>
  <si>
    <t>張潛</t>
  </si>
  <si>
    <t>199</t>
  </si>
  <si>
    <t>177.2</t>
  </si>
  <si>
    <t>男人的廚房─義大利篇</t>
  </si>
  <si>
    <t>9789866152016</t>
  </si>
  <si>
    <t>大都會文化事業有限公司</t>
  </si>
  <si>
    <t>金嘉鴻</t>
  </si>
  <si>
    <t>427.12</t>
  </si>
  <si>
    <t>求職面試一定成功</t>
  </si>
  <si>
    <t>9789866421549</t>
  </si>
  <si>
    <t>憲業企管顧問有限公司</t>
  </si>
  <si>
    <t>王宗銘</t>
  </si>
  <si>
    <t>542.77</t>
  </si>
  <si>
    <t>總經理如何領導成功團隊</t>
  </si>
  <si>
    <t>9789866421600</t>
  </si>
  <si>
    <t>呂嘉泉</t>
  </si>
  <si>
    <t>494.23</t>
  </si>
  <si>
    <t>總經理如何熟悉財務控制</t>
  </si>
  <si>
    <t>9789866421594</t>
  </si>
  <si>
    <t>丁元恒</t>
  </si>
  <si>
    <t>494.7</t>
  </si>
  <si>
    <t>莎士比亞全集</t>
  </si>
  <si>
    <t>9570446994</t>
  </si>
  <si>
    <t>崇文館</t>
  </si>
  <si>
    <t>莎士比亞</t>
  </si>
  <si>
    <t>873.4332</t>
  </si>
  <si>
    <t>涼泡菜‧涼麵好簡單</t>
  </si>
  <si>
    <t>9789866232053</t>
  </si>
  <si>
    <t>庫克書屋</t>
  </si>
  <si>
    <t>周子欽，王景茹</t>
  </si>
  <si>
    <t>427.1</t>
  </si>
  <si>
    <t>電鍋點心好簡單</t>
  </si>
  <si>
    <t>9789868555297</t>
  </si>
  <si>
    <t>王安琪</t>
  </si>
  <si>
    <t>427.16</t>
  </si>
  <si>
    <t>馬雲的人生哲學：創業人生</t>
  </si>
  <si>
    <t>9789578189829</t>
  </si>
  <si>
    <t>揚智文化事業股份有限公司</t>
  </si>
  <si>
    <t>郭明濤主編</t>
  </si>
  <si>
    <t>494</t>
  </si>
  <si>
    <t>餐飲營養學</t>
  </si>
  <si>
    <t>9789578189577</t>
  </si>
  <si>
    <t>李錦楓，林志芳編</t>
  </si>
  <si>
    <t>411.3</t>
  </si>
  <si>
    <t>殯葬服務學</t>
  </si>
  <si>
    <t>9789868574663</t>
  </si>
  <si>
    <t>威仕曼文化事業股份有限公司</t>
  </si>
  <si>
    <t>王夫子，蘇家興</t>
  </si>
  <si>
    <t>489.67</t>
  </si>
  <si>
    <t>巧克力點心教室─甜蜜的黑色魔力</t>
  </si>
  <si>
    <t>9789866334382</t>
  </si>
  <si>
    <t>四塊玉文化有限公司</t>
  </si>
  <si>
    <t>許正忠，林倍加</t>
  </si>
  <si>
    <t>彩繪山海經</t>
  </si>
  <si>
    <t>9789866271328</t>
  </si>
  <si>
    <t>華滋出版</t>
  </si>
  <si>
    <t>施惠淇</t>
  </si>
  <si>
    <t>857.21</t>
  </si>
  <si>
    <t>乾拌麵輕鬆做</t>
  </si>
  <si>
    <t>9789866232077</t>
  </si>
  <si>
    <t>趙曉翌</t>
  </si>
  <si>
    <t>427.38</t>
  </si>
  <si>
    <t>如何成為與眾不同的占星術士</t>
  </si>
  <si>
    <t>9789868645844</t>
  </si>
  <si>
    <t>八正文化有限公司</t>
  </si>
  <si>
    <t>馬雅人</t>
  </si>
  <si>
    <t>292.22</t>
  </si>
  <si>
    <t>宗教類</t>
  </si>
  <si>
    <t>求職面試必備英語</t>
  </si>
  <si>
    <t>9789866282164</t>
  </si>
  <si>
    <t>雅典文化事業有限公司</t>
  </si>
  <si>
    <t>張瑜凌</t>
  </si>
  <si>
    <t>805.188</t>
  </si>
  <si>
    <t>小書房大天地</t>
  </si>
  <si>
    <t>9789866513237</t>
  </si>
  <si>
    <t>立緒文化事業有限公司</t>
  </si>
  <si>
    <t>蔡明燁</t>
  </si>
  <si>
    <t>812.7</t>
  </si>
  <si>
    <t>老師，您可以做得更好</t>
  </si>
  <si>
    <t>9789575747855</t>
  </si>
  <si>
    <t>幼獅文化事業股份有限公司</t>
  </si>
  <si>
    <t>徐美鈴</t>
  </si>
  <si>
    <t>527.4</t>
  </si>
  <si>
    <t>一眼看破男人：女人最想知道男人的那些事</t>
  </si>
  <si>
    <t>9789866517211</t>
  </si>
  <si>
    <t>王絲絲</t>
  </si>
  <si>
    <t>173.32</t>
  </si>
  <si>
    <t>說謊的藝術：謊言也要說的很智慧！</t>
  </si>
  <si>
    <t>9789866517228</t>
  </si>
  <si>
    <t>嬈嬈</t>
  </si>
  <si>
    <t>192.32</t>
  </si>
  <si>
    <t>解讀賈伯斯：揭開蘋果CEO一生的孤傲與傳奇</t>
  </si>
  <si>
    <t>9789866517303</t>
  </si>
  <si>
    <t>王育紅</t>
  </si>
  <si>
    <t>785.28</t>
  </si>
  <si>
    <t>史地類</t>
  </si>
  <si>
    <t>逆寫慈母：台灣戰後女性小說的母親書寫研究</t>
  </si>
  <si>
    <t>9789866216497</t>
  </si>
  <si>
    <t>白象文化事業有限公司</t>
  </si>
  <si>
    <t>陳靜宜</t>
  </si>
  <si>
    <t>460</t>
  </si>
  <si>
    <t>863.27</t>
  </si>
  <si>
    <t>鬆‧癒‧太極拳</t>
  </si>
  <si>
    <t>9789868634107</t>
  </si>
  <si>
    <t>葉文杰</t>
  </si>
  <si>
    <t>呆商奇遇記</t>
  </si>
  <si>
    <t>9789866216763</t>
  </si>
  <si>
    <t>柳依</t>
  </si>
  <si>
    <t>857.7</t>
  </si>
  <si>
    <t>英漢土本建築工程辭典</t>
  </si>
  <si>
    <t>9789576010810</t>
  </si>
  <si>
    <t>史道根</t>
  </si>
  <si>
    <t>441.3</t>
  </si>
  <si>
    <t>草莓栽培技術</t>
  </si>
  <si>
    <t>9789576012815</t>
  </si>
  <si>
    <t>劉校春</t>
  </si>
  <si>
    <t>435.314</t>
  </si>
  <si>
    <t>香蕉‧龍眼‧沙田柚栽培法</t>
  </si>
  <si>
    <t>9789576012822</t>
  </si>
  <si>
    <t>孫校元</t>
  </si>
  <si>
    <t>圖解5分鐘瑜伽</t>
  </si>
  <si>
    <t>9789866673832</t>
  </si>
  <si>
    <t>漢湘文化事業股份有限公司</t>
  </si>
  <si>
    <t>鄧林馨</t>
  </si>
  <si>
    <t>411.7</t>
  </si>
  <si>
    <t>美國倒數計時：無法拆除的炸彈</t>
  </si>
  <si>
    <t>9789867027719</t>
  </si>
  <si>
    <t>靈活文化事業有限公司</t>
  </si>
  <si>
    <t>蘇言，董芮</t>
  </si>
  <si>
    <t>296.5</t>
  </si>
  <si>
    <t>我不是教你玩陰的2</t>
  </si>
  <si>
    <t>9789868763012</t>
  </si>
  <si>
    <t>494.35</t>
  </si>
  <si>
    <t>幸福的吉宅風水─開運方位這樣擺財運來</t>
  </si>
  <si>
    <t>9789866214240</t>
  </si>
  <si>
    <t>西北國際</t>
  </si>
  <si>
    <t>崔江</t>
  </si>
  <si>
    <t>294.1</t>
  </si>
  <si>
    <t>撕開愛情的50張面具！─穿透力100%的愛情終極心測</t>
  </si>
  <si>
    <t>9789862710111</t>
  </si>
  <si>
    <t>啟思出版集團股份有限公司</t>
  </si>
  <si>
    <t>安琪拉</t>
  </si>
  <si>
    <t>179.1</t>
  </si>
  <si>
    <t>闖進醫療叢林</t>
  </si>
  <si>
    <t>9789868692954</t>
  </si>
  <si>
    <t>華品文創出版股份有限公司</t>
  </si>
  <si>
    <t>韓揆</t>
  </si>
  <si>
    <t>419.333</t>
  </si>
  <si>
    <t>培養體貼有禮的孩子</t>
  </si>
  <si>
    <t>9789868675438</t>
  </si>
  <si>
    <t>風向球文化事業有限公司</t>
  </si>
  <si>
    <t>種禾工作室</t>
  </si>
  <si>
    <t>528.2</t>
  </si>
  <si>
    <t>狂人日記</t>
  </si>
  <si>
    <t>9789866070242</t>
  </si>
  <si>
    <t>讀品文化</t>
  </si>
  <si>
    <t>魯迅</t>
  </si>
  <si>
    <t>857.63</t>
  </si>
  <si>
    <t>阿Q正傳</t>
  </si>
  <si>
    <t>9789866070181</t>
  </si>
  <si>
    <t>浴血地獄：瓜達康納爾戰役</t>
  </si>
  <si>
    <t>9789866412127</t>
  </si>
  <si>
    <t>知兵堂</t>
  </si>
  <si>
    <t>胡燁</t>
  </si>
  <si>
    <t>712.843</t>
  </si>
  <si>
    <t>國軍王牌部隊「抗日鐵軍」第74軍戰史：1937－1949</t>
  </si>
  <si>
    <t>9789866412288</t>
  </si>
  <si>
    <t>余吉</t>
  </si>
  <si>
    <t>596.8</t>
  </si>
  <si>
    <t>國軍王牌部隊一天下第一軍：孫立人與新編第一軍：1937 －1948</t>
  </si>
  <si>
    <t>9789866412226</t>
  </si>
  <si>
    <t>周明</t>
  </si>
  <si>
    <t>青天白日勳章</t>
  </si>
  <si>
    <t>9789866412240</t>
  </si>
  <si>
    <t>祝康明</t>
  </si>
  <si>
    <t>590.992</t>
  </si>
  <si>
    <t>第五軍戰：國軍第一支機械化部隊</t>
  </si>
  <si>
    <t>9789866412257</t>
  </si>
  <si>
    <t>光亭</t>
  </si>
  <si>
    <t>沙漠風暴</t>
  </si>
  <si>
    <t>9789866412295</t>
  </si>
  <si>
    <t>清海，鄧濤，劉怡，傅中</t>
  </si>
  <si>
    <t>592.9155</t>
  </si>
  <si>
    <t>在大漠那邊－近世的蒙古與戰爭</t>
  </si>
  <si>
    <t>9789866412233</t>
  </si>
  <si>
    <t>鷹揚</t>
  </si>
  <si>
    <t>639.37</t>
  </si>
  <si>
    <t>紅色奔流：蘇聯裝甲兵建軍史</t>
  </si>
  <si>
    <t>9789866412196</t>
  </si>
  <si>
    <t>Major</t>
  </si>
  <si>
    <t>596.948</t>
  </si>
  <si>
    <t>雄鷹獵日 : 1942-1945菲律賓戰役始末</t>
  </si>
  <si>
    <t>4712070144121</t>
  </si>
  <si>
    <t>戰場編輯群</t>
  </si>
  <si>
    <t>590.5</t>
  </si>
  <si>
    <t>納粹變奏曲 : 二戰德軍另類飛機</t>
  </si>
  <si>
    <t>4712070144190</t>
  </si>
  <si>
    <t>雲中子</t>
  </si>
  <si>
    <t>二戰中的中國</t>
  </si>
  <si>
    <t>4712070144039</t>
  </si>
  <si>
    <t>知兵堂編輯群</t>
  </si>
  <si>
    <t>592.9154</t>
  </si>
  <si>
    <t>遼西會戰（遼瀋戰役）</t>
  </si>
  <si>
    <t>9789866412165</t>
  </si>
  <si>
    <t>628.621</t>
  </si>
  <si>
    <t>徐州會戰－台兒莊大捷作戰始末</t>
  </si>
  <si>
    <t>9789866412134</t>
  </si>
  <si>
    <t>王逸之</t>
  </si>
  <si>
    <t>628.546</t>
  </si>
  <si>
    <t>杜立德B－25轟炸東京的故事</t>
  </si>
  <si>
    <t>9789866412202</t>
  </si>
  <si>
    <t>傅中</t>
  </si>
  <si>
    <t>712.845</t>
  </si>
  <si>
    <t>悅讀隱地‧創造自己</t>
  </si>
  <si>
    <t>9789576395291</t>
  </si>
  <si>
    <t>爾雅出版社有限公司</t>
  </si>
  <si>
    <t>蕭蕭，羅文玲</t>
  </si>
  <si>
    <t>802.7</t>
  </si>
  <si>
    <t>血型‧星座‧愛情</t>
  </si>
  <si>
    <t>9789867273758</t>
  </si>
  <si>
    <t>婦女與生活社文化事業有限公司</t>
  </si>
  <si>
    <t>譚馨琴</t>
  </si>
  <si>
    <t>293.6</t>
  </si>
  <si>
    <t>易經密碼</t>
  </si>
  <si>
    <t>9789866412097</t>
  </si>
  <si>
    <t>陳芃伶</t>
  </si>
  <si>
    <t>292.1</t>
  </si>
  <si>
    <t>法律小故事（上）</t>
  </si>
  <si>
    <t>EBK9900000351</t>
  </si>
  <si>
    <t>博學出版社</t>
  </si>
  <si>
    <t>佳樂</t>
  </si>
  <si>
    <t>580.23</t>
  </si>
  <si>
    <t>法律小故事（中）</t>
  </si>
  <si>
    <t>EBK9900000352</t>
  </si>
  <si>
    <t>法律小故事（下）</t>
  </si>
  <si>
    <t>EBK9900000353</t>
  </si>
  <si>
    <t>惡魔讀心術～算命師都在用的秒殺觀人術</t>
  </si>
  <si>
    <t>9789862710739</t>
  </si>
  <si>
    <t>內田直樹</t>
  </si>
  <si>
    <t>173.7</t>
  </si>
  <si>
    <t>全民英檢【初級】閱讀測驗</t>
  </si>
  <si>
    <t>9789867025784</t>
  </si>
  <si>
    <t>知英文化事業有限公司</t>
  </si>
  <si>
    <t>王卓群</t>
  </si>
  <si>
    <t>805.1892</t>
  </si>
  <si>
    <t>全民英檢【初級】口說能力測驗</t>
  </si>
  <si>
    <t>9789867025692</t>
  </si>
  <si>
    <t>Rick Crooks，許嘉惠</t>
  </si>
  <si>
    <t>新多益聽力990特訓寶典【有聲】</t>
  </si>
  <si>
    <t>9789867025876</t>
  </si>
  <si>
    <t>Rick Crooks</t>
  </si>
  <si>
    <t>650</t>
  </si>
  <si>
    <t>805.1895</t>
  </si>
  <si>
    <t>Talk to Angels：與天使的對話</t>
  </si>
  <si>
    <t>9789868588059</t>
  </si>
  <si>
    <t>三朵夏有限公司</t>
  </si>
  <si>
    <t>林雯莉（Wendy Lin）</t>
  </si>
  <si>
    <t>192.1</t>
  </si>
  <si>
    <t>氣度決定一切</t>
  </si>
  <si>
    <t>9789866152344</t>
  </si>
  <si>
    <t>侯清恆</t>
  </si>
  <si>
    <t>愛‧婚禮－一生最浪漫的旅行就從這裡開始</t>
  </si>
  <si>
    <t>9789866152283</t>
  </si>
  <si>
    <t>大都會文化編輯部</t>
  </si>
  <si>
    <t>538.44026</t>
  </si>
  <si>
    <t>風水開運自己來</t>
  </si>
  <si>
    <t>9789866080029</t>
  </si>
  <si>
    <t>俊嘉文化事業有限公司</t>
  </si>
  <si>
    <t>陳詮龍</t>
  </si>
  <si>
    <t>臺灣政治名人傳：王金平</t>
  </si>
  <si>
    <t>EBK9900000427</t>
  </si>
  <si>
    <t>旺來商業廣告出版社</t>
  </si>
  <si>
    <t>高沛瑜</t>
  </si>
  <si>
    <t>180</t>
  </si>
  <si>
    <t>782.67</t>
  </si>
  <si>
    <t>帝國崩潰的那些事兒－辛亥前夜：大清帝國最後十年</t>
  </si>
  <si>
    <t>9789868080492</t>
  </si>
  <si>
    <t>典藏閣出版事業公司</t>
  </si>
  <si>
    <t>李剛</t>
  </si>
  <si>
    <t>627.87</t>
  </si>
  <si>
    <t>看穿讀心術</t>
  </si>
  <si>
    <t>9789866070372</t>
  </si>
  <si>
    <t>傅宇翔</t>
  </si>
  <si>
    <t>176.8</t>
  </si>
  <si>
    <t>傻女孩不笨</t>
  </si>
  <si>
    <t>9789866145896</t>
  </si>
  <si>
    <t>大拓文化</t>
  </si>
  <si>
    <t>李莉文</t>
  </si>
  <si>
    <t>544.5</t>
  </si>
  <si>
    <t>當失敗時，總有幾隻豬在笑你</t>
  </si>
  <si>
    <t>9789866070426</t>
  </si>
  <si>
    <t>陳偉慶</t>
  </si>
  <si>
    <t>精英幹訓班：夢想永遠排在第一位</t>
  </si>
  <si>
    <t>9789866070471</t>
  </si>
  <si>
    <t>呂齊弘</t>
  </si>
  <si>
    <t>聽不見的小孩</t>
  </si>
  <si>
    <t>9789866439827</t>
  </si>
  <si>
    <t>培育文化</t>
  </si>
  <si>
    <t>林羽穗</t>
  </si>
  <si>
    <t>859.6</t>
  </si>
  <si>
    <t>大衛‧畢格斯的調酒魔法書：教你輕鬆調出137款經典Cocktails</t>
  </si>
  <si>
    <t>9789866152184</t>
  </si>
  <si>
    <t>大衛‧畢格斯</t>
  </si>
  <si>
    <t>427.43</t>
  </si>
  <si>
    <t>宅英檢！GEPT全民英檢初級新版全真試題＋詳解</t>
  </si>
  <si>
    <t>9789862481356</t>
  </si>
  <si>
    <t>EZ叢書館</t>
  </si>
  <si>
    <t>EZ叢書館編輯部</t>
  </si>
  <si>
    <t>司法公民</t>
  </si>
  <si>
    <t>9789862653418</t>
  </si>
  <si>
    <t>考用出版股份有限公司</t>
  </si>
  <si>
    <t>李艷秋</t>
  </si>
  <si>
    <t>528.3</t>
  </si>
  <si>
    <t>圖解彈力帶穴道按摩3D曲線操：瘦肩臂、提臀、細腿、縮腰腹</t>
  </si>
  <si>
    <t>9789866041730</t>
  </si>
  <si>
    <t>漢宇國際文化出版</t>
  </si>
  <si>
    <t>田宜民</t>
  </si>
  <si>
    <t>411.711</t>
  </si>
  <si>
    <t>可愛鉤針小動物：編織你的Fun Fun Zoo</t>
  </si>
  <si>
    <t>9789866209925</t>
  </si>
  <si>
    <t>和平國際</t>
  </si>
  <si>
    <t>連乃萱</t>
  </si>
  <si>
    <t>426.4</t>
  </si>
  <si>
    <t>各國高等教育經營管理之比較</t>
  </si>
  <si>
    <t>9789577484567</t>
  </si>
  <si>
    <t>麗文文化事業股份有限公司</t>
  </si>
  <si>
    <t>鍾宜興</t>
  </si>
  <si>
    <t>400</t>
  </si>
  <si>
    <t>525.6</t>
  </si>
  <si>
    <t>挺經：人生，挺得住才精彩</t>
  </si>
  <si>
    <t>9789866340901</t>
  </si>
  <si>
    <t>海鴿文化出版圖書有限公司</t>
  </si>
  <si>
    <t>曾國藩</t>
  </si>
  <si>
    <t>177</t>
  </si>
  <si>
    <t>春秋戰國的那些CEO們</t>
  </si>
  <si>
    <t>9789865951108</t>
  </si>
  <si>
    <t>楊關三</t>
  </si>
  <si>
    <t>621.609</t>
  </si>
  <si>
    <t>歷史的心計</t>
  </si>
  <si>
    <t>9789865951146</t>
  </si>
  <si>
    <t>羅杰</t>
  </si>
  <si>
    <t>610.9</t>
  </si>
  <si>
    <t>校長的午後牧歌</t>
  </si>
  <si>
    <t>9789575985288</t>
  </si>
  <si>
    <t>法鼓文化事業股份有限公司</t>
  </si>
  <si>
    <t>釋惠敏</t>
  </si>
  <si>
    <t>225.87</t>
  </si>
  <si>
    <t>尋找善知識－《華嚴經》善財童子五十三參</t>
  </si>
  <si>
    <t>9789575985929</t>
  </si>
  <si>
    <t>陳琪瑛</t>
  </si>
  <si>
    <t>221.29</t>
  </si>
  <si>
    <t>禪味奈良－大和古寺慢味</t>
  </si>
  <si>
    <t>9789575985790</t>
  </si>
  <si>
    <t>秦就</t>
  </si>
  <si>
    <t>227.31</t>
  </si>
  <si>
    <t>賴其萬醫師的心靈饗宴</t>
  </si>
  <si>
    <t>9789866112317</t>
  </si>
  <si>
    <t>心靈工坊文化事業股份有限公司</t>
  </si>
  <si>
    <t>賴其萬</t>
  </si>
  <si>
    <t>012.4</t>
  </si>
  <si>
    <t>總類</t>
  </si>
  <si>
    <t>釋經實用手冊</t>
  </si>
  <si>
    <t>9789867077738</t>
  </si>
  <si>
    <t>聖經資源中心</t>
  </si>
  <si>
    <t>陳壽穗</t>
  </si>
  <si>
    <t>241.016</t>
  </si>
  <si>
    <t>舞動文化：沖繩竹富島的民族誌</t>
  </si>
  <si>
    <t>9789860237665</t>
  </si>
  <si>
    <t>國立臺北藝術大學</t>
  </si>
  <si>
    <t>趙綺芳</t>
  </si>
  <si>
    <t>330</t>
  </si>
  <si>
    <t>536.319</t>
  </si>
  <si>
    <t>聖經的故事（上）～舊約篇</t>
  </si>
  <si>
    <t>9574592480</t>
  </si>
  <si>
    <t>胡慶生</t>
  </si>
  <si>
    <t>241</t>
  </si>
  <si>
    <t>聖經的故事（下）～新約篇</t>
  </si>
  <si>
    <t>9574592499</t>
  </si>
  <si>
    <t>親近動物植物：和孩子共築生命之旅</t>
  </si>
  <si>
    <t>9789868797604</t>
  </si>
  <si>
    <t>全能教育出版社</t>
  </si>
  <si>
    <t>鄭小慧</t>
  </si>
  <si>
    <t>523.23</t>
  </si>
  <si>
    <t>圓滿人生不等待</t>
  </si>
  <si>
    <t>9789577135117</t>
  </si>
  <si>
    <t>文經閣</t>
  </si>
  <si>
    <t>姜波</t>
  </si>
  <si>
    <t>金剛經真修實證漫畫版</t>
  </si>
  <si>
    <t>9789868777378</t>
  </si>
  <si>
    <t>禪天下股份有限公司</t>
  </si>
  <si>
    <t>悟覺妙天禪師</t>
  </si>
  <si>
    <t>221.44</t>
  </si>
  <si>
    <t>Calc 試算未來城</t>
  </si>
  <si>
    <t>9789866235016</t>
  </si>
  <si>
    <t>糖罐子文化事業有限公司</t>
  </si>
  <si>
    <t>于宏</t>
  </si>
  <si>
    <t>523.38</t>
  </si>
  <si>
    <t>Impress 簡報未來城</t>
  </si>
  <si>
    <t>9789866235061</t>
  </si>
  <si>
    <t>徐麗琪</t>
  </si>
  <si>
    <t>移情、借景與越位：當代作家作品論集</t>
  </si>
  <si>
    <t>9789577397522</t>
  </si>
  <si>
    <t>萬卷樓圖書股份有限公司</t>
  </si>
  <si>
    <t>許建崑</t>
  </si>
  <si>
    <t>820.908</t>
  </si>
  <si>
    <t>有求必應，擺對就靈 風水盆栽圖解全攻略</t>
  </si>
  <si>
    <t>9789868779112</t>
  </si>
  <si>
    <t>廣毅文化創意有限公司</t>
  </si>
  <si>
    <t>吳道子，花草生信心</t>
  </si>
  <si>
    <t>295.7</t>
  </si>
  <si>
    <t>醫美專家的青春保養全事典：只用清水，防曬，保濕，就能逆轉肌齡！</t>
  </si>
  <si>
    <t>9789868779174</t>
  </si>
  <si>
    <t>李士虹</t>
  </si>
  <si>
    <t>425.3</t>
  </si>
  <si>
    <t>後今正日的天堂 （下）</t>
  </si>
  <si>
    <t>9789881563293_2</t>
  </si>
  <si>
    <t>劉冠亨，蘇瑋康，關錦業，鍾穎翔</t>
  </si>
  <si>
    <t>732</t>
  </si>
  <si>
    <t>後今正日的天堂 （上）</t>
  </si>
  <si>
    <t>9789881563293_1</t>
  </si>
  <si>
    <t>校園爆足一周</t>
  </si>
  <si>
    <t>9789881563286</t>
  </si>
  <si>
    <t>華容道</t>
  </si>
  <si>
    <t>855</t>
  </si>
  <si>
    <t>客製化健康時代：健康樂活、精彩人生</t>
  </si>
  <si>
    <t>9789576938092</t>
  </si>
  <si>
    <t>張老師文化事業股份有限公司</t>
  </si>
  <si>
    <t>江漢聲</t>
  </si>
  <si>
    <t>411.18</t>
  </si>
  <si>
    <t>MBA的行銷九論</t>
  </si>
  <si>
    <t>EBK9900000884</t>
  </si>
  <si>
    <t>airitiBooks 華藝中文電子書（曾義明）</t>
  </si>
  <si>
    <t>曾義明</t>
  </si>
  <si>
    <t>496</t>
  </si>
  <si>
    <t>懂得愛自己的女人最幸福：千萬不要用身體去談情說愛！</t>
  </si>
  <si>
    <t>9789866299131</t>
  </si>
  <si>
    <t>意象文化事業有限公司</t>
  </si>
  <si>
    <t>胡曉梅</t>
  </si>
  <si>
    <t>544.7</t>
  </si>
  <si>
    <t>愛，要愛得很幸福：讓生活永遠充滿愛的激情與浪漫</t>
  </si>
  <si>
    <t>9789866299155</t>
  </si>
  <si>
    <t>雨樺</t>
  </si>
  <si>
    <t>賈伯斯的創新傳奇與行銷魅力：你也可以學會賈伯斯的致勝心法</t>
  </si>
  <si>
    <t>9789866517389</t>
  </si>
  <si>
    <t>王梁莊</t>
  </si>
  <si>
    <t>484.67</t>
  </si>
  <si>
    <t>別讓妒火燃燒：巧用嫉妒心理守護自己的愛情、事業和人際關係！</t>
  </si>
  <si>
    <t>9789866517396</t>
  </si>
  <si>
    <t>陳迪</t>
  </si>
  <si>
    <t>176.521</t>
  </si>
  <si>
    <t>不要忙得那麼窮！：一定要擺脫窮忙困境的10大成功法！</t>
  </si>
  <si>
    <t>9789866517426</t>
  </si>
  <si>
    <t>圖解抗三高手冊：輕鬆減血脂／降血糖／抗血壓，不讓自己的健康亮紅燈！</t>
  </si>
  <si>
    <t>9789866299124</t>
  </si>
  <si>
    <t>鴻鵠</t>
  </si>
  <si>
    <t>415.382</t>
  </si>
  <si>
    <t>意志力決定一切成敗：用堅強毅力創造一生成就和榮耀</t>
  </si>
  <si>
    <t>9789866299162</t>
  </si>
  <si>
    <t>閻燕燕</t>
  </si>
  <si>
    <t>訴說力決定說服力：完美表達必備的42個關鍵技巧！</t>
  </si>
  <si>
    <t>9789866299193</t>
  </si>
  <si>
    <t>提升工作力增強職場競爭力：為自己的職業生涯奠定堅實不敗的基礎！</t>
  </si>
  <si>
    <t>9789866299216</t>
  </si>
  <si>
    <t>善意謊言：真話，不能說錯；假話，不能聽錯！</t>
  </si>
  <si>
    <t>9789866299247</t>
  </si>
  <si>
    <t>會裝傻的女生最聰明：聰明女人掌握幸福的智慧法則</t>
  </si>
  <si>
    <t>9789866517358</t>
  </si>
  <si>
    <t>陳曉靜</t>
  </si>
  <si>
    <t>544.4</t>
  </si>
  <si>
    <t>看甄嬛學詩詞：六十六首詩詞出戲入戲</t>
  </si>
  <si>
    <t>9789868931121</t>
  </si>
  <si>
    <t>啟動文化</t>
  </si>
  <si>
    <t>時晴</t>
  </si>
  <si>
    <t>一生必讀的希臘神話故事</t>
  </si>
  <si>
    <t>9789866906985</t>
  </si>
  <si>
    <t>伊諾克</t>
  </si>
  <si>
    <t>284.95</t>
  </si>
  <si>
    <t>一生必讀的希臘傳奇故事</t>
  </si>
  <si>
    <t>9789866070006</t>
  </si>
  <si>
    <t>一生必讀的傳奇寶藏之謎</t>
  </si>
  <si>
    <t>9789866906954</t>
  </si>
  <si>
    <t>柯爾夫</t>
  </si>
  <si>
    <t>716</t>
  </si>
  <si>
    <t>歸零，重新開始</t>
  </si>
  <si>
    <t>9789866436406</t>
  </si>
  <si>
    <t>賽斯文化事業有限公司</t>
  </si>
  <si>
    <t>許添盛，錡胡睿</t>
  </si>
  <si>
    <t>個人與群體事件的本質</t>
  </si>
  <si>
    <t>9789866436284</t>
  </si>
  <si>
    <t>Jane Roberts</t>
  </si>
  <si>
    <t>580</t>
  </si>
  <si>
    <t>175.9</t>
  </si>
  <si>
    <t>心靈的本質</t>
  </si>
  <si>
    <t>9789866436246</t>
  </si>
  <si>
    <t>韓國打工度假聖經</t>
  </si>
  <si>
    <t>9789862483015</t>
  </si>
  <si>
    <t>曾阿司</t>
  </si>
  <si>
    <t>732.9</t>
  </si>
  <si>
    <t>Movie Maker多媒體奧運會</t>
  </si>
  <si>
    <t>9789867042255</t>
  </si>
  <si>
    <t>無限可能創意股份有限公司</t>
  </si>
  <si>
    <t>洪志明</t>
  </si>
  <si>
    <t>超人氣の正妹大眼妝—讓妳一看就懂</t>
  </si>
  <si>
    <t>9789862253434</t>
  </si>
  <si>
    <t>小拉</t>
  </si>
  <si>
    <t>425.4</t>
  </si>
  <si>
    <t>我永不放棄－林書豪教給年輕人的17堂成功課</t>
  </si>
  <si>
    <t>9789862253175</t>
  </si>
  <si>
    <t>王志鈞</t>
  </si>
  <si>
    <t>好牆設計：居家牆面設計魔法實例</t>
  </si>
  <si>
    <t>9789866041051</t>
  </si>
  <si>
    <t>徐旻蔚</t>
  </si>
  <si>
    <t>422.32</t>
  </si>
  <si>
    <t>人氣好感羊毛氈！40款手作窩心禮物</t>
  </si>
  <si>
    <t>9789866041594</t>
  </si>
  <si>
    <t>WITHU，Carol，Emily</t>
  </si>
  <si>
    <t>426.7</t>
  </si>
  <si>
    <t>時間．歷史．敘事</t>
  </si>
  <si>
    <t>9789868891685</t>
  </si>
  <si>
    <t>Airiti Press</t>
  </si>
  <si>
    <t>李紀祥</t>
  </si>
  <si>
    <t>601.3</t>
  </si>
  <si>
    <t>上行詩（詩篇卷五）</t>
  </si>
  <si>
    <t>9789866769245</t>
  </si>
  <si>
    <t>歸主出版社</t>
  </si>
  <si>
    <t>朱韜樞</t>
  </si>
  <si>
    <t>241.32</t>
  </si>
  <si>
    <t>每日一字生活日語【有聲】</t>
  </si>
  <si>
    <t>9789866282775</t>
  </si>
  <si>
    <t>雅典日研所</t>
  </si>
  <si>
    <t>803.12</t>
  </si>
  <si>
    <t>玫瑰女人戰爭</t>
  </si>
  <si>
    <t>9789865950378</t>
  </si>
  <si>
    <t>海洋文化事業有限公司</t>
  </si>
  <si>
    <t>付桂萍</t>
  </si>
  <si>
    <t>544.382</t>
  </si>
  <si>
    <t>粉愛粉愛你</t>
  </si>
  <si>
    <t>9789868690868</t>
  </si>
  <si>
    <t>大於創意文化有限公司</t>
  </si>
  <si>
    <t>夢田文創，陳語梵</t>
  </si>
  <si>
    <t>影響中國歷史的100個帝王</t>
  </si>
  <si>
    <t>9789866080609</t>
  </si>
  <si>
    <t>張姮</t>
  </si>
  <si>
    <t>610</t>
  </si>
  <si>
    <t>醫生沒教的養生宜忌</t>
  </si>
  <si>
    <t>9789866080593</t>
  </si>
  <si>
    <t>SWALO視覺設計中心</t>
  </si>
  <si>
    <t>讓家變漂亮的收納法</t>
  </si>
  <si>
    <t>9789866080654</t>
  </si>
  <si>
    <t>420</t>
  </si>
  <si>
    <t>指一指，輕鬆遊日本【有聲】</t>
  </si>
  <si>
    <t>9789862710166</t>
  </si>
  <si>
    <t>知識工場有限公司</t>
  </si>
  <si>
    <t>菜菜子，第二外語發展語研中心</t>
  </si>
  <si>
    <t>803.18</t>
  </si>
  <si>
    <t>管家琪教作文：語文魔術方塊</t>
  </si>
  <si>
    <t>9789575749019</t>
  </si>
  <si>
    <t>管家琪</t>
  </si>
  <si>
    <t>523.313</t>
  </si>
  <si>
    <t>綠谷遊縱：花東縱谷國家風景區</t>
  </si>
  <si>
    <t>9789860245165</t>
  </si>
  <si>
    <t>交通部觀光局花東縱谷國家風景區管理處</t>
  </si>
  <si>
    <t>773.64</t>
  </si>
  <si>
    <t>快熟日語文型（1）【有聲】</t>
  </si>
  <si>
    <t>9789861847405</t>
  </si>
  <si>
    <t>寂天文化事業股份有限公司</t>
  </si>
  <si>
    <t>橋本友紀</t>
  </si>
  <si>
    <t>349</t>
  </si>
  <si>
    <t>803.169</t>
  </si>
  <si>
    <t>快熟日語文型（2）【有聲】</t>
  </si>
  <si>
    <t>9789861847412</t>
  </si>
  <si>
    <t>池（火田）裕介</t>
  </si>
  <si>
    <t>快熟日語文型（3）【有聲】</t>
  </si>
  <si>
    <t>9789861847429</t>
  </si>
  <si>
    <t>佐藤佳彩</t>
  </si>
  <si>
    <t>英語歌謠Follow Me！ Book３【有聲】</t>
  </si>
  <si>
    <t>9789866963483</t>
  </si>
  <si>
    <t>Claire Tsai</t>
  </si>
  <si>
    <t>805.18</t>
  </si>
  <si>
    <t>莎士比亞故事集【經典閱讀＆寫作引導】</t>
  </si>
  <si>
    <t>9789866963353</t>
  </si>
  <si>
    <t>語言工場</t>
  </si>
  <si>
    <t>E. Nesbit，冷沂</t>
  </si>
  <si>
    <t>安徒生童話【經典閱讀＆寫作引導】</t>
  </si>
  <si>
    <t>9789866963391</t>
  </si>
  <si>
    <t>Hans C. Andersen，冷沂</t>
  </si>
  <si>
    <t>881.559</t>
  </si>
  <si>
    <t>寬容：心懷感恩，快樂無限。</t>
  </si>
  <si>
    <t>9789868731677</t>
  </si>
  <si>
    <t>柿藤</t>
  </si>
  <si>
    <t>品萱</t>
  </si>
  <si>
    <t>在心靈牧場上放逐：快跑是一種狀態，漫步更是一種從容</t>
  </si>
  <si>
    <t>9789868731684</t>
  </si>
  <si>
    <t>柳迦柔</t>
  </si>
  <si>
    <t>文學理論倒讀</t>
  </si>
  <si>
    <t>9789866490934</t>
  </si>
  <si>
    <t>二魚文化事業有限公司</t>
  </si>
  <si>
    <t>黃湯姆</t>
  </si>
  <si>
    <t>臺灣舌頭</t>
  </si>
  <si>
    <t>9789865813000</t>
  </si>
  <si>
    <t>焦桐</t>
  </si>
  <si>
    <t>538.7833</t>
  </si>
  <si>
    <t>莊子全書</t>
  </si>
  <si>
    <t>9789865936303</t>
  </si>
  <si>
    <t>華志文化事業有限公司</t>
  </si>
  <si>
    <t>莊子</t>
  </si>
  <si>
    <t>121.337</t>
  </si>
  <si>
    <t>6個符號看懂全世界英文【有聲】</t>
  </si>
  <si>
    <t>9789867858696</t>
  </si>
  <si>
    <t>華人世紀出版有限公司</t>
  </si>
  <si>
    <t>仲華</t>
  </si>
  <si>
    <t>805.1</t>
  </si>
  <si>
    <t>生態永續的藝術想像和實踐</t>
  </si>
  <si>
    <t>9789868831469</t>
  </si>
  <si>
    <t>南方家園文化事業有限公司</t>
  </si>
  <si>
    <t>周靈芝</t>
  </si>
  <si>
    <t>920</t>
  </si>
  <si>
    <t>刺客的歌</t>
  </si>
  <si>
    <t>9789868831445</t>
  </si>
  <si>
    <t>楊渡</t>
  </si>
  <si>
    <t>851.486</t>
  </si>
  <si>
    <t>城市殘酷</t>
  </si>
  <si>
    <t>9789868953802</t>
  </si>
  <si>
    <t>瓦歷斯．諾幹</t>
  </si>
  <si>
    <t>863.857</t>
  </si>
  <si>
    <t>乘風而來，隨浪而去</t>
  </si>
  <si>
    <t>9789868831438</t>
  </si>
  <si>
    <t>陳填</t>
  </si>
  <si>
    <t>投資創富趁年輕</t>
  </si>
  <si>
    <t>9789881596918</t>
  </si>
  <si>
    <t>跨版生活圖書出版</t>
  </si>
  <si>
    <t>蘇沛豐，香敏華，鄧智俊</t>
  </si>
  <si>
    <t>563.5</t>
  </si>
  <si>
    <t>小錢買股101招就賺夠</t>
  </si>
  <si>
    <t>9789881976598</t>
  </si>
  <si>
    <t>高俊權，跨版生活財經研究編委會</t>
  </si>
  <si>
    <t>養狗必識72 件事－做個100分主人</t>
  </si>
  <si>
    <t>9789881596949</t>
  </si>
  <si>
    <t>李曉筠</t>
  </si>
  <si>
    <t>437.664</t>
  </si>
  <si>
    <t>時尚生活美學─個人形象管理篇</t>
  </si>
  <si>
    <t>9789575749033</t>
  </si>
  <si>
    <t>李幸玲</t>
  </si>
  <si>
    <t>一溪雲，捎來無限的感念</t>
  </si>
  <si>
    <t>9789575749187</t>
  </si>
  <si>
    <t>吳挽瀾</t>
  </si>
  <si>
    <t>783.3886</t>
  </si>
  <si>
    <t>EZ Korea韓星帶你學韓語：入門篇NO‧01【有聲】</t>
  </si>
  <si>
    <t>9789862481967</t>
  </si>
  <si>
    <t>日月文化出版股份有限公司</t>
  </si>
  <si>
    <t>EZ Korea編輯部</t>
  </si>
  <si>
    <t>803.28</t>
  </si>
  <si>
    <t>心理專家沒說的幽默攻心術</t>
  </si>
  <si>
    <t>9789865970673</t>
  </si>
  <si>
    <t>順達文化事業有限公司</t>
  </si>
  <si>
    <t>龍逸文</t>
  </si>
  <si>
    <t>3:33海島莊園謀殺事件簿</t>
  </si>
  <si>
    <t>9789574880799</t>
  </si>
  <si>
    <t>圓明出版社</t>
  </si>
  <si>
    <t>葛若凡</t>
  </si>
  <si>
    <t>去印度 學倒立</t>
  </si>
  <si>
    <t>9789865839215</t>
  </si>
  <si>
    <t>水星文化事業出版社</t>
  </si>
  <si>
    <t>吳蘇媚</t>
  </si>
  <si>
    <t>只用10%的薪水，讓全世界的財富都聽你的</t>
  </si>
  <si>
    <t>9789866191237</t>
  </si>
  <si>
    <t>喬治．山繆．克雷森</t>
  </si>
  <si>
    <t>198</t>
  </si>
  <si>
    <t>影像自由e學園2：PhotoCap 6</t>
  </si>
  <si>
    <t>9789868948006</t>
  </si>
  <si>
    <t>智識家資訊有限公司</t>
  </si>
  <si>
    <t>呂聰賢</t>
  </si>
  <si>
    <t>簡報自由e學園2：LibreOffice Impress</t>
  </si>
  <si>
    <t>9789868948013</t>
  </si>
  <si>
    <t>賴健二</t>
  </si>
  <si>
    <t>標準韓國語（第一冊）【有聲】</t>
  </si>
  <si>
    <t>EBK1020000041</t>
  </si>
  <si>
    <t>同文館有限公司</t>
  </si>
  <si>
    <t>韓語村</t>
  </si>
  <si>
    <t>803.26</t>
  </si>
  <si>
    <t>標準韓國語（第二冊）【有聲】</t>
  </si>
  <si>
    <t>EBK1020000042</t>
  </si>
  <si>
    <t>標準韓國語（第三冊）【有聲】</t>
  </si>
  <si>
    <t>EBK1020000043</t>
  </si>
  <si>
    <t>標準韓國語（第四冊）【有聲】</t>
  </si>
  <si>
    <t>EBK1020000044</t>
  </si>
  <si>
    <t>標準韓國語（第五冊）【有聲】</t>
  </si>
  <si>
    <t>EBK1020000045</t>
  </si>
  <si>
    <t>標準韓國語（第六冊）【有聲】</t>
  </si>
  <si>
    <t>EBK1020000046</t>
  </si>
  <si>
    <t>標準韓國語（第七冊）【有聲】</t>
  </si>
  <si>
    <t>EBK1020000047</t>
  </si>
  <si>
    <t>標準韓國語（第八冊）【有聲】</t>
  </si>
  <si>
    <t>EBK1020000048</t>
  </si>
  <si>
    <t>大師莫言</t>
  </si>
  <si>
    <t>9789868938830</t>
  </si>
  <si>
    <t>金塊文化事業有限公司</t>
  </si>
  <si>
    <t>蔣泥</t>
  </si>
  <si>
    <t>782.887</t>
  </si>
  <si>
    <t>搶救微整型－你應該知道的28種異常個案</t>
  </si>
  <si>
    <t>9789868898318</t>
  </si>
  <si>
    <t>金蝶文化有限公司</t>
  </si>
  <si>
    <t>莊堅文</t>
  </si>
  <si>
    <t>416.48</t>
  </si>
  <si>
    <t>遠見 343期：比利時，食安第一的米其林王國</t>
  </si>
  <si>
    <t>4711225310886_343</t>
  </si>
  <si>
    <t>遠見天下文化出版股份有限公司</t>
  </si>
  <si>
    <t>天下遠見出版</t>
  </si>
  <si>
    <t>20150101</t>
  </si>
  <si>
    <t>050</t>
  </si>
  <si>
    <t>遠見 344期：百大黃金農夫</t>
  </si>
  <si>
    <t>4711225310886_344</t>
  </si>
  <si>
    <t>20150201</t>
  </si>
  <si>
    <t>遠見 345期：台灣醫療關鍵報告</t>
  </si>
  <si>
    <t>4711225310886_345</t>
  </si>
  <si>
    <t>20150301</t>
  </si>
  <si>
    <t>遠見 346期：東協為何贏中國？</t>
  </si>
  <si>
    <t>4711225310886_346</t>
  </si>
  <si>
    <t>20150401</t>
  </si>
  <si>
    <t>遠見 347期：海底撈能否征服台灣？</t>
  </si>
  <si>
    <t>4711225310886_347</t>
  </si>
  <si>
    <t>20150501</t>
  </si>
  <si>
    <t>遠見 348期：一間公司對抗一個國家</t>
  </si>
  <si>
    <t>4711225310886_348</t>
  </si>
  <si>
    <t>20150601</t>
  </si>
  <si>
    <t>遠見 349期：一部勞基法搞慘360行？</t>
  </si>
  <si>
    <t>4711225310886_349</t>
  </si>
  <si>
    <t>20150701</t>
  </si>
  <si>
    <t>遠見 350期：01的改變</t>
  </si>
  <si>
    <t>4711225310886_350</t>
  </si>
  <si>
    <t>20150801</t>
  </si>
  <si>
    <t>遠見 351期：景氣急凍猛藥在哪裡？</t>
  </si>
  <si>
    <t>4711225310886_351</t>
  </si>
  <si>
    <t>20150901</t>
  </si>
  <si>
    <t>遠見 352期：消失中的上班族</t>
  </si>
  <si>
    <t>4711225310886_352</t>
  </si>
  <si>
    <t>20151001</t>
  </si>
  <si>
    <t>遠見 353期：你，同學會了沒？</t>
  </si>
  <si>
    <t>4711225310886_353</t>
  </si>
  <si>
    <t>20151101</t>
  </si>
  <si>
    <t>遠見 354期：吃不起的未來</t>
  </si>
  <si>
    <t>4711225310886_354</t>
  </si>
  <si>
    <t>20151201</t>
  </si>
  <si>
    <t>遠見 355期：消失中的教授</t>
  </si>
  <si>
    <t>4711225310886_355</t>
  </si>
  <si>
    <t>20160101</t>
  </si>
  <si>
    <t>遠見 356期：互聯網┼、機器人、環保、二胎化，中國潛力商機爆發，跟上十三五錢潮</t>
  </si>
  <si>
    <t>4711225310886_356</t>
  </si>
  <si>
    <t>20160201</t>
  </si>
  <si>
    <t>遠見 357期：小診所大醫生</t>
  </si>
  <si>
    <t>4711225310886_357</t>
  </si>
  <si>
    <t>20160301</t>
  </si>
  <si>
    <t>遠見 358期：生技股是炒作，還是下一個明星？</t>
  </si>
  <si>
    <t>4711225310886_358</t>
  </si>
  <si>
    <t>20160401</t>
  </si>
  <si>
    <t>遠見 359期：七成國人住潛在危樓，請給我安全的家</t>
  </si>
  <si>
    <t>4711225310886_359</t>
  </si>
  <si>
    <t>20160501</t>
  </si>
  <si>
    <t>遠見 360期：永遠望向未來的領袖，孫正義</t>
  </si>
  <si>
    <t>4711225310886_360</t>
  </si>
  <si>
    <t>20160601</t>
  </si>
  <si>
    <t>遠見 361期：你的未來矽谷說了算！</t>
  </si>
  <si>
    <t>4711225310886_361</t>
  </si>
  <si>
    <t>20160701</t>
  </si>
  <si>
    <t>遠見 362期：波士頓，地表最創新1平方英里</t>
  </si>
  <si>
    <t>4711225310886_362</t>
  </si>
  <si>
    <t>20160801</t>
  </si>
  <si>
    <t>遠見 363期：哈日新主張，風格就是商機</t>
  </si>
  <si>
    <t>4711225310886_363</t>
  </si>
  <si>
    <t>20160901</t>
  </si>
  <si>
    <t>遠見 364期：台灣正在瘋荷蘭</t>
  </si>
  <si>
    <t>4711225310886_364</t>
  </si>
  <si>
    <t>20161001</t>
  </si>
  <si>
    <t>遠見 365期：台灣為什麼逆勢加碼越南？</t>
  </si>
  <si>
    <t>4711225310886_365</t>
  </si>
  <si>
    <t>20161101</t>
  </si>
  <si>
    <t>遠見 366期：我的熟年進行式</t>
  </si>
  <si>
    <t>4711225310886_366</t>
  </si>
  <si>
    <t>20161201</t>
  </si>
  <si>
    <t>遠見 367期：愈慢，愈値錢</t>
  </si>
  <si>
    <t>4711225310886_367</t>
  </si>
  <si>
    <t>20170101</t>
  </si>
  <si>
    <t>遠見 368期：偷學成功者的運動筆記</t>
  </si>
  <si>
    <t>4711225310886_368</t>
  </si>
  <si>
    <t>20170201</t>
  </si>
  <si>
    <t>遠見 369期：泰國4．0，未來20年錢潮都在這！</t>
  </si>
  <si>
    <t>4711225310886_369</t>
  </si>
  <si>
    <t>20170301</t>
  </si>
  <si>
    <t>生活就像一條內褲，什麼屁你都得接著</t>
  </si>
  <si>
    <t>9789865808112</t>
  </si>
  <si>
    <t>沈璿如</t>
  </si>
  <si>
    <t>你一定要會的基礎韓語40音【有聲】</t>
  </si>
  <si>
    <t>9789866282928</t>
  </si>
  <si>
    <t>雅典韓研所</t>
  </si>
  <si>
    <t>導遊實務（一）【華語、外語導遊人員】</t>
  </si>
  <si>
    <t>9789863155775</t>
  </si>
  <si>
    <t>千華數位文化股份有限公司</t>
  </si>
  <si>
    <t>吳瑞峰</t>
  </si>
  <si>
    <t>992.5</t>
  </si>
  <si>
    <t>導遊實務（二）【華語、外語導遊人員】</t>
  </si>
  <si>
    <t>9789863155737</t>
  </si>
  <si>
    <t>林俐</t>
  </si>
  <si>
    <t>導遊實務（一）歷年試題＋題庫</t>
  </si>
  <si>
    <t>9789863156062</t>
  </si>
  <si>
    <t>310</t>
  </si>
  <si>
    <t>導遊實務（二）題庫＋歷年試題</t>
  </si>
  <si>
    <t>9789863156284</t>
  </si>
  <si>
    <t>導遊觀光資源概要歷年試題＋題庫</t>
  </si>
  <si>
    <t>9789863156093</t>
  </si>
  <si>
    <t>邱燁</t>
  </si>
  <si>
    <t>導遊通關勝經合輯（含導遊實務一、二、觀光資源概要）</t>
  </si>
  <si>
    <t>9789863155768</t>
  </si>
  <si>
    <t>吳瑞峰，林俐，邱燁</t>
  </si>
  <si>
    <t>992.5022</t>
  </si>
  <si>
    <t>領隊實務（一）【華語、外語導遊人員】</t>
  </si>
  <si>
    <t>9789863155560</t>
  </si>
  <si>
    <t>領隊實務（二）【華語、外語領隊人員】</t>
  </si>
  <si>
    <t>9789863155744</t>
  </si>
  <si>
    <t>630</t>
  </si>
  <si>
    <t>領隊實務（一）【歷年試題＋題庫】</t>
  </si>
  <si>
    <t>9789863155997</t>
  </si>
  <si>
    <t>領隊實務（二）題庫＋歷年試題</t>
  </si>
  <si>
    <t>9789863156291</t>
  </si>
  <si>
    <t>領隊觀光資源概要歷年試題+題庫</t>
  </si>
  <si>
    <t>9789863156109</t>
  </si>
  <si>
    <t>領隊通關勝經合輯（含領隊實務一、二、觀光資源概要）</t>
  </si>
  <si>
    <t>9789863155751</t>
  </si>
  <si>
    <t>餐旅概論（歷年試題+模擬考）</t>
  </si>
  <si>
    <t>9789863155805</t>
  </si>
  <si>
    <t>高芬</t>
  </si>
  <si>
    <t>489.2</t>
  </si>
  <si>
    <t>餐旅服務（歷年試題+模擬考）</t>
  </si>
  <si>
    <t>9789863155799</t>
  </si>
  <si>
    <t>畢瑩</t>
  </si>
  <si>
    <t>回眸青春：中國知青文學（增訂版）</t>
  </si>
  <si>
    <t>9789865792374</t>
  </si>
  <si>
    <t>王力堅</t>
  </si>
  <si>
    <t>台灣觀光工廠自在遊</t>
  </si>
  <si>
    <t>9789866976872</t>
  </si>
  <si>
    <t>金蘋企業有限公司</t>
  </si>
  <si>
    <t>733</t>
  </si>
  <si>
    <t>臺灣大廚：鄭衍基</t>
  </si>
  <si>
    <t>9868197635</t>
  </si>
  <si>
    <t>賽尚圖文事業有限公司</t>
  </si>
  <si>
    <t>鄭衍基</t>
  </si>
  <si>
    <t>427.11</t>
  </si>
  <si>
    <t>看千帆過盡：一位省政記者的憶往</t>
  </si>
  <si>
    <t>9789577324733</t>
  </si>
  <si>
    <t>巨流圖書股份有限公司</t>
  </si>
  <si>
    <t>王伯仁</t>
  </si>
  <si>
    <t>895.32</t>
  </si>
  <si>
    <t>符號與教育場域關係之研究</t>
  </si>
  <si>
    <t>9789577484994</t>
  </si>
  <si>
    <t>姜得勝</t>
  </si>
  <si>
    <t>520.18</t>
  </si>
  <si>
    <t>在荒原上唱歌劇：文創產業入門</t>
  </si>
  <si>
    <t>9789577485281</t>
  </si>
  <si>
    <t>孫瑞穗</t>
  </si>
  <si>
    <t>541.29</t>
  </si>
  <si>
    <t>舌尖上的台灣小吃</t>
  </si>
  <si>
    <t>9789868967403</t>
  </si>
  <si>
    <t>台北生活讀書新知三聯書店有限公司</t>
  </si>
  <si>
    <t>林二少</t>
  </si>
  <si>
    <t>483.8</t>
  </si>
  <si>
    <t>醫與醫院：個案說故事附「問題處理」方案簡述</t>
  </si>
  <si>
    <t>9789868911246</t>
  </si>
  <si>
    <t>韓揆，蔡維河</t>
  </si>
  <si>
    <t>419.2</t>
  </si>
  <si>
    <t>家園深情與空間離散─儒家的身心體證</t>
  </si>
  <si>
    <t>9789577529442</t>
  </si>
  <si>
    <t>潘朝陽</t>
  </si>
  <si>
    <t>121.207</t>
  </si>
  <si>
    <t>北醫故事：一個私立大學的蛻變新生</t>
  </si>
  <si>
    <t>9789868938854</t>
  </si>
  <si>
    <t>吳成文，劉傳文</t>
  </si>
  <si>
    <t>525.833</t>
  </si>
  <si>
    <t>擺脫KK音標，用自然發音背單字更神速</t>
  </si>
  <si>
    <t>9789867120670</t>
  </si>
  <si>
    <t>秋雨文化事業股份有限公司</t>
  </si>
  <si>
    <t>Rick Wang</t>
  </si>
  <si>
    <t>805.141</t>
  </si>
  <si>
    <t>花漾彩繪蒸點心</t>
  </si>
  <si>
    <t>9789866232299</t>
  </si>
  <si>
    <t>馮嘉慧</t>
  </si>
  <si>
    <t>非一般的旅行：天涯海角 2</t>
  </si>
  <si>
    <t>9789810705916</t>
  </si>
  <si>
    <t>阿楚出版社</t>
  </si>
  <si>
    <t>阿楚仁波切（莲袍）</t>
  </si>
  <si>
    <t>915.129</t>
  </si>
  <si>
    <t>簡體中文</t>
  </si>
  <si>
    <t>信託法概要</t>
  </si>
  <si>
    <t>9789574548385</t>
  </si>
  <si>
    <t>鼎文書局股份有限公司</t>
  </si>
  <si>
    <t>胡劭安</t>
  </si>
  <si>
    <t>563.3023</t>
  </si>
  <si>
    <t>血壓、血糖、血脂三高與肥胖　代謝症候群</t>
  </si>
  <si>
    <t>9789867577658</t>
  </si>
  <si>
    <t>健康文化事業股份有限公司</t>
  </si>
  <si>
    <t>腦血管疾病防治基金會</t>
  </si>
  <si>
    <t>415.59</t>
  </si>
  <si>
    <t>狼人劫</t>
  </si>
  <si>
    <t>9789574880805</t>
  </si>
  <si>
    <t>王文杰</t>
  </si>
  <si>
    <t>旅遊文學與地景書寫</t>
  </si>
  <si>
    <t>9789860369588</t>
  </si>
  <si>
    <t>國立中山大學</t>
  </si>
  <si>
    <t>劉石吉，張錦忠，王儀君，楊雅惠，陳美淑</t>
  </si>
  <si>
    <t>812.07</t>
  </si>
  <si>
    <t>道德經全書</t>
  </si>
  <si>
    <t>9789865936495</t>
  </si>
  <si>
    <t>老子</t>
  </si>
  <si>
    <t>121.317</t>
  </si>
  <si>
    <t>黃埔十大恩怨 （修訂版）</t>
  </si>
  <si>
    <t>9789867027993</t>
  </si>
  <si>
    <t>王曉華，張慶軍</t>
  </si>
  <si>
    <t>誠實的你和用謊言堆砌而成的我</t>
  </si>
  <si>
    <t>9789868972803</t>
  </si>
  <si>
    <t>島座放送有限公司</t>
  </si>
  <si>
    <t>生奶</t>
  </si>
  <si>
    <t>藝樹園丁：失落與悲傷藝術治療</t>
  </si>
  <si>
    <t>9789576938276</t>
  </si>
  <si>
    <t>吳明富，黃傳永</t>
  </si>
  <si>
    <t>418.986</t>
  </si>
  <si>
    <t>綠色交通：慢活．友善．永續：以人為本的運輸環境，讓城市更流暢、生活更精采</t>
  </si>
  <si>
    <t>9789576967535</t>
  </si>
  <si>
    <t>新自然主義股份有限公司</t>
  </si>
  <si>
    <t>張學孔，張馨文，陳雅雯</t>
  </si>
  <si>
    <t>557.11</t>
  </si>
  <si>
    <t>佛洛伊德帶你踏進人性禁區</t>
  </si>
  <si>
    <t>9789868958647</t>
  </si>
  <si>
    <t>文木</t>
  </si>
  <si>
    <t>175.7</t>
  </si>
  <si>
    <t>讓你賺錢（繁中版）</t>
  </si>
  <si>
    <t>EBK1020000151</t>
  </si>
  <si>
    <t>全能專案管理學習網有限公司</t>
  </si>
  <si>
    <t>黃曲欣</t>
  </si>
  <si>
    <t>563</t>
  </si>
  <si>
    <t>KK音標及生活常用語【有聲】</t>
  </si>
  <si>
    <t>9867858522_5</t>
  </si>
  <si>
    <t>805.14</t>
  </si>
  <si>
    <t>和仲華老師學美語（文章閱讀入門本）【有聲】</t>
  </si>
  <si>
    <t>9867858514_3</t>
  </si>
  <si>
    <t>這樣整才型！：醫美、微整、整型前先知道才不會後悔的56件事</t>
  </si>
  <si>
    <t>9789868933408</t>
  </si>
  <si>
    <t>心版圖文創事業股份有限公司</t>
  </si>
  <si>
    <t>邱正宏</t>
  </si>
  <si>
    <t>416.4</t>
  </si>
  <si>
    <t>愛過你，我更懂得愛自己</t>
  </si>
  <si>
    <t>9789868933415</t>
  </si>
  <si>
    <t>愛林</t>
  </si>
  <si>
    <t>544.37</t>
  </si>
  <si>
    <t>幸福，是感情最深的釋放</t>
  </si>
  <si>
    <t>9789868821552</t>
  </si>
  <si>
    <t>華夏出版有限公司</t>
  </si>
  <si>
    <t>張笑恒</t>
  </si>
  <si>
    <t>生命的十二堂情緒課：王浩威醫師情緒門診</t>
  </si>
  <si>
    <t>9789866112379</t>
  </si>
  <si>
    <t>王浩威，鄭淑麗</t>
  </si>
  <si>
    <t>176.52</t>
  </si>
  <si>
    <t>改變人類生活的創意發明Eureka！：EZ TALK總編嚴選特刊【有聲】</t>
  </si>
  <si>
    <t>9789862483428</t>
  </si>
  <si>
    <t>EZ TALK編輯部</t>
  </si>
  <si>
    <t>韓國人天天都醬說？這150個慣用句，不會怎麼行？【有聲】</t>
  </si>
  <si>
    <t>9789862483404</t>
  </si>
  <si>
    <t>魯水晶</t>
  </si>
  <si>
    <t>輕鬆考證照：外幣保單與保險理財</t>
  </si>
  <si>
    <t>9789868867949</t>
  </si>
  <si>
    <t>鑫富樂文教事業有限公司</t>
  </si>
  <si>
    <t>廖勇誠</t>
  </si>
  <si>
    <t>563.7</t>
  </si>
  <si>
    <t>手繪告白：100%美式宅的幸福溫度</t>
  </si>
  <si>
    <t>9789868771130</t>
  </si>
  <si>
    <t>幸福空間有限公司</t>
  </si>
  <si>
    <t>張馨</t>
  </si>
  <si>
    <t>967</t>
  </si>
  <si>
    <t>彎得下腰才叫成熟，放得下身段才是高手！</t>
  </si>
  <si>
    <t>9789865886578</t>
  </si>
  <si>
    <t>葉振廷</t>
  </si>
  <si>
    <t>國民日語會話大全集【有聲】</t>
  </si>
  <si>
    <t>9789866282997</t>
  </si>
  <si>
    <t>803.188</t>
  </si>
  <si>
    <t>好想知道這句韓語怎麼說【有聲】</t>
  </si>
  <si>
    <t>9789868895591</t>
  </si>
  <si>
    <t>語言鳥</t>
  </si>
  <si>
    <t>王愛實</t>
  </si>
  <si>
    <t>803.288</t>
  </si>
  <si>
    <t>安妞哈誰呦！超簡單的韓語40音：用中文說韓語【有聲】</t>
  </si>
  <si>
    <t>9789869003216</t>
  </si>
  <si>
    <t>金妍熙</t>
  </si>
  <si>
    <t>803.24</t>
  </si>
  <si>
    <t>給大學生創業的10項建議：祖克柏的創業心得分享</t>
  </si>
  <si>
    <t>9789577135377</t>
  </si>
  <si>
    <t>張樂</t>
  </si>
  <si>
    <t>494.1</t>
  </si>
  <si>
    <t>美哉台灣</t>
  </si>
  <si>
    <t>9789868173361</t>
  </si>
  <si>
    <t>下課文化出版社</t>
  </si>
  <si>
    <t>林淑珺</t>
  </si>
  <si>
    <t>733.6</t>
  </si>
  <si>
    <t>有一種智慧叫做不抱怨：淡定的人生最幸福</t>
  </si>
  <si>
    <t>9789865721008</t>
  </si>
  <si>
    <t>佟偉</t>
  </si>
  <si>
    <t>人生不設限：本田宗一郎的商道公開課</t>
  </si>
  <si>
    <t>9789865839406</t>
  </si>
  <si>
    <t>蘭濤</t>
  </si>
  <si>
    <t>490.9931</t>
  </si>
  <si>
    <t>血屠</t>
  </si>
  <si>
    <t>9789865839352</t>
  </si>
  <si>
    <t>佛祖是爺們</t>
  </si>
  <si>
    <t>紅楓粉櫻古意漫遊Easy GO！【12～13年版】：京阪神關西【增訂版】</t>
  </si>
  <si>
    <t>9789881596925</t>
  </si>
  <si>
    <t>Him</t>
  </si>
  <si>
    <t>731.759</t>
  </si>
  <si>
    <t>高效思維‧創造無限可能：史蒂芬‧柯維高效能成功金律</t>
  </si>
  <si>
    <t>9789868821569</t>
  </si>
  <si>
    <t>侯書照</t>
  </si>
  <si>
    <t>秋千：文字的旋律</t>
  </si>
  <si>
    <t>9789868827455</t>
  </si>
  <si>
    <t>也是文創有限公司</t>
  </si>
  <si>
    <t>張尚為</t>
  </si>
  <si>
    <t>墨痕：字裡行間的溫度</t>
  </si>
  <si>
    <t>9789868827462</t>
  </si>
  <si>
    <t>848.6</t>
  </si>
  <si>
    <t>藏心：一個科技人的書法隨想</t>
  </si>
  <si>
    <t>9789868827424</t>
  </si>
  <si>
    <t>943.5</t>
  </si>
  <si>
    <t>為愛行腳：在非洲交會的生命花園</t>
  </si>
  <si>
    <t>9789869006903</t>
  </si>
  <si>
    <t>新迪出版有限公司</t>
  </si>
  <si>
    <t>慧禮法師</t>
  </si>
  <si>
    <t>548.126</t>
  </si>
  <si>
    <t>聖經真的沒有錯嗎？：聖經底本無誤論的再思</t>
  </si>
  <si>
    <t>9789866355301</t>
  </si>
  <si>
    <t>中華福音神學院出版社</t>
  </si>
  <si>
    <t>周功和</t>
  </si>
  <si>
    <t>241.01</t>
  </si>
  <si>
    <t>全球化下的社交媒體與數字網絡</t>
  </si>
  <si>
    <t>9789996510519</t>
  </si>
  <si>
    <t>澳門大學</t>
  </si>
  <si>
    <t>吳玫</t>
  </si>
  <si>
    <t>020.1654</t>
  </si>
  <si>
    <t>坎坷之路：新聞自由在中國</t>
  </si>
  <si>
    <t>9789577324849</t>
  </si>
  <si>
    <t>孫旭培</t>
  </si>
  <si>
    <t>891.1</t>
  </si>
  <si>
    <t>記者的重量：台灣政治新聞記者的想像與實作1980-2005</t>
  </si>
  <si>
    <t>9789577324856</t>
  </si>
  <si>
    <t>黃順星</t>
  </si>
  <si>
    <t>895.1</t>
  </si>
  <si>
    <t>貢寮生態緣：龍門電廠週邊的生物多樣性</t>
  </si>
  <si>
    <t>EBK1020000203</t>
  </si>
  <si>
    <t>福爾摩莎自然史資訊有限公司</t>
  </si>
  <si>
    <t>福爾摩莎自然史資訊有限公司，台灣電力公司</t>
  </si>
  <si>
    <t>367</t>
  </si>
  <si>
    <t>文書自由e學園2：LibreOffice Writer</t>
  </si>
  <si>
    <t>9789868948020</t>
  </si>
  <si>
    <t>98％的孩子都可以是英才：從出生開始，培養孩子的靈活腦袋</t>
  </si>
  <si>
    <t>9789868937291</t>
  </si>
  <si>
    <t>張淑芬</t>
  </si>
  <si>
    <t>皇朝懸案啟示錄</t>
  </si>
  <si>
    <t>9789865819262</t>
  </si>
  <si>
    <t>智學堂</t>
  </si>
  <si>
    <t>蕭嘉辰</t>
  </si>
  <si>
    <t>鹹也好，淡也好，做人自在就好</t>
  </si>
  <si>
    <t>9789865936617</t>
  </si>
  <si>
    <t>盧雁芊</t>
  </si>
  <si>
    <t>191.9</t>
  </si>
  <si>
    <t>關鍵歷史檔案之購屋騙術一</t>
  </si>
  <si>
    <t>EBK1020000234</t>
  </si>
  <si>
    <t>鄭振耀</t>
  </si>
  <si>
    <t>關鍵歷史檔案之購屋騙術二</t>
  </si>
  <si>
    <t>EBK1020000235</t>
  </si>
  <si>
    <t>關鍵歷史檔案之購屋騙術三</t>
  </si>
  <si>
    <t>EBK1020000236</t>
  </si>
  <si>
    <t>關鍵歷史檔案之購屋騙術四</t>
  </si>
  <si>
    <t>EBK1020000237</t>
  </si>
  <si>
    <t>關鍵歷史檔案之購屋騙術五</t>
  </si>
  <si>
    <t>EBK1020000238</t>
  </si>
  <si>
    <t>平行線的相交點</t>
  </si>
  <si>
    <t>9789867360588</t>
  </si>
  <si>
    <t>向上出版事業有限公司</t>
  </si>
  <si>
    <t>春泥</t>
  </si>
  <si>
    <t>印度漂鳥</t>
  </si>
  <si>
    <t>9789866191343</t>
  </si>
  <si>
    <t>Munshi Premchand</t>
  </si>
  <si>
    <t>867.57</t>
  </si>
  <si>
    <t>生命數字不思議</t>
  </si>
  <si>
    <t>9789866436345</t>
  </si>
  <si>
    <t>陳小珠</t>
  </si>
  <si>
    <t>292.9</t>
  </si>
  <si>
    <t>塔羅，原來如此</t>
  </si>
  <si>
    <t>9789866436475</t>
  </si>
  <si>
    <t>292.96</t>
  </si>
  <si>
    <t>我愛的人，要走：身心靈臨終關懷手冊</t>
  </si>
  <si>
    <t>9789866436482</t>
  </si>
  <si>
    <t>許添盛</t>
  </si>
  <si>
    <t>197</t>
  </si>
  <si>
    <t>採購管理工作細則（增訂二版）</t>
  </si>
  <si>
    <t>9789866084751</t>
  </si>
  <si>
    <t>楊騰飛，丁振國</t>
  </si>
  <si>
    <t>494.57</t>
  </si>
  <si>
    <t>鑰匙在我們手中：達賴喇嘛談末法時代的生活與修行</t>
  </si>
  <si>
    <t>9789863530251</t>
  </si>
  <si>
    <t>克勞德‧卡列拉</t>
  </si>
  <si>
    <t>226.965</t>
  </si>
  <si>
    <t>觀察，不要成為：跟隆波康懇學習動中禪</t>
  </si>
  <si>
    <t>9789863530688</t>
  </si>
  <si>
    <t>覺奎，明玉</t>
  </si>
  <si>
    <t>225.7</t>
  </si>
  <si>
    <t>聽弘一大師講鹹淡人生</t>
  </si>
  <si>
    <t>9789866099663</t>
  </si>
  <si>
    <t>百善書房</t>
  </si>
  <si>
    <t>于海英</t>
  </si>
  <si>
    <t>225.4</t>
  </si>
  <si>
    <t>行住坐臥都是道</t>
  </si>
  <si>
    <t>9789866099953</t>
  </si>
  <si>
    <t>孫浩偉</t>
  </si>
  <si>
    <t>226.65</t>
  </si>
  <si>
    <t>大讀聖經</t>
  </si>
  <si>
    <t>9789861441238</t>
  </si>
  <si>
    <t>商鼎文化出版社</t>
  </si>
  <si>
    <t>古利</t>
  </si>
  <si>
    <t>241.03</t>
  </si>
  <si>
    <t>世界真奇妙：千奇百怪的文明與人文奇觀</t>
  </si>
  <si>
    <t>9789865819286</t>
  </si>
  <si>
    <t>賴士均</t>
  </si>
  <si>
    <t>297</t>
  </si>
  <si>
    <t>文與字的神韻：文學美</t>
  </si>
  <si>
    <t>9789865792336</t>
  </si>
  <si>
    <t>華藝學術出版社（Airiti Press Inc.）</t>
  </si>
  <si>
    <t>楊桂青，賴配根</t>
  </si>
  <si>
    <t>810.1</t>
  </si>
  <si>
    <t>文獻傳承與史學研究</t>
  </si>
  <si>
    <t>9789865792152</t>
  </si>
  <si>
    <t>周少川</t>
  </si>
  <si>
    <t>611</t>
  </si>
  <si>
    <t>魂歸（上）</t>
  </si>
  <si>
    <t>9789865839451</t>
  </si>
  <si>
    <t>魂歸（下）</t>
  </si>
  <si>
    <t>9789865839468</t>
  </si>
  <si>
    <t>九型人格：人生必勝的職場法則</t>
  </si>
  <si>
    <t>9789865743246</t>
  </si>
  <si>
    <t>大翼文化</t>
  </si>
  <si>
    <t>羅月婷</t>
  </si>
  <si>
    <t>173.75</t>
  </si>
  <si>
    <t>九型人格：洞悉人心的心靈密碼</t>
  </si>
  <si>
    <t>9789865743253</t>
  </si>
  <si>
    <t>肥是一個減不掉的詞</t>
  </si>
  <si>
    <t>9789881304841</t>
  </si>
  <si>
    <t>文化工房</t>
  </si>
  <si>
    <t>袁兆昌</t>
  </si>
  <si>
    <t>850.9</t>
  </si>
  <si>
    <t>不找藉口，好好生活：有一種堅定是佛陀教你的</t>
  </si>
  <si>
    <t>9789869000734</t>
  </si>
  <si>
    <t>大喜文化有限公司</t>
  </si>
  <si>
    <t>噶瑪旺莫</t>
  </si>
  <si>
    <t>不執著的幸福：大師父教你頓悟的55則智慧</t>
  </si>
  <si>
    <t>9789869000772</t>
  </si>
  <si>
    <t>淨明</t>
  </si>
  <si>
    <t>分手之後再相愛：分手只是真愛的逗點</t>
  </si>
  <si>
    <t>9789868947160</t>
  </si>
  <si>
    <t>尋</t>
  </si>
  <si>
    <t>見鬼了！人鬼同途遇鬼實錄</t>
  </si>
  <si>
    <t>9789862280423</t>
  </si>
  <si>
    <t>鄭凱中</t>
  </si>
  <si>
    <t>考取經驗談</t>
  </si>
  <si>
    <t>EBK1020000255</t>
  </si>
  <si>
    <t>019</t>
  </si>
  <si>
    <t>漂泊航程：歷史長河中的明清之旅</t>
  </si>
  <si>
    <t>9789865792466</t>
  </si>
  <si>
    <t>王家範</t>
  </si>
  <si>
    <t>626</t>
  </si>
  <si>
    <t>不思議！微空間收納法</t>
  </si>
  <si>
    <t>9789868771154</t>
  </si>
  <si>
    <t>宋雯鈴</t>
  </si>
  <si>
    <t>422.5</t>
  </si>
  <si>
    <t>乾隆皇帝的荷包</t>
  </si>
  <si>
    <t>9789860418583</t>
  </si>
  <si>
    <t>中央研究院近代史研究所</t>
  </si>
  <si>
    <t>賴惠敏</t>
  </si>
  <si>
    <t>560.92</t>
  </si>
  <si>
    <t>兒童新聞韓語【有聲】</t>
  </si>
  <si>
    <t>EBK1020000311</t>
  </si>
  <si>
    <t>槓桿韓國語編輯部</t>
  </si>
  <si>
    <t>803.2</t>
  </si>
  <si>
    <t>名畫中的時尚元素</t>
  </si>
  <si>
    <t>9789866620676</t>
  </si>
  <si>
    <t>許汝紘</t>
  </si>
  <si>
    <t>541.8509</t>
  </si>
  <si>
    <t>我要和你一起聽音樂</t>
  </si>
  <si>
    <t>9789866620454</t>
  </si>
  <si>
    <t>許麗雯</t>
  </si>
  <si>
    <t>910.38</t>
  </si>
  <si>
    <t>大宅們之魯蛇集團</t>
  </si>
  <si>
    <t>9789868911284</t>
  </si>
  <si>
    <t>Stoneman</t>
  </si>
  <si>
    <t>Arduino電子秤設計與製作</t>
  </si>
  <si>
    <t>9789868936027</t>
  </si>
  <si>
    <t>渥瑪數位有限公司</t>
  </si>
  <si>
    <t>曹永忠，許智誠，蔡英德</t>
  </si>
  <si>
    <t>448.68</t>
  </si>
  <si>
    <t>Arduino電風扇設計與製作</t>
  </si>
  <si>
    <t>9789868936034</t>
  </si>
  <si>
    <t>Arduino迷宮遊戲設計與製作</t>
  </si>
  <si>
    <t>9789868936041</t>
  </si>
  <si>
    <t>Arduino遙控車設計與製作</t>
  </si>
  <si>
    <t>9789868936058</t>
  </si>
  <si>
    <t>Arduino雙軸直流馬達控制</t>
  </si>
  <si>
    <t>9789868936065</t>
  </si>
  <si>
    <t>Arduino自走車設計與製作</t>
  </si>
  <si>
    <t>9789868936072</t>
  </si>
  <si>
    <t>Arduino超音波測距機設計與製作</t>
  </si>
  <si>
    <t>9789868936089</t>
  </si>
  <si>
    <t>Arduino手機互動跳舞機設計</t>
  </si>
  <si>
    <t>9789868936096</t>
  </si>
  <si>
    <t>Arduino步進馬達控制</t>
  </si>
  <si>
    <t>9789869035606</t>
  </si>
  <si>
    <t>Arduino互動跳舞兔設計</t>
  </si>
  <si>
    <t>9789869035613</t>
  </si>
  <si>
    <t>Arduino互動字幕機設計</t>
  </si>
  <si>
    <t>9789869035620</t>
  </si>
  <si>
    <t>Arduino RFID門禁管制機設計</t>
  </si>
  <si>
    <t>9789869035637</t>
  </si>
  <si>
    <t>Arduino EM-RFID門禁管制機設計</t>
  </si>
  <si>
    <t>9789869035644</t>
  </si>
  <si>
    <t>Arduino空氣豎琴設計與開發</t>
  </si>
  <si>
    <t>9789869035651</t>
  </si>
  <si>
    <t>Arduino手搖字幕機開發</t>
  </si>
  <si>
    <t>9789869035668</t>
  </si>
  <si>
    <t>Arduino逆滲透濾水器控制器開發</t>
  </si>
  <si>
    <t>9789869035675</t>
  </si>
  <si>
    <t>台灣常見的櫻花與杏花：台灣常見櫻花與複瓣觀賞桃花（杏花）栽培品種與花期調節之研究</t>
  </si>
  <si>
    <t>9789868738133</t>
  </si>
  <si>
    <t>財團法人中正農業科技社會公益基金會</t>
  </si>
  <si>
    <t>吳安娜，李阿嬌，傅仰人，廖乾華</t>
  </si>
  <si>
    <t>435.41</t>
  </si>
  <si>
    <t>背包客的菜韓文自由行【有聲】</t>
  </si>
  <si>
    <t>9789865753047</t>
  </si>
  <si>
    <t>韓語會話萬用小抄一本就GO【有聲】</t>
  </si>
  <si>
    <t>9789865753115</t>
  </si>
  <si>
    <t>史上最強日檢N3文法＋單字精選模擬試題法律顧問</t>
  </si>
  <si>
    <t>9789865753139</t>
  </si>
  <si>
    <t>803.1</t>
  </si>
  <si>
    <t>背包客基本要會的韓語便利句【有聲】</t>
  </si>
  <si>
    <t>9789865753146</t>
  </si>
  <si>
    <t>日本人最常用的慣用語【有聲】</t>
  </si>
  <si>
    <t>9789865753177</t>
  </si>
  <si>
    <t>803.135</t>
  </si>
  <si>
    <t>謝謝你不喜歡我：學會不抱怨的生活</t>
  </si>
  <si>
    <t>9789865808464</t>
  </si>
  <si>
    <t>李慧如</t>
  </si>
  <si>
    <t>練習自信：那些再與你無關的不公平</t>
  </si>
  <si>
    <t>9789865808501</t>
  </si>
  <si>
    <t>思考從終點出發：管理者的決策思維</t>
  </si>
  <si>
    <t>9789865808563</t>
  </si>
  <si>
    <t>李翔生</t>
  </si>
  <si>
    <t>只能裝傻，不能真傻：長大後應該要學會的事情</t>
  </si>
  <si>
    <t>9789865808570</t>
  </si>
  <si>
    <t>湯維辰</t>
  </si>
  <si>
    <t>職場成功關鍵懶人包：真希望「第一次上班」就知道的事</t>
  </si>
  <si>
    <t>9789865808594</t>
  </si>
  <si>
    <t>林若蘭</t>
  </si>
  <si>
    <t>魔法美食街</t>
  </si>
  <si>
    <t>9789865862343</t>
  </si>
  <si>
    <t>雪原雪</t>
  </si>
  <si>
    <t>鴕鳥的幸福，只是一堆沙子：學會幸福的方法</t>
  </si>
  <si>
    <t>9789865886691</t>
  </si>
  <si>
    <t>詹詠晴</t>
  </si>
  <si>
    <t>放下執念，勿強求</t>
  </si>
  <si>
    <t>9789865886714</t>
  </si>
  <si>
    <t>陳鵬輝</t>
  </si>
  <si>
    <t>224.515</t>
  </si>
  <si>
    <t>惜福感恩，包容人生的不圓滿</t>
  </si>
  <si>
    <t>9789865886738</t>
  </si>
  <si>
    <t>文淑敏</t>
  </si>
  <si>
    <t>欲望不止，幸福不至</t>
  </si>
  <si>
    <t>9789865886783</t>
  </si>
  <si>
    <t>鄭婉妘</t>
  </si>
  <si>
    <t>就是這一本，超實用的旅遊英語【攜帶版】【有聲】</t>
  </si>
  <si>
    <t>9789869003223</t>
  </si>
  <si>
    <t>鍾季霖</t>
  </si>
  <si>
    <t>輕鬆學韓語：旅遊會話篇【攜帶版】【有聲】</t>
  </si>
  <si>
    <t>9789869003230</t>
  </si>
  <si>
    <t>我是韓語單字王【有聲】</t>
  </si>
  <si>
    <t>9789869003254</t>
  </si>
  <si>
    <t>803.22</t>
  </si>
  <si>
    <t>來～跟毛小孩聊天：透過溝通，我們都被療癒了！</t>
  </si>
  <si>
    <t>9789869055567</t>
  </si>
  <si>
    <t>Leslie</t>
  </si>
  <si>
    <t>383.7</t>
  </si>
  <si>
    <t>手繪旅行日和：台北、東京到巴黎，我離不開的咖啡館、文具雜貨店與市集</t>
  </si>
  <si>
    <t>9789869055536</t>
  </si>
  <si>
    <t>林凡瑜</t>
  </si>
  <si>
    <t>719</t>
  </si>
  <si>
    <t>故事的療癒力量2：擁抱不完美：認回自己的故事療癒之旅</t>
  </si>
  <si>
    <t>9789866112775</t>
  </si>
  <si>
    <t>周志建</t>
  </si>
  <si>
    <t>340</t>
  </si>
  <si>
    <t>178.8</t>
  </si>
  <si>
    <t>連日本人都沒看過的，超有梗日本故事選！【有聲】</t>
  </si>
  <si>
    <t>9789862483602</t>
  </si>
  <si>
    <t>戶田一康</t>
  </si>
  <si>
    <t>瘋狂聽日語【有聲】</t>
  </si>
  <si>
    <t>9789862483671</t>
  </si>
  <si>
    <t>今泉江利子</t>
  </si>
  <si>
    <t>KMOOK 04：小資度假遊學，萬元就搞定！</t>
  </si>
  <si>
    <t>9789862483725</t>
  </si>
  <si>
    <t>增田行俊</t>
  </si>
  <si>
    <t>529.25</t>
  </si>
  <si>
    <t>連美國人也想知道的英文問題Good Question！：EZ TALK總編嚴選特刊</t>
  </si>
  <si>
    <t>9789862483763</t>
  </si>
  <si>
    <t>EZ TALK 編輯部</t>
  </si>
  <si>
    <t>805.123</t>
  </si>
  <si>
    <t>輕鬆考證照：人身保險經營與實務概要</t>
  </si>
  <si>
    <t>9789868867956</t>
  </si>
  <si>
    <t>435</t>
  </si>
  <si>
    <t>563.74</t>
  </si>
  <si>
    <t>金融計算：Excel VBA基礎實作</t>
  </si>
  <si>
    <t>9789865943721</t>
  </si>
  <si>
    <t>李明達</t>
  </si>
  <si>
    <t>312</t>
  </si>
  <si>
    <t>Soil and Fertilizer：Concepts and Practices</t>
  </si>
  <si>
    <t>9789865663018</t>
  </si>
  <si>
    <t>楊秋忠</t>
  </si>
  <si>
    <t>434.22</t>
  </si>
  <si>
    <t>英文</t>
  </si>
  <si>
    <t>龍之花嫁１：變身</t>
  </si>
  <si>
    <t>9789865670030</t>
  </si>
  <si>
    <t>蘇素</t>
  </si>
  <si>
    <t>龍之花嫁２：危機</t>
  </si>
  <si>
    <t>9789865670047</t>
  </si>
  <si>
    <t>9789863159452</t>
  </si>
  <si>
    <t>四川花椒─探索花椒與川味的奧秘</t>
  </si>
  <si>
    <t>9789866527302</t>
  </si>
  <si>
    <t>蔡名雄</t>
  </si>
  <si>
    <t>434</t>
  </si>
  <si>
    <t>戀戀臺灣風情：走過日治時期的這些人那些事</t>
  </si>
  <si>
    <t>9789866527333</t>
  </si>
  <si>
    <t>林衡道、邱秀堂</t>
  </si>
  <si>
    <t>733.4</t>
  </si>
  <si>
    <t>哲學的40堂公開課</t>
  </si>
  <si>
    <t>9789865671099</t>
  </si>
  <si>
    <t>漫遊者文化事業股份有限公司</t>
  </si>
  <si>
    <t>奈傑爾・沃伯</t>
  </si>
  <si>
    <t>140</t>
  </si>
  <si>
    <t>行政部流程規範化管理〈增訂二版〉</t>
  </si>
  <si>
    <t>9789866084973</t>
  </si>
  <si>
    <t>王建新</t>
  </si>
  <si>
    <t>行銷部流程規範化管理（增訂二版）</t>
  </si>
  <si>
    <t>9789866084980</t>
  </si>
  <si>
    <t>王瑞德</t>
  </si>
  <si>
    <t>生產部流程規範化管理（增訂二版）</t>
  </si>
  <si>
    <t>9789863690023</t>
  </si>
  <si>
    <t>劉福海</t>
  </si>
  <si>
    <t>績效考核手冊（增訂二版）</t>
  </si>
  <si>
    <t>9789863690016</t>
  </si>
  <si>
    <t>秦建成</t>
  </si>
  <si>
    <t>居家燈光魔法設計：家的浪漫就靠燈光</t>
  </si>
  <si>
    <t>9789866209512</t>
  </si>
  <si>
    <t>422.2</t>
  </si>
  <si>
    <t>漂亮寫真這樣GO：構圖與採光的魅力攝影術</t>
  </si>
  <si>
    <t>9789862015780</t>
  </si>
  <si>
    <t>博碩文化股份有限公司</t>
  </si>
  <si>
    <t>柯呈和</t>
  </si>
  <si>
    <t>952</t>
  </si>
  <si>
    <t>自助旅行不求人！iPhone手機旅遊萬事通</t>
  </si>
  <si>
    <t>9789862016770</t>
  </si>
  <si>
    <t>酆士昌</t>
  </si>
  <si>
    <t>992.8</t>
  </si>
  <si>
    <t>自助旅行不求人！Android手機旅遊萬事通</t>
  </si>
  <si>
    <t>9789862016787</t>
  </si>
  <si>
    <t>酆士昌、余俊杰</t>
  </si>
  <si>
    <t>愛煮粥：經典、台式、養生、甜點粥，輕鬆一鍋就搞定！</t>
  </si>
  <si>
    <t>9789862018668</t>
  </si>
  <si>
    <t>江禾圓</t>
  </si>
  <si>
    <t>427.35</t>
  </si>
  <si>
    <t>在雲之南：從大理、麗江到香格里拉</t>
  </si>
  <si>
    <t>9789862019078</t>
  </si>
  <si>
    <t>周一</t>
  </si>
  <si>
    <t>邊買邊賺零用金，專家教你的日本網購賺錢術</t>
  </si>
  <si>
    <t>9789862100639</t>
  </si>
  <si>
    <t>星井弘行、 zetamobile株式會社、裴振然</t>
  </si>
  <si>
    <t>498.96</t>
  </si>
  <si>
    <t>美魔女的逆齡瘦身沙拉：10週70道神奇瘦身美容魔法</t>
  </si>
  <si>
    <t>9789869065641</t>
  </si>
  <si>
    <t>沙拉女王</t>
  </si>
  <si>
    <t>小資背包客遊西班牙：26天22個城市114個推薦景點徹底玩透</t>
  </si>
  <si>
    <t>9789869094221</t>
  </si>
  <si>
    <t>甄妮、 小飯糰</t>
  </si>
  <si>
    <t>746.19</t>
  </si>
  <si>
    <t>瘦腹力：完美打造「瘦體骨架」，6週持續燃脂提高代謝，強化肌力遠離痠痛！</t>
  </si>
  <si>
    <t>9789865671075</t>
  </si>
  <si>
    <t>甘思元</t>
  </si>
  <si>
    <t>411</t>
  </si>
  <si>
    <t>我在阿塱壹， 深呼吸</t>
  </si>
  <si>
    <t>9789576967818</t>
  </si>
  <si>
    <t>張筧、陳柏銓</t>
  </si>
  <si>
    <t>733.9</t>
  </si>
  <si>
    <t>八極拳秘訣</t>
  </si>
  <si>
    <t>9789576012914</t>
  </si>
  <si>
    <t>葉明雲</t>
  </si>
  <si>
    <t>螳螂拳全書</t>
  </si>
  <si>
    <t>9789576012921</t>
  </si>
  <si>
    <t>高文正</t>
  </si>
  <si>
    <t>八卦拳散手 ： 六十四路</t>
  </si>
  <si>
    <t>9789576012938</t>
  </si>
  <si>
    <t>蔣浩泉、裴錫榮</t>
  </si>
  <si>
    <t>實用氣功研究</t>
  </si>
  <si>
    <t>9789576012990</t>
  </si>
  <si>
    <t>張和</t>
  </si>
  <si>
    <t>413.94</t>
  </si>
  <si>
    <t>果樹修剪學</t>
  </si>
  <si>
    <t>9789576013027</t>
  </si>
  <si>
    <t>劉熙</t>
  </si>
  <si>
    <t>440</t>
  </si>
  <si>
    <t>藥用植物栽培技術</t>
  </si>
  <si>
    <t>9789576013034</t>
  </si>
  <si>
    <t>劉明哲</t>
  </si>
  <si>
    <t>434.192</t>
  </si>
  <si>
    <t>台灣人民俗【第一冊◆迎神賽會◎民俗曲藝】</t>
  </si>
  <si>
    <t>9579833524_1</t>
  </si>
  <si>
    <t>橋宏書局</t>
  </si>
  <si>
    <t>凌志四</t>
  </si>
  <si>
    <t>673.24</t>
  </si>
  <si>
    <t>台灣人民俗【第二冊◆歲時節令◎傳統行業】</t>
  </si>
  <si>
    <t>9579833524_2</t>
  </si>
  <si>
    <t>台灣人民俗【第三冊◆民俗工藝◎寺廟神祇】</t>
  </si>
  <si>
    <t>9579833524_3</t>
  </si>
  <si>
    <t>台灣人民俗【第四冊◆民間信仰◎神明寺廟】</t>
  </si>
  <si>
    <t>9579833524_4</t>
  </si>
  <si>
    <t>fun眼遊台中</t>
  </si>
  <si>
    <t>9789865892456</t>
  </si>
  <si>
    <t>大台灣旅遊股份有限公司</t>
  </si>
  <si>
    <t>大台灣旅遊網新聞部</t>
  </si>
  <si>
    <t>GO! 台中自助行</t>
  </si>
  <si>
    <t>9789865892388</t>
  </si>
  <si>
    <t>錢弘芸、林省吾、 羅惠文、 吳冠霖等</t>
  </si>
  <si>
    <t>台東旅遊趣</t>
  </si>
  <si>
    <t>9789865892432</t>
  </si>
  <si>
    <t>食在宜蘭</t>
  </si>
  <si>
    <t>9789865892449</t>
  </si>
  <si>
    <t>國之北疆：馬祖行</t>
  </si>
  <si>
    <t>9789865892425</t>
  </si>
  <si>
    <t>就是要瘦身：搭配清爽蔬果汁，輕鬆雕塑好身材！</t>
  </si>
  <si>
    <t>9789865753184</t>
  </si>
  <si>
    <t>王凱芬</t>
  </si>
  <si>
    <t>418.915</t>
  </si>
  <si>
    <t>史上最強GEPT Pro 企業英檢一本就夠【有聲】</t>
  </si>
  <si>
    <t>9789865753191</t>
  </si>
  <si>
    <t>張文娟</t>
  </si>
  <si>
    <t>用漢字背韓語單字【有聲】</t>
  </si>
  <si>
    <t>9789865753214</t>
  </si>
  <si>
    <t>連小學生都會的國民韓語基礎句型【有聲】</t>
  </si>
  <si>
    <t>9789865753238</t>
  </si>
  <si>
    <t>803.265</t>
  </si>
  <si>
    <t>史上最強日檢N4文法┼單字精選模擬試題</t>
  </si>
  <si>
    <t>9789865753245</t>
  </si>
  <si>
    <t>803.189</t>
  </si>
  <si>
    <t>史上最強日檢N5文法┼單字精選模擬試題</t>
  </si>
  <si>
    <t>9789865753283</t>
  </si>
  <si>
    <t>推理破案王1：謀殺真相事件簿</t>
  </si>
  <si>
    <t>9789865808631</t>
  </si>
  <si>
    <t>羅亮淳</t>
  </si>
  <si>
    <t>997</t>
  </si>
  <si>
    <t>少年口也！你是不是很想自己當老闆：成功創業不變的26條鐵律</t>
  </si>
  <si>
    <t>9789865808723</t>
  </si>
  <si>
    <t>董振千</t>
  </si>
  <si>
    <t>這樣說話人人愛</t>
  </si>
  <si>
    <t>9789865808747</t>
  </si>
  <si>
    <t>曾建維</t>
  </si>
  <si>
    <t>百鬼夜行：怨剎</t>
  </si>
  <si>
    <t>9789865808754</t>
  </si>
  <si>
    <t>夏懸</t>
  </si>
  <si>
    <t>領隊專用：人氣指數No.1的團體遊戲王〈攜帶版〉</t>
  </si>
  <si>
    <t>9789865819385</t>
  </si>
  <si>
    <t>路西</t>
  </si>
  <si>
    <t>997.9</t>
  </si>
  <si>
    <t>歷史上最不為人知的神祕怪事與驚悚奇聞！</t>
  </si>
  <si>
    <t>9789865819439</t>
  </si>
  <si>
    <t>張家華</t>
  </si>
  <si>
    <t>856.9</t>
  </si>
  <si>
    <t>推翻那些你曾信以為真的歷史</t>
  </si>
  <si>
    <t>9789865819538</t>
  </si>
  <si>
    <t>張中延</t>
  </si>
  <si>
    <t>斷掌少女</t>
  </si>
  <si>
    <t>9789865862381</t>
  </si>
  <si>
    <t>岑文晴</t>
  </si>
  <si>
    <t>你好色：窺探色彩心理學</t>
  </si>
  <si>
    <t>9789865886813</t>
  </si>
  <si>
    <t>吳湘樺</t>
  </si>
  <si>
    <t>176.231</t>
  </si>
  <si>
    <t>生活應用色彩心理學</t>
  </si>
  <si>
    <t>9789865886844</t>
  </si>
  <si>
    <t>賴馨慧</t>
  </si>
  <si>
    <t>超犀利的愛情心理測驗</t>
  </si>
  <si>
    <t>9789865886868</t>
  </si>
  <si>
    <t>艾莉絲</t>
  </si>
  <si>
    <t>選擇堅持：馬雲的人生智慧</t>
  </si>
  <si>
    <t>9789865886875</t>
  </si>
  <si>
    <t>柯誠浩</t>
  </si>
  <si>
    <t>490.992</t>
  </si>
  <si>
    <t>英文【歷年試題┼模擬考】</t>
  </si>
  <si>
    <t>9789863740285</t>
  </si>
  <si>
    <t>王詠田</t>
  </si>
  <si>
    <t>805</t>
  </si>
  <si>
    <t>英文閱讀與寫作完全攻略</t>
  </si>
  <si>
    <t>9789863740049</t>
  </si>
  <si>
    <t>劉似蓉、子曰</t>
  </si>
  <si>
    <t>疾病是堵出來的：身心靈健康合一的秘密</t>
  </si>
  <si>
    <t>9789863530763</t>
  </si>
  <si>
    <t>楊中武、韓謹鴿</t>
  </si>
  <si>
    <t>415.9511</t>
  </si>
  <si>
    <t>跟朱丹溪學自我調養</t>
  </si>
  <si>
    <t>9789863530787</t>
  </si>
  <si>
    <t>楊中武</t>
  </si>
  <si>
    <t>413.21</t>
  </si>
  <si>
    <t>你是我的菜</t>
  </si>
  <si>
    <t>9789579803847</t>
  </si>
  <si>
    <t>江映瑤出版社</t>
  </si>
  <si>
    <t>江映瑤</t>
  </si>
  <si>
    <t>Excel2013：函數大全與活用範例關鍵講座</t>
  </si>
  <si>
    <t>9789862018125</t>
  </si>
  <si>
    <t>林宏諭</t>
  </si>
  <si>
    <t>西夏旅館．蝴蝶書【有聲】</t>
  </si>
  <si>
    <t>EBK1020000411</t>
  </si>
  <si>
    <t>國立中央大學黑盒子表演藝術中心</t>
  </si>
  <si>
    <t>魏瑛娟</t>
  </si>
  <si>
    <t>983</t>
  </si>
  <si>
    <t>無獨．遊偶：無獨有偶與臺灣當代偶戲十五年【有聲】</t>
  </si>
  <si>
    <t>EBK1020000414</t>
  </si>
  <si>
    <t>林孟寰</t>
  </si>
  <si>
    <t>無獨有偶親子偶劇選：快樂王子、最美麗的花、小潔的魔法時光蛋【有聲】</t>
  </si>
  <si>
    <t>EBK1020000415</t>
  </si>
  <si>
    <t>無獨有偶工作室劇團</t>
  </si>
  <si>
    <t>法蘭西第一女傑：羅蘭夫人傳</t>
  </si>
  <si>
    <t>9789865663100</t>
  </si>
  <si>
    <t>John S.C.Abbott</t>
  </si>
  <si>
    <t>784.28</t>
  </si>
  <si>
    <t>站在巨人肩上─寫給孩子的人生設計啟蒙書：體育、娛樂明星卷</t>
  </si>
  <si>
    <t>9789865663162</t>
  </si>
  <si>
    <t>劉東偉</t>
  </si>
  <si>
    <t>781</t>
  </si>
  <si>
    <t>看三十六計學創富：天生我才必有用，那麼，天生我才，也一定會必有財！</t>
  </si>
  <si>
    <t>9789869039192</t>
  </si>
  <si>
    <t>欲說還休</t>
  </si>
  <si>
    <t>行動決定命運：鍥而不捨和百折不撓貴在罕有的堅忍和耐心</t>
  </si>
  <si>
    <t>9789865638016</t>
  </si>
  <si>
    <t>山謬爾‧斯邁爾斯</t>
  </si>
  <si>
    <t>873</t>
  </si>
  <si>
    <t>吸引力法則：喚醒沈睡的超強潛能─成功其實只是一種潛在的能量，需要我們去喚醒與催發。</t>
  </si>
  <si>
    <t>9789869008969</t>
  </si>
  <si>
    <t>奧里森‧斯威特‧馬登</t>
  </si>
  <si>
    <t>吸引力法則：打造優秀的磁性特質─人生最大的任務，就是找到自我，實現自我，並將自我的能力發揮到最高境界</t>
  </si>
  <si>
    <t>9789869008990</t>
  </si>
  <si>
    <t>我想，因此我一定能做到！─認真去做一件事時，所有消極因素都瞬間消散了</t>
  </si>
  <si>
    <t>9789869039178</t>
  </si>
  <si>
    <t>做偉大的專注者：一個人倘若一生只追求一個目標，那就一定能夠在他壽終正寢之前而實現它</t>
  </si>
  <si>
    <t>9789869039185</t>
  </si>
  <si>
    <t>學會快樂：每天懂一點，快樂在身邊</t>
  </si>
  <si>
    <t>9789869093514</t>
  </si>
  <si>
    <t>發掘生命中的無限可能：沒有不可能、絕無做不到，機會永遠掌握在自己手中！</t>
  </si>
  <si>
    <t>9789869093538</t>
  </si>
  <si>
    <t>有一種心態叫放下（全新修訂版）</t>
  </si>
  <si>
    <t>9789865719296</t>
  </si>
  <si>
    <t>黃冠誠</t>
  </si>
  <si>
    <t>191</t>
  </si>
  <si>
    <t>超人氣輕食美味好料理：健康窈窕滿點</t>
  </si>
  <si>
    <t>9789862390535</t>
  </si>
  <si>
    <t>旺文社股份有限公司</t>
  </si>
  <si>
    <t>羅荷絲</t>
  </si>
  <si>
    <t>心臟科權威醫師傳授的自我保健秘方</t>
  </si>
  <si>
    <t>9789869066051</t>
  </si>
  <si>
    <t>楊興生、孫靜平、余卓文</t>
  </si>
  <si>
    <t>415.3</t>
  </si>
  <si>
    <t>帶著畫箱去旅行</t>
  </si>
  <si>
    <t>9789869066006</t>
  </si>
  <si>
    <t>洪東標</t>
  </si>
  <si>
    <t>752.9</t>
  </si>
  <si>
    <t>金門：魔力假期</t>
  </si>
  <si>
    <t>9789868877115</t>
  </si>
  <si>
    <t>瑞齊傳播有限公司</t>
  </si>
  <si>
    <t>金門縣政府</t>
  </si>
  <si>
    <t>673.19</t>
  </si>
  <si>
    <t>獵殺紀壯艦</t>
  </si>
  <si>
    <t>9789869106900</t>
  </si>
  <si>
    <t>蒼璧出版有限公司</t>
  </si>
  <si>
    <t>黃河</t>
  </si>
  <si>
    <t>吸引力法則：一個埋藏千年從上帝到不知來源的能量</t>
  </si>
  <si>
    <t>9789865936846</t>
  </si>
  <si>
    <t>威廉．沃克．阿特金森</t>
  </si>
  <si>
    <t>175</t>
  </si>
  <si>
    <t>心理定律：引爆人類智慧光芒的198個人性法則</t>
  </si>
  <si>
    <t>9789865936921</t>
  </si>
  <si>
    <t>林懷恪</t>
  </si>
  <si>
    <t>微妙的力量：大自然生命療癒法則</t>
  </si>
  <si>
    <t>9789865936938</t>
  </si>
  <si>
    <t>陳瑋</t>
  </si>
  <si>
    <t>418.99</t>
  </si>
  <si>
    <t>臺灣原住民音樂的後現代聆聽─媒體文化、詩學／政治學、文化意義</t>
  </si>
  <si>
    <t>9789860393491</t>
  </si>
  <si>
    <t>陳俊斌</t>
  </si>
  <si>
    <t>910</t>
  </si>
  <si>
    <t>劇場與道場，觀眾與信眾─臺灣戲劇與儀式論集</t>
  </si>
  <si>
    <t>9789860398953</t>
  </si>
  <si>
    <t>邱坤良</t>
  </si>
  <si>
    <t>白話皇帝內經（下〉靈樞篇</t>
  </si>
  <si>
    <t>9789866792649</t>
  </si>
  <si>
    <t>大堯出版</t>
  </si>
  <si>
    <t>馬烈光、張湖德、童宣文</t>
  </si>
  <si>
    <t>413.112</t>
  </si>
  <si>
    <t>李時珍教切脈</t>
  </si>
  <si>
    <t>9789866579424</t>
  </si>
  <si>
    <t>李時珍</t>
  </si>
  <si>
    <t>413.2441</t>
  </si>
  <si>
    <t>臺灣人應有的歷史觀</t>
  </si>
  <si>
    <t>9789861774947</t>
  </si>
  <si>
    <t>晨星出版社（旺文）</t>
  </si>
  <si>
    <t>陳水源</t>
  </si>
  <si>
    <t>733.207</t>
  </si>
  <si>
    <t>GPS之波浪量測應用研究〈1/4〉</t>
  </si>
  <si>
    <t>9789860236736</t>
  </si>
  <si>
    <t>交通部運輸研究所</t>
  </si>
  <si>
    <t>簡仲璟</t>
  </si>
  <si>
    <t>351</t>
  </si>
  <si>
    <t>交通道路及橋墩遭受土石流衝擊之對策研究〈3/4〉</t>
  </si>
  <si>
    <t>9789860236774</t>
  </si>
  <si>
    <t>陳景文、李維峰、賴瑞應等</t>
  </si>
  <si>
    <t>370</t>
  </si>
  <si>
    <t>442</t>
  </si>
  <si>
    <t>河道水位與橋墩沖刷推估模式之建立研究</t>
  </si>
  <si>
    <t>9789860312690</t>
  </si>
  <si>
    <t>邱永芳、謝明志、林雅雯等</t>
  </si>
  <si>
    <t>490</t>
  </si>
  <si>
    <t>441</t>
  </si>
  <si>
    <t>時貳廳：電影與檔案的初邂逅─探尋國家寶藏</t>
  </si>
  <si>
    <t>9789860257601</t>
  </si>
  <si>
    <t>檔案管理局</t>
  </si>
  <si>
    <t>馬有成</t>
  </si>
  <si>
    <t>987.933</t>
  </si>
  <si>
    <t>透水混凝土應用在港灣構造物設施與公路路面成效評估之研究〈1/2〉</t>
  </si>
  <si>
    <t>9789860237016</t>
  </si>
  <si>
    <t>張道光、李明君、顏聰等</t>
  </si>
  <si>
    <t>透水混凝土應用在港灣構造物設施與公路路面成效評估之研究〈2/2〉</t>
  </si>
  <si>
    <t>9789860273755</t>
  </si>
  <si>
    <t>港灣地層下陷監測之研究〈1/2〉</t>
  </si>
  <si>
    <t>9789860237368</t>
  </si>
  <si>
    <t>謝明志、陳志芳、羅建明等</t>
  </si>
  <si>
    <t>443</t>
  </si>
  <si>
    <t>港灣現地碼頭結構與土壤動態互制監測之研究〈2/2〉</t>
  </si>
  <si>
    <t>9789860274523</t>
  </si>
  <si>
    <t>謝明志、陳志芳、張文忠等</t>
  </si>
  <si>
    <t>臺灣沿岸海嘯影響範圍與淹水潛勢分析〈3/4〉</t>
  </si>
  <si>
    <t>9789860236781</t>
  </si>
  <si>
    <t>陳冠宇、陳陽益、邱永芳等</t>
  </si>
  <si>
    <t>背著書包的猴子：黃河科幻小說</t>
  </si>
  <si>
    <t>9789869122849</t>
  </si>
  <si>
    <t>857.83</t>
  </si>
  <si>
    <t>培養孩子6個生涯成功的禮物</t>
  </si>
  <si>
    <t>9789576938382</t>
  </si>
  <si>
    <t>張德聰</t>
  </si>
  <si>
    <t>黑手玩家： 手作與生活器物的美好交會</t>
  </si>
  <si>
    <t>9789576938443</t>
  </si>
  <si>
    <t>阿默〈文字〉‧赤牛仔〈手作〉</t>
  </si>
  <si>
    <t>999.9</t>
  </si>
  <si>
    <t>從聽故事開始療癒：創傷後的身心整合之旅</t>
  </si>
  <si>
    <t>9789576938481</t>
  </si>
  <si>
    <t>胡嘉琪</t>
  </si>
  <si>
    <t>國民韓語會話大全集【有聲】</t>
  </si>
  <si>
    <t>9789865753290</t>
  </si>
  <si>
    <t>日語關鍵字一把抓【有聲】</t>
  </si>
  <si>
    <t>9789865753313</t>
  </si>
  <si>
    <t>工作真煩傳：上班生存模式開啟中</t>
  </si>
  <si>
    <t>9789865808402</t>
  </si>
  <si>
    <t>趙恭左</t>
  </si>
  <si>
    <t>聽我靠腰：職場30件潛規則</t>
  </si>
  <si>
    <t>9789865808419</t>
  </si>
  <si>
    <t>毒菇九賤</t>
  </si>
  <si>
    <t>扭轉命運：改變人生，只要做對這32件事</t>
  </si>
  <si>
    <t>9789865808792</t>
  </si>
  <si>
    <t>簡勝文</t>
  </si>
  <si>
    <t>百鬼夜行：魅惑</t>
  </si>
  <si>
    <t>9789865808853</t>
  </si>
  <si>
    <t>超驚奇！世界奇人異事大搜密！</t>
  </si>
  <si>
    <t>9789865819552</t>
  </si>
  <si>
    <t>余沛星</t>
  </si>
  <si>
    <t>爸媽請用正確的態度打造孩子的未來</t>
  </si>
  <si>
    <t>9789865862442</t>
  </si>
  <si>
    <t>蔣佑儀</t>
  </si>
  <si>
    <t>誰的心中沒有荒唐事</t>
  </si>
  <si>
    <t>9789865886912</t>
  </si>
  <si>
    <t>章欣羽</t>
  </si>
  <si>
    <t>199.8</t>
  </si>
  <si>
    <t>IELTS雅思核心字彙大全</t>
  </si>
  <si>
    <t>9789867025982</t>
  </si>
  <si>
    <t>曾騰裕、Stephen Browning</t>
  </si>
  <si>
    <t>805.189</t>
  </si>
  <si>
    <t>TOEIC多益口說＆寫作大破解</t>
  </si>
  <si>
    <t>9789867025340</t>
  </si>
  <si>
    <t>805.1985</t>
  </si>
  <si>
    <t>TOEFL─iBT 高分托福120 高階字彙</t>
  </si>
  <si>
    <t>9789865694012</t>
  </si>
  <si>
    <t>Rick Crooks、林神龍</t>
  </si>
  <si>
    <t>805.1894</t>
  </si>
  <si>
    <t>TOEFL─iBT 高分托福120 基礎字彙</t>
  </si>
  <si>
    <t>9789865694029</t>
  </si>
  <si>
    <t>TOEFL─iBT高分托福閱讀120</t>
  </si>
  <si>
    <t>9789867025999</t>
  </si>
  <si>
    <t>Rick Crooks、江璞</t>
  </si>
  <si>
    <t>經典文法句型與寫作【1】</t>
  </si>
  <si>
    <t>9789865694005</t>
  </si>
  <si>
    <t>楊玉琦</t>
  </si>
  <si>
    <t>805.169</t>
  </si>
  <si>
    <t>請你將就著愛〈上〉</t>
  </si>
  <si>
    <t>EBK1020000598_1</t>
  </si>
  <si>
    <t>857</t>
  </si>
  <si>
    <t>請你將就著愛〈中〉</t>
  </si>
  <si>
    <t>EBK1020000598_2</t>
  </si>
  <si>
    <t>請你將就著愛〈下〉</t>
  </si>
  <si>
    <t>EBK1020000598_3</t>
  </si>
  <si>
    <t>江戶時代經學者傳略及其著作</t>
  </si>
  <si>
    <t>9789577398420</t>
  </si>
  <si>
    <t>張文朝</t>
  </si>
  <si>
    <t>783.12</t>
  </si>
  <si>
    <t>學術論文寫作指引：文科適用</t>
  </si>
  <si>
    <t>9789577396921</t>
  </si>
  <si>
    <t>林慶彰</t>
  </si>
  <si>
    <t>811.4</t>
  </si>
  <si>
    <t>書評寫作指引</t>
  </si>
  <si>
    <t>9789577398543</t>
  </si>
  <si>
    <t>林慶彰、何淑蘋</t>
  </si>
  <si>
    <t>812.02</t>
  </si>
  <si>
    <t>行旅‧地誌‧社會記憶： 王士性紀遊書寫探論</t>
  </si>
  <si>
    <t>9789577397201</t>
  </si>
  <si>
    <t>范宜如</t>
  </si>
  <si>
    <t>690</t>
  </si>
  <si>
    <t>戎馬不解鞍，鎧甲不離傍2‧養生、愛、戰爭的華語敘述</t>
  </si>
  <si>
    <t>9789577398468</t>
  </si>
  <si>
    <t>張娣明、徐承毅</t>
  </si>
  <si>
    <t>820.91023</t>
  </si>
  <si>
    <t>國文教材教法及閱讀指導</t>
  </si>
  <si>
    <t>9789577398611</t>
  </si>
  <si>
    <t>王慧茹</t>
  </si>
  <si>
    <t>524.31</t>
  </si>
  <si>
    <t>文學與生命的五重奏</t>
  </si>
  <si>
    <t>9789577398536</t>
  </si>
  <si>
    <t>閱讀書寫課程教材編寫團隊</t>
  </si>
  <si>
    <t>836</t>
  </si>
  <si>
    <t>老子道德經新譯暨心靈藥方</t>
  </si>
  <si>
    <t>9789577398567</t>
  </si>
  <si>
    <t>林安梧</t>
  </si>
  <si>
    <t>121.311</t>
  </si>
  <si>
    <t>友情小故事〈上〉</t>
  </si>
  <si>
    <t>EBK1020000617_1</t>
  </si>
  <si>
    <t>195.6</t>
  </si>
  <si>
    <t>友情小故事〈中〉</t>
  </si>
  <si>
    <t>EBK1020000617_2</t>
  </si>
  <si>
    <t>友情小故事〈下〉</t>
  </si>
  <si>
    <t>EBK1020000617_3</t>
  </si>
  <si>
    <t>7天狠甩9公斤！全美第一健身女王教你打造最高效率的燃脂環境</t>
  </si>
  <si>
    <t>9789866191640</t>
  </si>
  <si>
    <t>吉莉安‧麥可斯</t>
  </si>
  <si>
    <t>411.94</t>
  </si>
  <si>
    <t>26：當福爾摩莎變成「輻爾謀殺」</t>
  </si>
  <si>
    <t>9789866191572</t>
  </si>
  <si>
    <t>張啟疆</t>
  </si>
  <si>
    <t>全食物救命廚房‧每天三餐救命飲食</t>
  </si>
  <si>
    <t>9789866191589</t>
  </si>
  <si>
    <t>黎安‧坎貝爾</t>
  </si>
  <si>
    <t>癌症大震撼！德國名醫要救你的高治癒率全身療法</t>
  </si>
  <si>
    <t>9789866191527</t>
  </si>
  <si>
    <t>喬瑟夫‧以色斯</t>
  </si>
  <si>
    <t>417.8</t>
  </si>
  <si>
    <t>魔鬼的叢林</t>
  </si>
  <si>
    <t>9789866191688</t>
  </si>
  <si>
    <t>厄普頓‧辛克萊</t>
  </si>
  <si>
    <t>874.57</t>
  </si>
  <si>
    <t>羅守至的投資日誌</t>
  </si>
  <si>
    <t>9789574316724</t>
  </si>
  <si>
    <t>羅守至</t>
  </si>
  <si>
    <t>563.53</t>
  </si>
  <si>
    <t>Arduino光立體魔術方塊開發</t>
  </si>
  <si>
    <t>9789869035682</t>
  </si>
  <si>
    <t>曹永忠、許智誠、蔡英德</t>
  </si>
  <si>
    <t>471.516</t>
  </si>
  <si>
    <t>Arduino旋轉字幕機開發</t>
  </si>
  <si>
    <t>9789869035699</t>
  </si>
  <si>
    <t>Arduino飲水機電子控制器開發</t>
  </si>
  <si>
    <t>9789869098403</t>
  </si>
  <si>
    <t>Arduino貓咪餵食碗控制器開發</t>
  </si>
  <si>
    <t>9789869098410</t>
  </si>
  <si>
    <t>Arduino拉霸遊戲機開發</t>
  </si>
  <si>
    <t>9789869098427</t>
  </si>
  <si>
    <t>一個人爽遊：東港‧小琉球</t>
  </si>
  <si>
    <t>9789860426731</t>
  </si>
  <si>
    <t>屏東縣政府（新自然）</t>
  </si>
  <si>
    <t>洪浩唐</t>
  </si>
  <si>
    <t>沒本錢，照樣創業賺大錢 ：「零成本」創業致富的七堂課</t>
  </si>
  <si>
    <t>9789865899219</t>
  </si>
  <si>
    <t>狄驤</t>
  </si>
  <si>
    <t>496.5</t>
  </si>
  <si>
    <t>其實，鈔票不是錢，不景氣也不是壞事：猶太富翁不同於一般人的 26 個致富思惟</t>
  </si>
  <si>
    <t>9789865899110</t>
  </si>
  <si>
    <t>毒家陷阱：那些你以為對的，卻毒死你的錯誤生活方式</t>
  </si>
  <si>
    <t>9789574706150</t>
  </si>
  <si>
    <t>人本自然文化事業有限公司</t>
  </si>
  <si>
    <t>人本自然編輯部</t>
  </si>
  <si>
    <t>塔木德─猶太人的致富聖經﹝修訂版﹞：1000多年來帶領猶太人快速累積財富的神祕經典</t>
  </si>
  <si>
    <t>9789865899332</t>
  </si>
  <si>
    <t>佛蘭克．赫爾</t>
  </si>
  <si>
    <t>雍正教會我的36則亂世成功術：職場中「低調提升自己」，同時「高調讓他人失控」的沉默攻略</t>
  </si>
  <si>
    <t>9789865899202</t>
  </si>
  <si>
    <t>羅毅</t>
  </si>
  <si>
    <t>漢方養瘦，一輩子都瘦用：中醫師教你不動刀，也可以讓腰、臀、腿一次瘦下來</t>
  </si>
  <si>
    <t>9789868730755</t>
  </si>
  <si>
    <t>松果体</t>
  </si>
  <si>
    <t>楊靜浦</t>
  </si>
  <si>
    <t>創造財富靠自己：摩根家族32堂財富公開課</t>
  </si>
  <si>
    <t>9789863531227</t>
  </si>
  <si>
    <t>徐世明</t>
  </si>
  <si>
    <t>且歌且行：讓靈魂跟上腳步</t>
  </si>
  <si>
    <t>9789865670160</t>
  </si>
  <si>
    <t>老范行軍</t>
  </si>
  <si>
    <t>交換愛人的肋骨</t>
  </si>
  <si>
    <t>9789868867222</t>
  </si>
  <si>
    <t>逗點文創結社</t>
  </si>
  <si>
    <t>吳俞萱</t>
  </si>
  <si>
    <t>附近有人笑了</t>
  </si>
  <si>
    <t>9789869035842</t>
  </si>
  <si>
    <t>黃柏軒</t>
  </si>
  <si>
    <t>最快樂的一天</t>
  </si>
  <si>
    <t>9789869035828</t>
  </si>
  <si>
    <t>鄭哲涵</t>
  </si>
  <si>
    <t>玻璃</t>
  </si>
  <si>
    <t>9789869035859</t>
  </si>
  <si>
    <t>鄭聿</t>
  </si>
  <si>
    <t>隨地腐朽：小影迷的99封情書</t>
  </si>
  <si>
    <t>9789869035873</t>
  </si>
  <si>
    <t>987.013</t>
  </si>
  <si>
    <t>牧羊少年的世界地圖</t>
  </si>
  <si>
    <t>9789881301635</t>
  </si>
  <si>
    <t>Cup Magazine Publishing Limited</t>
  </si>
  <si>
    <t>牧羊少年咖啡‧茶‧酒館</t>
  </si>
  <si>
    <t>JUST THE ONE會展英語：一本在手MICE English so Easy~</t>
  </si>
  <si>
    <t>9789869075978</t>
  </si>
  <si>
    <t>力得文化</t>
  </si>
  <si>
    <t>陳志逵</t>
  </si>
  <si>
    <t>職場菜鳥的英文升職筆記 : 那一些老鳥不會說的秘密</t>
  </si>
  <si>
    <t>9789869075985</t>
  </si>
  <si>
    <t>力得文化編輯群</t>
  </si>
  <si>
    <t>快樂王子及其他故事集</t>
  </si>
  <si>
    <t>9789865671228</t>
  </si>
  <si>
    <t>王爾德Oscar Wilde</t>
  </si>
  <si>
    <t>873.59</t>
  </si>
  <si>
    <t>哲學大師寫給每個人的政治思考課</t>
  </si>
  <si>
    <t>9789865671273</t>
  </si>
  <si>
    <t>費南多‧薩巴特〈Fernando Savater〉</t>
  </si>
  <si>
    <t>570</t>
  </si>
  <si>
    <t>不是孩子不優秀，是父母管太多！：不追求完美，是最好的教養技巧！</t>
  </si>
  <si>
    <t>9789869137911</t>
  </si>
  <si>
    <t>胡玲美</t>
  </si>
  <si>
    <t>不動產經紀人歷屆考題解析</t>
  </si>
  <si>
    <t>9789578418547_v4</t>
  </si>
  <si>
    <t>554.89022</t>
  </si>
  <si>
    <t>不動產估價學</t>
  </si>
  <si>
    <t>9789578418622_v2</t>
  </si>
  <si>
    <t>554.89</t>
  </si>
  <si>
    <t>不動產投資‧不動產經濟學考古題解析</t>
  </si>
  <si>
    <t>EBK1020000640</t>
  </si>
  <si>
    <t>游適銘、陳柏廷</t>
  </si>
  <si>
    <t>金融投資技術關鍵密碼</t>
  </si>
  <si>
    <t>9789868701557</t>
  </si>
  <si>
    <t>金大鼎</t>
  </si>
  <si>
    <t>黃賢明</t>
  </si>
  <si>
    <t>逆風擺渡</t>
  </si>
  <si>
    <t>9789861441351</t>
  </si>
  <si>
    <t>龍影</t>
  </si>
  <si>
    <t>允軒習拳札記</t>
  </si>
  <si>
    <t>9789869133807</t>
  </si>
  <si>
    <t>允軒陳氏太極拳研究會</t>
  </si>
  <si>
    <t>洪允和、允軒教練群</t>
  </si>
  <si>
    <t>衣缽</t>
  </si>
  <si>
    <t>4712771028720</t>
  </si>
  <si>
    <t>鄭愁予</t>
  </si>
  <si>
    <t>超聰明制服術：「巧妙反制」工作上7種絆腳石人物，打造不對立、有效率的工作環境</t>
  </si>
  <si>
    <t>9789869137928</t>
  </si>
  <si>
    <t>陳珺安</t>
  </si>
  <si>
    <t>房市泡沫來了！我該逃命，還是逢低搶進？：大崩盤時代買屋租屋的險中求勝術</t>
  </si>
  <si>
    <t>9789865671327</t>
  </si>
  <si>
    <t>Dolin66</t>
  </si>
  <si>
    <t>紙的文化產業與體驗加值：以紙寮窩、廣興紙寮、樹火紙文化基金會為例</t>
  </si>
  <si>
    <t>9789577485915</t>
  </si>
  <si>
    <t>吳嘉陵</t>
  </si>
  <si>
    <t>476.933</t>
  </si>
  <si>
    <t>高雄慢活學</t>
  </si>
  <si>
    <t>9789577485533</t>
  </si>
  <si>
    <t>丁文祺</t>
  </si>
  <si>
    <t>525.33</t>
  </si>
  <si>
    <t>女人的美，從養好卵巢開始</t>
  </si>
  <si>
    <t>9789869066099</t>
  </si>
  <si>
    <t>陳瑞</t>
  </si>
  <si>
    <t>417.25</t>
  </si>
  <si>
    <t>健康，從養胃開始</t>
  </si>
  <si>
    <t>9789869066082</t>
  </si>
  <si>
    <t>劉安祥</t>
  </si>
  <si>
    <t>415.52</t>
  </si>
  <si>
    <t>愛情的道理</t>
  </si>
  <si>
    <t>9789869066075</t>
  </si>
  <si>
    <t>基里爾．瓦西列夫</t>
  </si>
  <si>
    <t>藝域開花</t>
  </si>
  <si>
    <t>9789576723865</t>
  </si>
  <si>
    <t>藝術圖書有限公司</t>
  </si>
  <si>
    <t>何恭上</t>
  </si>
  <si>
    <t>907</t>
  </si>
  <si>
    <t>在不考慮後果下，愛情是殘忍的</t>
  </si>
  <si>
    <t>9789864110001</t>
  </si>
  <si>
    <t>俞詠皓</t>
  </si>
  <si>
    <t>心態對了，成功就不遠了！</t>
  </si>
  <si>
    <t>9789865753344</t>
  </si>
  <si>
    <t>潘沅禾</t>
  </si>
  <si>
    <t>把腦袋換掉：培養全新創意思考能力</t>
  </si>
  <si>
    <t>9789865753375</t>
  </si>
  <si>
    <t>176.4</t>
  </si>
  <si>
    <t>像天才一樣思考：100位天才的思考習慣</t>
  </si>
  <si>
    <t>9789865808877</t>
  </si>
  <si>
    <t>瓊斯</t>
  </si>
  <si>
    <t>一切從管理開始：頂尖管理大師的成功祕密</t>
  </si>
  <si>
    <t>9789865808891</t>
  </si>
  <si>
    <t>蕭政道</t>
  </si>
  <si>
    <t>這些都是那些老闆不外傳的藏私祕密</t>
  </si>
  <si>
    <t>9789865808907</t>
  </si>
  <si>
    <t>現代孫子兵法：三十六計懶人包</t>
  </si>
  <si>
    <t>9789865808914</t>
  </si>
  <si>
    <t>隱形吸引力：即學即用的人際交往術</t>
  </si>
  <si>
    <t>9789865808921</t>
  </si>
  <si>
    <t>金仁川</t>
  </si>
  <si>
    <t>到星星島去做客：奇幻的天文故事</t>
  </si>
  <si>
    <t>9789865819668</t>
  </si>
  <si>
    <t>王捷安</t>
  </si>
  <si>
    <t>奇思妙想：培養孩子創造能力的150個思考遊戲</t>
  </si>
  <si>
    <t>9789865819675</t>
  </si>
  <si>
    <t>喬伊</t>
  </si>
  <si>
    <t>數學FUN肆玩：用故事玩懂數學</t>
  </si>
  <si>
    <t>9789865819712</t>
  </si>
  <si>
    <t>陳韋哲</t>
  </si>
  <si>
    <t>生物有意思：原來指甲是死掉的細胞</t>
  </si>
  <si>
    <t>9789865862473</t>
  </si>
  <si>
    <t>程杰誼</t>
  </si>
  <si>
    <t>生活簡簡單單，幸福平平淡淡</t>
  </si>
  <si>
    <t>9789865862480</t>
  </si>
  <si>
    <t>葉儀真</t>
  </si>
  <si>
    <t>適度捨棄，做生活中的智者</t>
  </si>
  <si>
    <t>9789865862510</t>
  </si>
  <si>
    <t>王佳茹</t>
  </si>
  <si>
    <t>心境，心靜</t>
  </si>
  <si>
    <t>9789865886950</t>
  </si>
  <si>
    <t>鄭巧雲</t>
  </si>
  <si>
    <t>青春難為 ： 負傷翱翔的每一天</t>
  </si>
  <si>
    <t>9789865886967</t>
  </si>
  <si>
    <t>夏嵐</t>
  </si>
  <si>
    <t>貴人不一定是好人</t>
  </si>
  <si>
    <t>9789865886974</t>
  </si>
  <si>
    <t>何彥慶</t>
  </si>
  <si>
    <t>幸福提案：笑談人生</t>
  </si>
  <si>
    <t>9789865886998</t>
  </si>
  <si>
    <t>羅奕軒</t>
  </si>
  <si>
    <t>國貿英語溝通術</t>
  </si>
  <si>
    <t>9789869145817</t>
  </si>
  <si>
    <t>劉美慧</t>
  </si>
  <si>
    <t>493.6</t>
  </si>
  <si>
    <t>一生的資本</t>
  </si>
  <si>
    <t>9789868858992</t>
  </si>
  <si>
    <t>奧里森‧馬登</t>
  </si>
  <si>
    <t>上班這檔事： 辦公室裡不可不知的社交通關密碼</t>
  </si>
  <si>
    <t>9789869055031</t>
  </si>
  <si>
    <t>李開雲</t>
  </si>
  <si>
    <t>411.75</t>
  </si>
  <si>
    <t>在人生轉角處找回自己</t>
  </si>
  <si>
    <t>9789869055048</t>
  </si>
  <si>
    <t>王愉</t>
  </si>
  <si>
    <t>411.15</t>
  </si>
  <si>
    <t>厚黑始祖鬼谷子： 教你成為搶手貨</t>
  </si>
  <si>
    <t>9789869055055</t>
  </si>
  <si>
    <t>張兵</t>
  </si>
  <si>
    <t>混社會：老祖宗用經驗寫下的忠告</t>
  </si>
  <si>
    <t>9789869055062</t>
  </si>
  <si>
    <t>點亮心中的光：別讓愛害了你和你的親人</t>
  </si>
  <si>
    <t>9789869055086</t>
  </si>
  <si>
    <t>東榮</t>
  </si>
  <si>
    <t>翻轉吧！命運：從心選擇，改變未來</t>
  </si>
  <si>
    <t>9789869055079</t>
  </si>
  <si>
    <t>職場求生術：學點厚黑好辦事</t>
  </si>
  <si>
    <t>9789869055024</t>
  </si>
  <si>
    <t>教師甄試數學歷年試題解析〈三〉103年度</t>
  </si>
  <si>
    <t>9789863741855</t>
  </si>
  <si>
    <t>歐昌豪</t>
  </si>
  <si>
    <t>310.22</t>
  </si>
  <si>
    <t>觀光資源概要〈包括世界史地、觀光資源維護〉</t>
  </si>
  <si>
    <t>9789863159902</t>
  </si>
  <si>
    <t>領隊導遊英文〈包含閱讀文選及一般選擇題〉</t>
  </si>
  <si>
    <t>9789863159186</t>
  </si>
  <si>
    <t>千華編委會</t>
  </si>
  <si>
    <t>850.189</t>
  </si>
  <si>
    <t>土耳其轉口商機探索</t>
  </si>
  <si>
    <t>9789574953165</t>
  </si>
  <si>
    <t>中華民國對外貿易發展協會</t>
  </si>
  <si>
    <t>華紹強</t>
  </si>
  <si>
    <t>558.5351</t>
  </si>
  <si>
    <t>美國消費市場新商機：美國零售通路全球採購新動向</t>
  </si>
  <si>
    <t>9789574953196</t>
  </si>
  <si>
    <t>陳雅琴</t>
  </si>
  <si>
    <t>496.554</t>
  </si>
  <si>
    <t>前進穆斯林市場</t>
  </si>
  <si>
    <t>9789574953264</t>
  </si>
  <si>
    <t>徐榮川</t>
  </si>
  <si>
    <t>496.3</t>
  </si>
  <si>
    <t>丟丟銅仔認識臺灣的隧道</t>
  </si>
  <si>
    <t>9789868487888</t>
  </si>
  <si>
    <t>財團法人三聯科技教育基金會</t>
  </si>
  <si>
    <t>李宏徹</t>
  </si>
  <si>
    <t>441.90933</t>
  </si>
  <si>
    <t>珍惜每次的相遇：人生三部曲</t>
  </si>
  <si>
    <t>9789869157209</t>
  </si>
  <si>
    <t>任曉涵</t>
  </si>
  <si>
    <t>遨遊美國法III：美國法制的實務與運作</t>
  </si>
  <si>
    <t>9789860438765</t>
  </si>
  <si>
    <t>楊崇森</t>
  </si>
  <si>
    <t>580.952</t>
  </si>
  <si>
    <t>我的iPad簡報超厲害！</t>
  </si>
  <si>
    <t>9789862014561</t>
  </si>
  <si>
    <t>小雲</t>
  </si>
  <si>
    <t>312.116</t>
  </si>
  <si>
    <t>網頁設計應用集：用Photoshop┼Flash┼Dreamweaver製作令人激賞的專業網站</t>
  </si>
  <si>
    <t>9789862016633</t>
  </si>
  <si>
    <t>陳芸麗</t>
  </si>
  <si>
    <t>312.1695</t>
  </si>
  <si>
    <t>Visual Basic 2012網路程式設計：線上遊戲實作</t>
  </si>
  <si>
    <t>9789862017302</t>
  </si>
  <si>
    <t>張逸中</t>
  </si>
  <si>
    <t>312.8</t>
  </si>
  <si>
    <t>Android應用程式開發與設計實務</t>
  </si>
  <si>
    <t>9789862017623</t>
  </si>
  <si>
    <t>彭亦暄、陳彥文</t>
  </si>
  <si>
    <t>312.52</t>
  </si>
  <si>
    <t>PHP┼MySQL網站系統開發講座〈第二版〉</t>
  </si>
  <si>
    <t>9789862018101</t>
  </si>
  <si>
    <t>陳朝鈞、蔡憲維、辛曼榕、林芝吟、蔡燕如</t>
  </si>
  <si>
    <t>312.754</t>
  </si>
  <si>
    <t>Google雲端工作術：提升工作效能的160個實用技巧</t>
  </si>
  <si>
    <t>9789862018217</t>
  </si>
  <si>
    <t>312.1653</t>
  </si>
  <si>
    <t>雲端網頁程式設計─Google App Engine應用實作〈第二版〉</t>
  </si>
  <si>
    <t>9789862018248</t>
  </si>
  <si>
    <t>湯秉翰</t>
  </si>
  <si>
    <t>Dreamweaver CC網頁設計誌：這樣學就會的14個互動表單 字體美化 CSS樣式 HTML編輯關鍵技巧</t>
  </si>
  <si>
    <t>9789862018569</t>
  </si>
  <si>
    <t>鄭苑鳳</t>
  </si>
  <si>
    <t>Visual C# 2013程式設計實例演練與系統開發</t>
  </si>
  <si>
    <t>9789862018606</t>
  </si>
  <si>
    <t>許清榮</t>
  </si>
  <si>
    <t>312.32</t>
  </si>
  <si>
    <t>iWork 活用萬事通：Keynote、Pags、Numbers一本學會！</t>
  </si>
  <si>
    <t>9789862018613</t>
  </si>
  <si>
    <t>蘋果梗</t>
  </si>
  <si>
    <t>312.49</t>
  </si>
  <si>
    <t>Visual Basic 2013程式設計實例演練與系統開發</t>
  </si>
  <si>
    <t>9789862018910</t>
  </si>
  <si>
    <t>許清榮、吳宜隆</t>
  </si>
  <si>
    <t>Photoshop CC影像設計誌：這樣用就會的14個修圖合成X人物去背X濾鏡特效X3D列印關鍵技巧</t>
  </si>
  <si>
    <t>9789862018927</t>
  </si>
  <si>
    <t>312.837</t>
  </si>
  <si>
    <t>超實用！人資‧行政‧總務的辦公室EXCEL必備50招省時技</t>
  </si>
  <si>
    <t>9789862019221</t>
  </si>
  <si>
    <t>張雯燕</t>
  </si>
  <si>
    <t>AppCross電子書速習手冊：不用學程式碼，7天學會最實用的InDesign電子書設計</t>
  </si>
  <si>
    <t>9789862019269</t>
  </si>
  <si>
    <t>陳吉清、簡陳中、劉柏甫</t>
  </si>
  <si>
    <t>477.029</t>
  </si>
  <si>
    <t>用Unity玩出一個遊戲</t>
  </si>
  <si>
    <t>9789862019313</t>
  </si>
  <si>
    <t>張嘉慶</t>
  </si>
  <si>
    <t>進擊的Joomla 3.3：讓你輕鬆成為架站達人</t>
  </si>
  <si>
    <t>9789862019535</t>
  </si>
  <si>
    <t>林季嫻</t>
  </si>
  <si>
    <t>正確學會App Inventor2的16 堂課</t>
  </si>
  <si>
    <t>9789862019566</t>
  </si>
  <si>
    <t>白乃遠、曾奕霖</t>
  </si>
  <si>
    <t>448.845</t>
  </si>
  <si>
    <t>Illustrator隨手畫‧隨便繪：以拉控一講你就會的神速絕殺技x絕對學得會的實例操作</t>
  </si>
  <si>
    <t>9789862019665</t>
  </si>
  <si>
    <t>艾凡斯x蔡國策</t>
  </si>
  <si>
    <t>312.49138</t>
  </si>
  <si>
    <t>Office 2013雲端職場達人技：OneNote 位筆記、Word圖文編排、Excel分析應用、PowerPoint專業簡報、Outlook人脈管理</t>
  </si>
  <si>
    <t>9789862019672</t>
  </si>
  <si>
    <t>林育君、林宏澤、楊玉文等</t>
  </si>
  <si>
    <t>312.4904</t>
  </si>
  <si>
    <t>超實用！會計‧ 生管‧ 財務的辦公室EXCEL必備50招省時技</t>
  </si>
  <si>
    <t>9789862019696</t>
  </si>
  <si>
    <t>成為一流的前端工程師：打造專業的UX 網站</t>
  </si>
  <si>
    <t>9789862019719</t>
  </si>
  <si>
    <t>彭其捷</t>
  </si>
  <si>
    <t>資料庫管理理論與實務：Access 2013</t>
  </si>
  <si>
    <t>9789862019764</t>
  </si>
  <si>
    <t>李淑馨</t>
  </si>
  <si>
    <t>絕對無料：MIS網管達人的工具箱</t>
  </si>
  <si>
    <t>9789862019795</t>
  </si>
  <si>
    <t>312.16</t>
  </si>
  <si>
    <t>數位多媒體概論〈第二版〉</t>
  </si>
  <si>
    <t>9789862019887</t>
  </si>
  <si>
    <t>鄭苑鳳、吳燦銘</t>
  </si>
  <si>
    <t>那些讓我回不去的雲端好工具：Google┼Evernote┼Dropbox的雲端工作術</t>
  </si>
  <si>
    <t>9789862100752</t>
  </si>
  <si>
    <t>小資背包客遊法國：33天21城市248個推薦景點徹底玩透</t>
  </si>
  <si>
    <t>9789862100998</t>
  </si>
  <si>
    <t>甄妮&amp; 小飯糰</t>
  </si>
  <si>
    <t>742.89</t>
  </si>
  <si>
    <t>不想生病就搞定自律神經</t>
  </si>
  <si>
    <t>9789866191657</t>
  </si>
  <si>
    <t>郭育祥</t>
  </si>
  <si>
    <t>415.943</t>
  </si>
  <si>
    <t>永遠的小說之王</t>
  </si>
  <si>
    <t>9789866191541</t>
  </si>
  <si>
    <t>普列姆昌德</t>
  </si>
  <si>
    <t>魯蛇之春：學運青年戰鬥手冊</t>
  </si>
  <si>
    <t>9789869090407</t>
  </si>
  <si>
    <t>公共冊所</t>
  </si>
  <si>
    <t>墨者工作室</t>
  </si>
  <si>
    <t>541.45</t>
  </si>
  <si>
    <t>壓不扁的玫瑰：一位母親的三一八運動事件簿</t>
  </si>
  <si>
    <t>9789869090414</t>
  </si>
  <si>
    <t>楊翠</t>
  </si>
  <si>
    <t>無效的美援：戰時中國經濟危機與中美應對之策</t>
  </si>
  <si>
    <t>9789869122870</t>
  </si>
  <si>
    <t>楊雨青</t>
  </si>
  <si>
    <t>552.2</t>
  </si>
  <si>
    <t>新編第一軍：國軍王牌部隊</t>
  </si>
  <si>
    <t>9789868986770</t>
  </si>
  <si>
    <t>抗日鐵軍第74軍：國軍王牌部隊</t>
  </si>
  <si>
    <t>9789868986787</t>
  </si>
  <si>
    <t>余吉、知兵堂編輯部</t>
  </si>
  <si>
    <t>衡陽保衛戰：血戰四十七天</t>
  </si>
  <si>
    <t>9789868986749</t>
  </si>
  <si>
    <t>蕭培</t>
  </si>
  <si>
    <t>628.58</t>
  </si>
  <si>
    <t>民國政治謀殺</t>
  </si>
  <si>
    <t>9789869041652</t>
  </si>
  <si>
    <t>康狄</t>
  </si>
  <si>
    <t>590.933</t>
  </si>
  <si>
    <t>飛虎，黑蝙蝠及黑貓</t>
  </si>
  <si>
    <t>9789869041676</t>
  </si>
  <si>
    <t>592.919</t>
  </si>
  <si>
    <t>杜立德B─25轟炸東京的故事</t>
  </si>
  <si>
    <t>9789869041690</t>
  </si>
  <si>
    <t>英文作文入門實用手冊</t>
  </si>
  <si>
    <t>9789867858566</t>
  </si>
  <si>
    <t>805.17</t>
  </si>
  <si>
    <t>幸福好味道【有聲】</t>
  </si>
  <si>
    <t>4712070147610</t>
  </si>
  <si>
    <t>空中美語文教事業股份有限公司</t>
  </si>
  <si>
    <t>空中美語叢書編輯群</t>
  </si>
  <si>
    <t>Reading Highlights3【有聲】</t>
  </si>
  <si>
    <t>9789865965075</t>
  </si>
  <si>
    <t>Basic Reader Close Master英文克漏字總動員</t>
  </si>
  <si>
    <t>9789572825075</t>
  </si>
  <si>
    <t>524.38</t>
  </si>
  <si>
    <t>Basic Writing Skills基礎寫作</t>
  </si>
  <si>
    <t>9572825044</t>
  </si>
  <si>
    <t>楊子青</t>
  </si>
  <si>
    <t>524.383</t>
  </si>
  <si>
    <t>戲發</t>
  </si>
  <si>
    <t>9789881638267</t>
  </si>
  <si>
    <t>袁震揮</t>
  </si>
  <si>
    <t>544</t>
  </si>
  <si>
    <t>八十後的生存與生活</t>
  </si>
  <si>
    <t>9789881934260</t>
  </si>
  <si>
    <t>健吾、周志煌</t>
  </si>
  <si>
    <t>八十後的生存與生活2：亞洲版Deluxe</t>
  </si>
  <si>
    <t>9789881524171</t>
  </si>
  <si>
    <t>健吾</t>
  </si>
  <si>
    <t>八十後的生存與生活3</t>
  </si>
  <si>
    <t>9789881638182</t>
  </si>
  <si>
    <t>感情缺失，香港情緒學</t>
  </si>
  <si>
    <t>9789881524133</t>
  </si>
  <si>
    <t>邵家臻</t>
  </si>
  <si>
    <t>848</t>
  </si>
  <si>
    <t>單車遊牧</t>
  </si>
  <si>
    <t>9789881638298</t>
  </si>
  <si>
    <t>李明熙</t>
  </si>
  <si>
    <t>品牌學一天課</t>
  </si>
  <si>
    <t>9789881524010</t>
  </si>
  <si>
    <t>熊子弦</t>
  </si>
  <si>
    <t>553</t>
  </si>
  <si>
    <t>愛的地下教育</t>
  </si>
  <si>
    <t>9789881934123</t>
  </si>
  <si>
    <t>彭浩翔</t>
  </si>
  <si>
    <t>想偷牽你的手</t>
  </si>
  <si>
    <t>9789868972810</t>
  </si>
  <si>
    <t>隱形性產業：英國移民性工作者</t>
  </si>
  <si>
    <t>9789869071079</t>
  </si>
  <si>
    <t>白曉紅</t>
  </si>
  <si>
    <t>544.767</t>
  </si>
  <si>
    <t>身在輻中要知輻</t>
  </si>
  <si>
    <t>9789860286465</t>
  </si>
  <si>
    <t>行政院原子能委員會</t>
  </si>
  <si>
    <t>葉宗洸</t>
  </si>
  <si>
    <t>449</t>
  </si>
  <si>
    <t>書的傳人III：二十一世紀初期澳門圖書館事業論集</t>
  </si>
  <si>
    <t>9789865792879</t>
  </si>
  <si>
    <t>王國強</t>
  </si>
  <si>
    <t>020.9239</t>
  </si>
  <si>
    <t>蔣經國與後蔣時代的內閣政治菁英〈1972─1933年〉</t>
  </si>
  <si>
    <t>9789575749453</t>
  </si>
  <si>
    <t>李功勤</t>
  </si>
  <si>
    <t>733.294</t>
  </si>
  <si>
    <t>吃飽睡好，當然瘦得了！</t>
  </si>
  <si>
    <t>9789576967443</t>
  </si>
  <si>
    <t>別讓噪音謀殺你的聽力：第一本台灣人的耳朵健康保護書</t>
  </si>
  <si>
    <t>9789576967641</t>
  </si>
  <si>
    <t>余仁方</t>
  </si>
  <si>
    <t>416.812</t>
  </si>
  <si>
    <t>健檢做完，然後呢？從自然醫學觀點，拆解數字真相，掌握對症處方，找回健康！</t>
  </si>
  <si>
    <t>9789576967870</t>
  </si>
  <si>
    <t>陳俊旭</t>
  </si>
  <si>
    <t>412.51</t>
  </si>
  <si>
    <t>健康食品保健事典</t>
  </si>
  <si>
    <t>9789865744922</t>
  </si>
  <si>
    <t>人類智庫數位科技股份有限公司</t>
  </si>
  <si>
    <t>陳彥甫</t>
  </si>
  <si>
    <t>411.373</t>
  </si>
  <si>
    <t>做菜小竅門</t>
  </si>
  <si>
    <t>9789863730569</t>
  </si>
  <si>
    <t>康鑑文化編輯部</t>
  </si>
  <si>
    <t>雞肉料理好滋味Delicious Chicken Recipes</t>
  </si>
  <si>
    <t>9789865744625</t>
  </si>
  <si>
    <t>黃乃芸</t>
  </si>
  <si>
    <t>427.221</t>
  </si>
  <si>
    <t>電鍋燉補養生湯</t>
  </si>
  <si>
    <t>9789863730255</t>
  </si>
  <si>
    <t>李婉萍</t>
  </si>
  <si>
    <t>烤箱料理真好吃Appetizing Oven Dishes</t>
  </si>
  <si>
    <t>9789863730439</t>
  </si>
  <si>
    <t>楊珮珊、高毓茹</t>
  </si>
  <si>
    <t>懶人料理讓妳瘦：電鍋瘦身湯</t>
  </si>
  <si>
    <t>9789863730682</t>
  </si>
  <si>
    <t>武醫徒手療法</t>
  </si>
  <si>
    <t>9789865744083</t>
  </si>
  <si>
    <t>張振澤、洪肇欽</t>
  </si>
  <si>
    <t>418.931</t>
  </si>
  <si>
    <t>降血壓食物排行榜</t>
  </si>
  <si>
    <t>9789863730422</t>
  </si>
  <si>
    <t>早餐蔬果汁晚餐蔬菜湯</t>
  </si>
  <si>
    <t>9789863730231</t>
  </si>
  <si>
    <t>415.915</t>
  </si>
  <si>
    <t>地味</t>
  </si>
  <si>
    <t>4712771028744</t>
  </si>
  <si>
    <t>顏艾琳</t>
  </si>
  <si>
    <t>顏艾琳30年自選詩集</t>
  </si>
  <si>
    <t>4712771028737</t>
  </si>
  <si>
    <t>English for Life＆Work BOOK1【有聲】</t>
  </si>
  <si>
    <t>9789866990663</t>
  </si>
  <si>
    <t>David Vickers、Michael Vergara</t>
  </si>
  <si>
    <t>English for Life＆Work BOOK2【有聲】</t>
  </si>
  <si>
    <t>9789866990694</t>
  </si>
  <si>
    <t>English for Life＆Work BOOK3【有聲】</t>
  </si>
  <si>
    <t>9789866990717</t>
  </si>
  <si>
    <t>David Vickers、Michael Vergara、Kirsty Webeck、Joseph Culpepper</t>
  </si>
  <si>
    <t>English for Life＆Work BOOK4【有聲】</t>
  </si>
  <si>
    <t>9789866990885</t>
  </si>
  <si>
    <t>Ryan Campbell、Michael Vergara、Yi Chen、Amy Gittelson</t>
  </si>
  <si>
    <t>Listen in＆Speak out LEVEL1【有聲】</t>
  </si>
  <si>
    <t>9789866990519</t>
  </si>
  <si>
    <t>Andrew Crosthwaite、 David Vickers、 Anita Wong</t>
  </si>
  <si>
    <t>Listen in＆Speak out LEVEL2【有聲】</t>
  </si>
  <si>
    <t>9789866990380</t>
  </si>
  <si>
    <t>Andrew Crosthwaite、David Vickers、Anita Wong</t>
  </si>
  <si>
    <t>Listen in＆Speak out LEVEL3【有聲】</t>
  </si>
  <si>
    <t>9789866990571</t>
  </si>
  <si>
    <t>Andrew Crosthwaite、David Vickers、Barry Hall</t>
  </si>
  <si>
    <t>Starter【有聲】</t>
  </si>
  <si>
    <t>9789866990564</t>
  </si>
  <si>
    <t>Andrew Crosthwaite、David Vickers</t>
  </si>
  <si>
    <t>Vocabulary＆Reading 3【有聲】</t>
  </si>
  <si>
    <t>9789866990960</t>
  </si>
  <si>
    <t>Ryan Campbell、Yi Chen、Guy Redmer、Michael Vergara</t>
  </si>
  <si>
    <t>我是612─我當包租公：包租公律師蔡志雄教你一千萬退休投資術</t>
  </si>
  <si>
    <t>9789868810280</t>
  </si>
  <si>
    <t>智庫雲端有限公司</t>
  </si>
  <si>
    <t>蔡志雄</t>
  </si>
  <si>
    <t>別讓癌症醫療殺死你！</t>
  </si>
  <si>
    <t>9789866191749</t>
  </si>
  <si>
    <t>陳立川</t>
  </si>
  <si>
    <t>靈驗！我在人間看見拜拜背後的秘密</t>
  </si>
  <si>
    <t>9789866191732</t>
  </si>
  <si>
    <t>宇色〈李振瑋〉</t>
  </si>
  <si>
    <t>272.92</t>
  </si>
  <si>
    <t>時序在遠方</t>
  </si>
  <si>
    <t>9789865813123</t>
  </si>
  <si>
    <t>林餘佐</t>
  </si>
  <si>
    <t>邁向成功的策略：企業致勝策略實務指引</t>
  </si>
  <si>
    <t>9789862954348</t>
  </si>
  <si>
    <t>新學林出版股份有限公司</t>
  </si>
  <si>
    <t>王伊格</t>
  </si>
  <si>
    <t>幽靈</t>
  </si>
  <si>
    <t>9789865671396</t>
  </si>
  <si>
    <t>尤‧奈斯博</t>
  </si>
  <si>
    <t>881</t>
  </si>
  <si>
    <t>韓國羊的韓語單字秀【有聲】</t>
  </si>
  <si>
    <t>9789862484586</t>
  </si>
  <si>
    <t>日本時尚潮流100選【有聲】</t>
  </si>
  <si>
    <t>9789862484579</t>
  </si>
  <si>
    <t>本間岐理</t>
  </si>
  <si>
    <t>輕‧重‧緩‧急 搭出耐看配色</t>
  </si>
  <si>
    <t>9789868771192</t>
  </si>
  <si>
    <t>周建志</t>
  </si>
  <si>
    <t>一個人的三條河</t>
  </si>
  <si>
    <t>9789865813109</t>
  </si>
  <si>
    <t>閻連科</t>
  </si>
  <si>
    <t>專案現形記：專案過程的那些大小事</t>
  </si>
  <si>
    <t>EBK1020000715</t>
  </si>
  <si>
    <t>游舒帆</t>
  </si>
  <si>
    <t>噩運‧兌換</t>
  </si>
  <si>
    <t>9789868568488</t>
  </si>
  <si>
    <t>璞申出版社</t>
  </si>
  <si>
    <t>姚芝華</t>
  </si>
  <si>
    <t>穿越世紀的情書：寫給巴黎藝術家的21封信</t>
  </si>
  <si>
    <t>9789868953857</t>
  </si>
  <si>
    <t>羅婉儀</t>
  </si>
  <si>
    <t>909.942</t>
  </si>
  <si>
    <t>教育行政類專業科目歷屆試題精闢新解〈含教行、教心、測統、教史哲、比較、教概等〉</t>
  </si>
  <si>
    <t>9789863741848</t>
  </si>
  <si>
    <t>陳培林</t>
  </si>
  <si>
    <t>地方自治大意：看這本就夠了</t>
  </si>
  <si>
    <t>9789863742142</t>
  </si>
  <si>
    <t>朱華聆</t>
  </si>
  <si>
    <t>530</t>
  </si>
  <si>
    <t>575.19</t>
  </si>
  <si>
    <t>100問答國考必達：上榜生偷吃步</t>
  </si>
  <si>
    <t>9789863158424</t>
  </si>
  <si>
    <t>蔡朝勳</t>
  </si>
  <si>
    <t>521.1</t>
  </si>
  <si>
    <t>國文 〈論文寫作〉</t>
  </si>
  <si>
    <t>9789863742517</t>
  </si>
  <si>
    <t>黃淑真、陳麗玲</t>
  </si>
  <si>
    <t>802</t>
  </si>
  <si>
    <t>政府採購法〈含概要〉</t>
  </si>
  <si>
    <t>9789862618790</t>
  </si>
  <si>
    <t>歐欣亞</t>
  </si>
  <si>
    <t>564</t>
  </si>
  <si>
    <t>英文搶分題庫</t>
  </si>
  <si>
    <t>9789863158608</t>
  </si>
  <si>
    <t>德芬</t>
  </si>
  <si>
    <t>805.12</t>
  </si>
  <si>
    <t>主題式會計學〈含概要〉搶分題庫</t>
  </si>
  <si>
    <t>9789863742241</t>
  </si>
  <si>
    <t>章琦</t>
  </si>
  <si>
    <t>495.1</t>
  </si>
  <si>
    <t>史丹利來去夏威夷</t>
  </si>
  <si>
    <t>9789869105224</t>
  </si>
  <si>
    <t>史丹利</t>
  </si>
  <si>
    <t>752.799</t>
  </si>
  <si>
    <t>道德經的人生64個感悟</t>
  </si>
  <si>
    <t>9789577135681</t>
  </si>
  <si>
    <t>廣達文化事業有限公司</t>
  </si>
  <si>
    <t>秦漢唐</t>
  </si>
  <si>
    <t>雲端技術整合開發：手機App、雲端平台與資料庫</t>
  </si>
  <si>
    <t>9789865663001</t>
  </si>
  <si>
    <t>陳世興</t>
  </si>
  <si>
    <t>312.136</t>
  </si>
  <si>
    <t>乘著理想與夢想的翅膀</t>
  </si>
  <si>
    <t>9789869172608</t>
  </si>
  <si>
    <t>故事坊</t>
  </si>
  <si>
    <t>東原</t>
  </si>
  <si>
    <t>溥心畬詩書畫研究</t>
  </si>
  <si>
    <t>9789576689901</t>
  </si>
  <si>
    <t>文津出版社有限公司</t>
  </si>
  <si>
    <t>王瓊馨</t>
  </si>
  <si>
    <t>909.933</t>
  </si>
  <si>
    <t>孔子人道思想的開展：結合傳世文獻與出土簡牘的比較分析</t>
  </si>
  <si>
    <t>9789863390114</t>
  </si>
  <si>
    <t>朱心怡</t>
  </si>
  <si>
    <t>121.33</t>
  </si>
  <si>
    <t>清治到日治時期之臺灣文學研究</t>
  </si>
  <si>
    <t>9789863390091</t>
  </si>
  <si>
    <t>徐麗霞</t>
  </si>
  <si>
    <t>863.09</t>
  </si>
  <si>
    <t>莊子喪葬及生死思想</t>
  </si>
  <si>
    <t>9789576689789</t>
  </si>
  <si>
    <t>許雅喬</t>
  </si>
  <si>
    <t>唐前歌舞</t>
  </si>
  <si>
    <t>9789576689963</t>
  </si>
  <si>
    <t>葉桂桐</t>
  </si>
  <si>
    <t>915.1</t>
  </si>
  <si>
    <t>臺灣古典詩選、詩集、詩社與詩人</t>
  </si>
  <si>
    <t>9789863390022</t>
  </si>
  <si>
    <t>廖一瑾</t>
  </si>
  <si>
    <t>863.51</t>
  </si>
  <si>
    <t>唐詩新品賞</t>
  </si>
  <si>
    <t>9789863390060</t>
  </si>
  <si>
    <t>熊智銳</t>
  </si>
  <si>
    <t>831.4</t>
  </si>
  <si>
    <t>星際效應：電影幕後的科學事實、推測與想像</t>
  </si>
  <si>
    <t>9789865671389</t>
  </si>
  <si>
    <t>基普‧索恩〈Kip Thorne〉</t>
  </si>
  <si>
    <t>多元文化主義與族群傳播權：以原住民族為例</t>
  </si>
  <si>
    <t>9789571608488</t>
  </si>
  <si>
    <t>黎明文化事業股份有限公司</t>
  </si>
  <si>
    <t>張錦華</t>
  </si>
  <si>
    <t>541.2</t>
  </si>
  <si>
    <t>西方與東方：高承恕與臺灣社學〈理論篇〉</t>
  </si>
  <si>
    <t>9789577324948</t>
  </si>
  <si>
    <t>王振寰、朱元鴻、黃金麟、陳介玄</t>
  </si>
  <si>
    <t>540.7</t>
  </si>
  <si>
    <t>危險的友誼：超譯費茲傑羅＆海明威</t>
  </si>
  <si>
    <t>9789869071062</t>
  </si>
  <si>
    <t>陳榮彬</t>
  </si>
  <si>
    <t>魔都</t>
  </si>
  <si>
    <t>9789862270615</t>
  </si>
  <si>
    <t>新雨出版社</t>
  </si>
  <si>
    <t>久生十蘭</t>
  </si>
  <si>
    <t>861.57</t>
  </si>
  <si>
    <t>維榮之妻</t>
  </si>
  <si>
    <t>9789862270547</t>
  </si>
  <si>
    <t>太宰治</t>
  </si>
  <si>
    <t>史丹利沖繩不能停！</t>
  </si>
  <si>
    <t>9789869166003</t>
  </si>
  <si>
    <t>731.7889</t>
  </si>
  <si>
    <t>史丹利前進石垣島</t>
  </si>
  <si>
    <t>9789869166010</t>
  </si>
  <si>
    <t>神效醋療：不思議百病百治秘方</t>
  </si>
  <si>
    <t>9789868966505</t>
  </si>
  <si>
    <t>楊綠茵</t>
  </si>
  <si>
    <t>貪婪</t>
  </si>
  <si>
    <t>9789574324415</t>
  </si>
  <si>
    <t>卜尹森工作室</t>
  </si>
  <si>
    <t>卜尹森</t>
  </si>
  <si>
    <t>874</t>
  </si>
  <si>
    <t>宅男宅女症候群：與社交焦慮症共處</t>
  </si>
  <si>
    <t>9789866112997</t>
  </si>
  <si>
    <t>林朝誠</t>
  </si>
  <si>
    <t>415.992</t>
  </si>
  <si>
    <t>龍痕〈第一冊〉</t>
  </si>
  <si>
    <t>9789868671515</t>
  </si>
  <si>
    <t>東愷圖書有限公司</t>
  </si>
  <si>
    <t>田建南</t>
  </si>
  <si>
    <t>龍痕〈第二冊〉 抗戰史料摘編、點評及感言</t>
  </si>
  <si>
    <t>9789868671522</t>
  </si>
  <si>
    <t>不再恐慌：自律神經失調的身心靈整合療法</t>
  </si>
  <si>
    <t>9789866436574</t>
  </si>
  <si>
    <t>許添盛口述、張黛眉執筆</t>
  </si>
  <si>
    <t>死地に活路を開く：許添盛医師の体心魂ガン治療法</t>
  </si>
  <si>
    <t>9789866436598</t>
  </si>
  <si>
    <t>許添盛口述、張雅真執筆</t>
  </si>
  <si>
    <t>日文</t>
  </si>
  <si>
    <t>潮爆大肚皮：食髓知味的頑樂料理60道</t>
  </si>
  <si>
    <t>9789575659332</t>
  </si>
  <si>
    <t>台視文化事業股份有限公司</t>
  </si>
  <si>
    <t>林志豪</t>
  </si>
  <si>
    <t>大人小孩的英文歌謠Level 1【有聲】</t>
  </si>
  <si>
    <t>9789861841397</t>
  </si>
  <si>
    <t>呂珮榮</t>
  </si>
  <si>
    <t>大人小孩的英文歌謠Level 2【有聲】</t>
  </si>
  <si>
    <t>9789861841533</t>
  </si>
  <si>
    <t>大人小孩的英文歌謠Level 3【有聲】</t>
  </si>
  <si>
    <t>9789861841526</t>
  </si>
  <si>
    <t>言花</t>
  </si>
  <si>
    <t>9789869166034</t>
  </si>
  <si>
    <t>魏如萱</t>
  </si>
  <si>
    <t>港澳事務法規彙編</t>
  </si>
  <si>
    <t>9789860251883</t>
  </si>
  <si>
    <t>行政院大陸委員會</t>
  </si>
  <si>
    <t>行政院大陸委員會</t>
  </si>
  <si>
    <t>190</t>
  </si>
  <si>
    <t>581.26</t>
  </si>
  <si>
    <t>后現代優雅崛起：32個歷史上的名女人傳授給woman的六道心計秘帖</t>
  </si>
  <si>
    <t>9789869021593</t>
  </si>
  <si>
    <t>沐風文化出版有限公司</t>
  </si>
  <si>
    <t>遲嫻儒</t>
  </si>
  <si>
    <t>倒著看人生：就算沒有雙腳，用手也要追逐自己的夢想</t>
  </si>
  <si>
    <t>9789869021562</t>
  </si>
  <si>
    <t>周凡</t>
  </si>
  <si>
    <t>痠痛急救箱：頂尖物理治療師隨傳隨到，教你如何自我檢測，簡單幾招就能迅速搞定坐立難安的痠痛</t>
  </si>
  <si>
    <t>9789869125413</t>
  </si>
  <si>
    <t>蔡忠憲</t>
  </si>
  <si>
    <t>415.942</t>
  </si>
  <si>
    <t>美食好簡單2</t>
  </si>
  <si>
    <t>9789575659295</t>
  </si>
  <si>
    <t>台視文化美食團隊</t>
  </si>
  <si>
    <t>427</t>
  </si>
  <si>
    <t>全球化下兩岸文創新趨勢</t>
  </si>
  <si>
    <t>9789869186407</t>
  </si>
  <si>
    <t>黃宗潔、林昭宏、王怡惠等</t>
  </si>
  <si>
    <t>541.2907</t>
  </si>
  <si>
    <t>中國成語</t>
  </si>
  <si>
    <t>9789865970567</t>
  </si>
  <si>
    <t>張晶</t>
  </si>
  <si>
    <t>802.1839</t>
  </si>
  <si>
    <t>祭祀習俗</t>
  </si>
  <si>
    <t>9789865970260</t>
  </si>
  <si>
    <t>劉艷霞</t>
  </si>
  <si>
    <t>538.67</t>
  </si>
  <si>
    <t>中國石</t>
  </si>
  <si>
    <t>9789865935719</t>
  </si>
  <si>
    <t>姚琪</t>
  </si>
  <si>
    <t>999.21</t>
  </si>
  <si>
    <t>中國園林</t>
  </si>
  <si>
    <t>9789865935689</t>
  </si>
  <si>
    <t>呂明偉</t>
  </si>
  <si>
    <t>929.92</t>
  </si>
  <si>
    <t>旗袍</t>
  </si>
  <si>
    <t>9789865935665</t>
  </si>
  <si>
    <t>徐冬</t>
  </si>
  <si>
    <t>423.33</t>
  </si>
  <si>
    <t>非一般的旅行：西藏大圓滿彩虹光之旅</t>
  </si>
  <si>
    <t>9789810931438</t>
  </si>
  <si>
    <t>阿楚仁波切</t>
  </si>
  <si>
    <t>226.96</t>
  </si>
  <si>
    <t>玩泰國‧不開口也能通【有聲】</t>
  </si>
  <si>
    <t>9789862484630</t>
  </si>
  <si>
    <t>何見怡</t>
  </si>
  <si>
    <t>803.7588</t>
  </si>
  <si>
    <t>旅遊好用句【有聲】</t>
  </si>
  <si>
    <t>9789862484760</t>
  </si>
  <si>
    <t>801.72</t>
  </si>
  <si>
    <t>謀略與關係：當代華人的管理思維</t>
  </si>
  <si>
    <t>9789864370290</t>
  </si>
  <si>
    <t>喬健、勝雅律、黃光國等</t>
  </si>
  <si>
    <t>404.07</t>
  </si>
  <si>
    <t>數位環境著作權法新思維 : 論數位著作權之本質、耗盡、與歸屬</t>
  </si>
  <si>
    <t>9789865663056</t>
  </si>
  <si>
    <t>胡心蘭</t>
  </si>
  <si>
    <t>588.3407</t>
  </si>
  <si>
    <t>科學探究教學：臺灣個案研究論文集〈1994─2012〉</t>
  </si>
  <si>
    <t>9789865663544</t>
  </si>
  <si>
    <t>熊召弟、劉宏文、張惠博等</t>
  </si>
  <si>
    <t>523.3607</t>
  </si>
  <si>
    <t>科學探究教學：臺灣實證研究論文集〈1997─2012〉</t>
  </si>
  <si>
    <t>9789865663537</t>
  </si>
  <si>
    <t>毛松霖、張菊秀、張俊彥等</t>
  </si>
  <si>
    <t>不要惹我生氣：８個冷靜情緒的控制法</t>
  </si>
  <si>
    <t>9789864110032</t>
  </si>
  <si>
    <t>陳曉雲</t>
  </si>
  <si>
    <t>那些史上不能曝光的幕後真相事件簿</t>
  </si>
  <si>
    <t>9789865808679</t>
  </si>
  <si>
    <t>陳楚明</t>
  </si>
  <si>
    <t>成功路上並不擁擠，因為堅持的人不多</t>
  </si>
  <si>
    <t>9789865808709</t>
  </si>
  <si>
    <t>瑪緹斯</t>
  </si>
  <si>
    <t>改變百萬人命運的人際交往術</t>
  </si>
  <si>
    <t>9789865808945</t>
  </si>
  <si>
    <t>開公司要賺大錢，不變的26條黃金法則</t>
  </si>
  <si>
    <t>9789865808952</t>
  </si>
  <si>
    <t>真心話大考驗Part2</t>
  </si>
  <si>
    <t>9789865819484</t>
  </si>
  <si>
    <t>葉汶珊</t>
  </si>
  <si>
    <t>被時空遺忘的古文明：從何開始，從何消逝</t>
  </si>
  <si>
    <t>9789865819576</t>
  </si>
  <si>
    <t>阿摩斯</t>
  </si>
  <si>
    <t>713.1</t>
  </si>
  <si>
    <t>宋代男人很吃香：還原最真實的歷史真相</t>
  </si>
  <si>
    <t>9789865819736</t>
  </si>
  <si>
    <t>邱本源</t>
  </si>
  <si>
    <t>比福爾摩斯還聰明的化學偵探：燃燒吧！冰塊</t>
  </si>
  <si>
    <t>9789865819743</t>
  </si>
  <si>
    <t>地理有意思：沙漠為什麼哭泣</t>
  </si>
  <si>
    <t>9789865862527</t>
  </si>
  <si>
    <t>有人緣的小孩更有競爭力</t>
  </si>
  <si>
    <t>9789865862541</t>
  </si>
  <si>
    <t>張婉宜</t>
  </si>
  <si>
    <t>寫給未來的日記</t>
  </si>
  <si>
    <t>9789865862565</t>
  </si>
  <si>
    <t>深入塔羅牌的神祕能量；影響一生的塔羅牌學習書</t>
  </si>
  <si>
    <t>9789865886981</t>
  </si>
  <si>
    <t>林奕寰</t>
  </si>
  <si>
    <t>不熟是要聊什麼？：7個不讓人抓狂的溝通術</t>
  </si>
  <si>
    <t>9789865808969</t>
  </si>
  <si>
    <t>崔英熙</t>
  </si>
  <si>
    <t>177.1</t>
  </si>
  <si>
    <t>受傷的醫者</t>
  </si>
  <si>
    <t>9789863570011</t>
  </si>
  <si>
    <t>林克明</t>
  </si>
  <si>
    <t>170.99</t>
  </si>
  <si>
    <t>地政士歷屆考題解析</t>
  </si>
  <si>
    <t>9789578418677</t>
  </si>
  <si>
    <t>554.133</t>
  </si>
  <si>
    <t>手繪京都日和：與鴨川共同生活的日子們</t>
  </si>
  <si>
    <t>9789869166027</t>
  </si>
  <si>
    <t>Fanyu（林凡瑜）</t>
  </si>
  <si>
    <t>731.75219</t>
  </si>
  <si>
    <t>日暮途遠：長夜漫漫路迢迢</t>
  </si>
  <si>
    <t>9789865982553</t>
  </si>
  <si>
    <t>淡江大學出版中心</t>
  </si>
  <si>
    <t>歐尼爾〈Eugene O’Neill 〉</t>
  </si>
  <si>
    <t>874.55</t>
  </si>
  <si>
    <t>玩偶之家A Doll’s House</t>
  </si>
  <si>
    <t>9789865982546</t>
  </si>
  <si>
    <t>易卜生〈Henrik Ibsen）</t>
  </si>
  <si>
    <t>854</t>
  </si>
  <si>
    <t>城市禪園</t>
  </si>
  <si>
    <t>9789865982515</t>
  </si>
  <si>
    <t>Haakon Rasmussen 河康，Marco Casagrande 卡馬可，Chen-Cheng Chen 陳珍誠</t>
  </si>
  <si>
    <t>920.25</t>
  </si>
  <si>
    <t>戰略安全理論建構與政策研析</t>
  </si>
  <si>
    <t>9789865982355</t>
  </si>
  <si>
    <t>翁明賢</t>
  </si>
  <si>
    <t>592.407</t>
  </si>
  <si>
    <t>20秒讀懂對方的OS：客戶不說，我也知道他在想什麼</t>
  </si>
  <si>
    <t>9789865899226</t>
  </si>
  <si>
    <t>半澤的「加倍奉還」，只會讓你加速滅亡：半澤直樹不敢說透的36個職場「灰規則」</t>
  </si>
  <si>
    <t>9789865899288</t>
  </si>
  <si>
    <t>臺灣文化權利地圖</t>
  </si>
  <si>
    <t>9789577324955</t>
  </si>
  <si>
    <t>劉俊裕，張宇欣，廖凰玎</t>
  </si>
  <si>
    <t>541.2933</t>
  </si>
  <si>
    <t>摯愛20年：我與葛瑞的同性婚姻情史</t>
  </si>
  <si>
    <t>9789863570066</t>
  </si>
  <si>
    <t>許佑生</t>
  </si>
  <si>
    <t>544.329</t>
  </si>
  <si>
    <t>放輕鬆，不焦慮：自律神經的保健之道</t>
  </si>
  <si>
    <t>9789866112928</t>
  </si>
  <si>
    <t>林奕廷</t>
  </si>
  <si>
    <t>Scratch2‧0 程式遊戲總動員</t>
  </si>
  <si>
    <t>9789867042668</t>
  </si>
  <si>
    <t>王麗君</t>
  </si>
  <si>
    <t>Google網路總動員</t>
  </si>
  <si>
    <t>9789867042651</t>
  </si>
  <si>
    <t>許顥璋</t>
  </si>
  <si>
    <t>Gimp影像總動員</t>
  </si>
  <si>
    <t>9789867042644</t>
  </si>
  <si>
    <t>鍾立德</t>
  </si>
  <si>
    <t>人際開發術：有了人脈，財脈自然就會跟著來</t>
  </si>
  <si>
    <t>9789865756208</t>
  </si>
  <si>
    <t>蕭正奇教授</t>
  </si>
  <si>
    <t>聰明看人術：多觀察對方，就能為自己加分</t>
  </si>
  <si>
    <t>9789865756239</t>
  </si>
  <si>
    <t>程立剛</t>
  </si>
  <si>
    <t>銷售業績：需靠完美的心理戰術</t>
  </si>
  <si>
    <t>9789865756246</t>
  </si>
  <si>
    <t>李勝豐</t>
  </si>
  <si>
    <t>創富智慧：世界著名億萬富翁的經濟學堂</t>
  </si>
  <si>
    <t>9789865756253</t>
  </si>
  <si>
    <t>金聖榮</t>
  </si>
  <si>
    <t>世界思想大師：人生的價值取決於思考的智慧</t>
  </si>
  <si>
    <t>9789865756260</t>
  </si>
  <si>
    <t>林瑋</t>
  </si>
  <si>
    <t>140.99</t>
  </si>
  <si>
    <t>有趣的心理故事： 人類一切的內心戰爭都是心理學</t>
  </si>
  <si>
    <t>9789865756284</t>
  </si>
  <si>
    <t>崔金生</t>
  </si>
  <si>
    <t>道德情感論</t>
  </si>
  <si>
    <t>9789865756291</t>
  </si>
  <si>
    <t>亞當‧斯密〈Adam Smith〉</t>
  </si>
  <si>
    <t>190.1</t>
  </si>
  <si>
    <t>你並不需要成為哲學家，也能夠在現實中運用哲學</t>
  </si>
  <si>
    <t>9789865756307</t>
  </si>
  <si>
    <t>100</t>
  </si>
  <si>
    <t>掌握高超談判技巧：把主動權牢牢控制在自己手中</t>
  </si>
  <si>
    <t>9789865756314</t>
  </si>
  <si>
    <t>邱紀彬</t>
  </si>
  <si>
    <t>177.4</t>
  </si>
  <si>
    <t>別再為孩子拖拖拉拉抓狂：找回孩子應有的能力與表現！</t>
  </si>
  <si>
    <t>9789869137980</t>
  </si>
  <si>
    <t>童利菁</t>
  </si>
  <si>
    <t>美甲女神：打開沙龍界秘密全解</t>
  </si>
  <si>
    <t>9789869086332</t>
  </si>
  <si>
    <t>肯網資訊企劃有限公司</t>
  </si>
  <si>
    <t>洪逸恬</t>
  </si>
  <si>
    <t>20150326</t>
  </si>
  <si>
    <t>425.6</t>
  </si>
  <si>
    <t>天下對聯大全集</t>
  </si>
  <si>
    <t>9789865636050</t>
  </si>
  <si>
    <t>魏寧，路曉紅</t>
  </si>
  <si>
    <t>856.6</t>
  </si>
  <si>
    <t>24堂生命改造計畫，活出奇蹟人生</t>
  </si>
  <si>
    <t>9789865636074</t>
  </si>
  <si>
    <t>查爾斯‧哈奈爾</t>
  </si>
  <si>
    <t>選擇與放棄：有所得必有所失，有時候捨棄會更好</t>
  </si>
  <si>
    <t>9789865636173</t>
  </si>
  <si>
    <t>唐汶</t>
  </si>
  <si>
    <t>輕鬆學做人：巧妙的52個成功心計</t>
  </si>
  <si>
    <t>9789865636203</t>
  </si>
  <si>
    <t>聶小丹</t>
  </si>
  <si>
    <t>輕鬆學做事：巧妙的53個成功心計</t>
  </si>
  <si>
    <t>9789865636241</t>
  </si>
  <si>
    <t>沒被抓到也算作弊嗎？：學校沒有教的33則品格練習題</t>
  </si>
  <si>
    <t>9789865671464</t>
  </si>
  <si>
    <t>布魯斯‧韋恩斯坦 Bruce Weinstein， Ph.D.</t>
  </si>
  <si>
    <t>192.12</t>
  </si>
  <si>
    <t>靠近</t>
  </si>
  <si>
    <t>9789868370852</t>
  </si>
  <si>
    <t>大憨蓮文化（喜菡）</t>
  </si>
  <si>
    <t>喜菡</t>
  </si>
  <si>
    <t>30個臺灣地景故事</t>
  </si>
  <si>
    <t>9789575749859</t>
  </si>
  <si>
    <t>發現，臺灣風土之美</t>
  </si>
  <si>
    <t>9789575749880</t>
  </si>
  <si>
    <t>謝文賢</t>
  </si>
  <si>
    <t>538.833</t>
  </si>
  <si>
    <t>綺麗的旅程</t>
  </si>
  <si>
    <t>9789575749897</t>
  </si>
  <si>
    <t>丘樹華</t>
  </si>
  <si>
    <t>蔬果養生健康DIY</t>
  </si>
  <si>
    <t>9789575749941</t>
  </si>
  <si>
    <t>黃于芯</t>
  </si>
  <si>
    <t>413.98</t>
  </si>
  <si>
    <t>正妹戀愛快遞</t>
  </si>
  <si>
    <t>EBK1020000798</t>
  </si>
  <si>
    <t>食凍麵〈Stoneman〉</t>
  </si>
  <si>
    <t>草男正傳</t>
  </si>
  <si>
    <t>EBK1020000799</t>
  </si>
  <si>
    <t>我的女友宅很大</t>
  </si>
  <si>
    <t>EBK1020000800</t>
  </si>
  <si>
    <t>贏在卓越領導力：願景、行動、實踐力的修煉</t>
  </si>
  <si>
    <t>9789869167000</t>
  </si>
  <si>
    <t>木蘭文化事業有限公司</t>
  </si>
  <si>
    <t>游淑玫Amy Yu</t>
  </si>
  <si>
    <t>494.2</t>
  </si>
  <si>
    <t>郵政外勤歷年試題合輯</t>
  </si>
  <si>
    <t>9789863742951</t>
  </si>
  <si>
    <t>柯萳，德芬，建達，劉正均，李鼎</t>
  </si>
  <si>
    <t>577.6022</t>
  </si>
  <si>
    <t>會計學 〈包含國際會計準則IFRS〉</t>
  </si>
  <si>
    <t>9789863742937</t>
  </si>
  <si>
    <t>陳智音</t>
  </si>
  <si>
    <t>495.022</t>
  </si>
  <si>
    <t>法學緒論高分題庫</t>
  </si>
  <si>
    <t>9789863742586</t>
  </si>
  <si>
    <t>羅格思，章庠</t>
  </si>
  <si>
    <t>一次考上銀行貨幣銀行學〈含概要〉</t>
  </si>
  <si>
    <t>9789863742760</t>
  </si>
  <si>
    <t>410</t>
  </si>
  <si>
    <t>561</t>
  </si>
  <si>
    <t>一次考上銀行：銀行考前速成</t>
  </si>
  <si>
    <t>9789863742647</t>
  </si>
  <si>
    <t>560</t>
  </si>
  <si>
    <t>主題式貨幣銀行學〈含概要〉搶分題庫</t>
  </si>
  <si>
    <t>9789863742777</t>
  </si>
  <si>
    <t>陳忠孝</t>
  </si>
  <si>
    <t>主題式票據法〈含概要〉搶分題庫</t>
  </si>
  <si>
    <t>9789863742753</t>
  </si>
  <si>
    <t>亭宣</t>
  </si>
  <si>
    <t>587.4</t>
  </si>
  <si>
    <t>一次考上銀行： 銀行法〈含概要〉</t>
  </si>
  <si>
    <t>9789863742807</t>
  </si>
  <si>
    <t>成在天</t>
  </si>
  <si>
    <t>562.12</t>
  </si>
  <si>
    <t>租稅申報實務〈包括所得稅、加值型及非加值型營業稅申報實務〉</t>
  </si>
  <si>
    <t>9789863742548</t>
  </si>
  <si>
    <t>567</t>
  </si>
  <si>
    <t>記帳相關法規概要〈包括記帳士法、商業會計法及商業會計處理準則〉</t>
  </si>
  <si>
    <t>9789863742456</t>
  </si>
  <si>
    <t>陳忠孝，江秀敏</t>
  </si>
  <si>
    <t>495.2</t>
  </si>
  <si>
    <t>觀光資源概要〈包括台灣史地、觀光資源維護〉 【華語、外語導遊人員】</t>
  </si>
  <si>
    <t>9789863742739</t>
  </si>
  <si>
    <t>邱燁，章琪</t>
  </si>
  <si>
    <t>領隊實務〈一〉【華語、外語導遊人員】</t>
  </si>
  <si>
    <t>9789863742944</t>
  </si>
  <si>
    <t>540</t>
  </si>
  <si>
    <t>9789863742814</t>
  </si>
  <si>
    <t>自遊倫敦</t>
  </si>
  <si>
    <t>9789862483626</t>
  </si>
  <si>
    <t>洪詩茵，高章敏，劉怡如等</t>
  </si>
  <si>
    <t>741.719</t>
  </si>
  <si>
    <t>超有梗英文會話：EZ TALK 總編嚴選特刊</t>
  </si>
  <si>
    <t>9789862484470</t>
  </si>
  <si>
    <t>9個故事</t>
  </si>
  <si>
    <t>9789868962828</t>
  </si>
  <si>
    <t>紅通通文化出版社</t>
  </si>
  <si>
    <t>小歐</t>
  </si>
  <si>
    <t>情慾舞台：西洋戲劇情慾主題精選集</t>
  </si>
  <si>
    <t>9789868954472</t>
  </si>
  <si>
    <t>暖暖書屋文化事業股份有限公司</t>
  </si>
  <si>
    <t>呂健忠</t>
  </si>
  <si>
    <t>813.3</t>
  </si>
  <si>
    <t>陰性追尋：西洋古典神話專題之一</t>
  </si>
  <si>
    <t>9789869002714</t>
  </si>
  <si>
    <t>284.07</t>
  </si>
  <si>
    <t>魏晉南北朝之酒色財氣</t>
  </si>
  <si>
    <t>9789869002745</t>
  </si>
  <si>
    <t>林錚顗</t>
  </si>
  <si>
    <t>623</t>
  </si>
  <si>
    <t>頌鉢與身心靈整合療癒</t>
  </si>
  <si>
    <t>9789863900566</t>
  </si>
  <si>
    <t>彼特，楊力虹，蘆啟明</t>
  </si>
  <si>
    <t>418.98</t>
  </si>
  <si>
    <t>正妹大學摳男社</t>
  </si>
  <si>
    <t>4712771028768</t>
  </si>
  <si>
    <t>正妹大學之宅男大改造</t>
  </si>
  <si>
    <t>4712771028775</t>
  </si>
  <si>
    <t>打開鏽住的記憶：影視文化與歷史想像</t>
  </si>
  <si>
    <t>9789865663735</t>
  </si>
  <si>
    <t>張慧瑜</t>
  </si>
  <si>
    <t>987.01</t>
  </si>
  <si>
    <t>選擇中醫</t>
  </si>
  <si>
    <t>9789865663780</t>
  </si>
  <si>
    <t>董洪濤</t>
  </si>
  <si>
    <t>413</t>
  </si>
  <si>
    <t>警察手記：京師四小名捕破案傳奇</t>
  </si>
  <si>
    <t>9789865663865</t>
  </si>
  <si>
    <t>薩蘇，尹紅志</t>
  </si>
  <si>
    <t>禁區</t>
  </si>
  <si>
    <t>9789864490042</t>
  </si>
  <si>
    <t>李如青</t>
  </si>
  <si>
    <t>警察 Politi</t>
  </si>
  <si>
    <t>9789865671549</t>
  </si>
  <si>
    <t>尤‧奈斯博〈Jo Nesbo〉</t>
  </si>
  <si>
    <t>881.457</t>
  </si>
  <si>
    <t>流行音樂的特殊和絃進行訓練筆記</t>
  </si>
  <si>
    <t>9789868990340</t>
  </si>
  <si>
    <t>時空膠囊音樂社</t>
  </si>
  <si>
    <t>不拘時</t>
  </si>
  <si>
    <t>916.65</t>
  </si>
  <si>
    <t>霸氣希拉蕊：你不必屈居第二位</t>
  </si>
  <si>
    <t>9789864110094</t>
  </si>
  <si>
    <t>席拉</t>
  </si>
  <si>
    <t>這樣也可以？香蕉皮不只能絆倒人</t>
  </si>
  <si>
    <t>9789865819750</t>
  </si>
  <si>
    <t>趙雨涵</t>
  </si>
  <si>
    <t>420.26</t>
  </si>
  <si>
    <t>小幽默大智慧！搞笑沒那麼簡單！</t>
  </si>
  <si>
    <t>9789864110070</t>
  </si>
  <si>
    <t>原來如此：那些你該知道的人性故事</t>
  </si>
  <si>
    <t>9789864110087</t>
  </si>
  <si>
    <t>賴志綱</t>
  </si>
  <si>
    <t>帶人：讓員工完全臣服的管理術</t>
  </si>
  <si>
    <t>9789865808822</t>
  </si>
  <si>
    <t>安井哲</t>
  </si>
  <si>
    <t>早知道！就不看的鬼故事</t>
  </si>
  <si>
    <t>9789865808860</t>
  </si>
  <si>
    <t>別把方便當隨便：人際交往心理學的眉角</t>
  </si>
  <si>
    <t>9789865808884</t>
  </si>
  <si>
    <t>顏之勤</t>
  </si>
  <si>
    <t>給你一個公司，你能賺錢嗎？</t>
  </si>
  <si>
    <t>9789865808976</t>
  </si>
  <si>
    <t>金泰熙</t>
  </si>
  <si>
    <t>你憑什麼拿那麼高的薪水？</t>
  </si>
  <si>
    <t>9789865808983</t>
  </si>
  <si>
    <t>陳湘怡</t>
  </si>
  <si>
    <t>夜裡夢境知多少：為你揭開意想不到的夢境之謎</t>
  </si>
  <si>
    <t>9789865819422</t>
  </si>
  <si>
    <t>賴怡璇</t>
  </si>
  <si>
    <t>175.1</t>
  </si>
  <si>
    <t>風水輪流「賺」：搞定職場風水，也搞定了荷包</t>
  </si>
  <si>
    <t>9789865819606</t>
  </si>
  <si>
    <t>施如玉</t>
  </si>
  <si>
    <t>住宅學問大：改善居家品質的風水學</t>
  </si>
  <si>
    <t>9789865819637</t>
  </si>
  <si>
    <t>生物異世界：香蕉為什麼沒有籽</t>
  </si>
  <si>
    <t>9789865819774</t>
  </si>
  <si>
    <t>046</t>
  </si>
  <si>
    <t>化學有意思：火點不著的魔法衣</t>
  </si>
  <si>
    <t>9789865862589</t>
  </si>
  <si>
    <t>蔡宇智</t>
  </si>
  <si>
    <t>富裕人生從管理開始，創造價值的30招必勝技能</t>
  </si>
  <si>
    <t>9789869073820</t>
  </si>
  <si>
    <t>艾美普訓練</t>
  </si>
  <si>
    <t>吳佰鴻等</t>
  </si>
  <si>
    <t>立即上手的教導力</t>
  </si>
  <si>
    <t>9789869073813</t>
  </si>
  <si>
    <t>吳建宏，吳佰鴻</t>
  </si>
  <si>
    <t>Blender 3D之人物創作</t>
  </si>
  <si>
    <t>9789869045742</t>
  </si>
  <si>
    <t>海峽兩岸出版社</t>
  </si>
  <si>
    <t>李逢春，楊基龍</t>
  </si>
  <si>
    <t>312.886</t>
  </si>
  <si>
    <t>Blender 3D之野狼創作</t>
  </si>
  <si>
    <t>9789869045759</t>
  </si>
  <si>
    <t>火殤世紀：傾訴金門的史家之作</t>
  </si>
  <si>
    <t>4712771028867</t>
  </si>
  <si>
    <t>吳鈞堯</t>
  </si>
  <si>
    <t>熱地圖</t>
  </si>
  <si>
    <t>4712771028843</t>
  </si>
  <si>
    <t>863</t>
  </si>
  <si>
    <t>崢嶸：金門歷史小說集1</t>
  </si>
  <si>
    <t>4712771028874</t>
  </si>
  <si>
    <t>凌雲：金門歷史小說集2</t>
  </si>
  <si>
    <t>4712771028881</t>
  </si>
  <si>
    <t>履霜：金門歷史小說集3</t>
  </si>
  <si>
    <t>4712771028898</t>
  </si>
  <si>
    <t>兩個女人的戰爭</t>
  </si>
  <si>
    <t>4712771028836</t>
  </si>
  <si>
    <t>食凍麵</t>
  </si>
  <si>
    <t>我的旅遊書：東京</t>
  </si>
  <si>
    <t>EBK1020000793</t>
  </si>
  <si>
    <t>金易文創有限公司</t>
  </si>
  <si>
    <t>金易文創編輯群</t>
  </si>
  <si>
    <t>731.72</t>
  </si>
  <si>
    <t>超有用！核心運動輕瘦身</t>
  </si>
  <si>
    <t>EBK1020000795</t>
  </si>
  <si>
    <t>雜亂無章掰掰！嚴選空間收納術</t>
  </si>
  <si>
    <t>EBK1020000796</t>
  </si>
  <si>
    <t>40個哄孩子的睡前故事</t>
  </si>
  <si>
    <t>EBK1020000810</t>
  </si>
  <si>
    <t>超媒體出版有限公司</t>
  </si>
  <si>
    <t>超媒體編輯群</t>
  </si>
  <si>
    <t>Android機超高效Google雲端遙距工作運用術</t>
  </si>
  <si>
    <t>EBK1020000811</t>
  </si>
  <si>
    <t>iOS8┼iphone6達人揭密！完全活用究極攻略</t>
  </si>
  <si>
    <t>EBK1020000813</t>
  </si>
  <si>
    <t>Mac OS X快捷速學實用最強妙招</t>
  </si>
  <si>
    <t>EBK1020000814</t>
  </si>
  <si>
    <t>312.54</t>
  </si>
  <si>
    <t>Photoshop唯美必修技與創意表現</t>
  </si>
  <si>
    <t>EBK1020000815</t>
  </si>
  <si>
    <t>952.6</t>
  </si>
  <si>
    <t>人人都可做作家─設計‧排版‧報價‧印刷‧發行自己動手做</t>
  </si>
  <si>
    <t>EBK1020000816</t>
  </si>
  <si>
    <t>447</t>
  </si>
  <si>
    <t>生活智慧王之小創意的大妙手</t>
  </si>
  <si>
    <t>EBK1020000823</t>
  </si>
  <si>
    <t>美化魔術手：打造精美Word文檔┼幸福攝影集</t>
  </si>
  <si>
    <t>EBK1020000836</t>
  </si>
  <si>
    <t>職場新手王電腦活用天書</t>
  </si>
  <si>
    <t>EBK1020000847</t>
  </si>
  <si>
    <t>24小時學好打字超容易</t>
  </si>
  <si>
    <t>EBK1020000850</t>
  </si>
  <si>
    <t>312.53</t>
  </si>
  <si>
    <t>Adobe InDesign┼Photoshop排版設計一本通</t>
  </si>
  <si>
    <t>EBK1020000851</t>
  </si>
  <si>
    <t>DSLR數位攝影┼後期加工一條龍不求人</t>
  </si>
  <si>
    <t>EBK1020000852</t>
  </si>
  <si>
    <t>Photoshop創意設計點子王</t>
  </si>
  <si>
    <t>EBK1020000853</t>
  </si>
  <si>
    <t>世界十大邪靈</t>
  </si>
  <si>
    <t>EBK1020000862</t>
  </si>
  <si>
    <t>出版必讀聖經：排版、設計、印刷全攻略</t>
  </si>
  <si>
    <t>EBK1020000863</t>
  </si>
  <si>
    <t>強效精攻Microsoft Word職場應用</t>
  </si>
  <si>
    <t>EBK1020000873</t>
  </si>
  <si>
    <t>意想不到的MAC OS X Android活用神技</t>
  </si>
  <si>
    <t>EBK1020000877</t>
  </si>
  <si>
    <t>當今最熱門的健康飲食</t>
  </si>
  <si>
    <t>EBK1020000878</t>
  </si>
  <si>
    <t>資深調酒師的精選調酒</t>
  </si>
  <si>
    <t>EBK1020000879</t>
  </si>
  <si>
    <t>輕鬆學會實用Office技</t>
  </si>
  <si>
    <t>EBK1020000882</t>
  </si>
  <si>
    <t>慳出你的第一桶金</t>
  </si>
  <si>
    <t>EBK1020000883</t>
  </si>
  <si>
    <t>懂得為何失敗，才知道如何成功</t>
  </si>
  <si>
    <t>EBK1020000887</t>
  </si>
  <si>
    <t>一面沿途漫步的鏡子</t>
  </si>
  <si>
    <t>9789865663940</t>
  </si>
  <si>
    <t>邊芹</t>
  </si>
  <si>
    <t>三十三年之夢</t>
  </si>
  <si>
    <t>9789865663742</t>
  </si>
  <si>
    <t>宮崎滔天</t>
  </si>
  <si>
    <t>783.18</t>
  </si>
  <si>
    <t>不列顛諸王史</t>
  </si>
  <si>
    <t>9789865663919</t>
  </si>
  <si>
    <t>Geoffrey of Monmouth</t>
  </si>
  <si>
    <t>784.12</t>
  </si>
  <si>
    <t>中醫圖畫通說</t>
  </si>
  <si>
    <t>9789865663933</t>
  </si>
  <si>
    <t>白雲峰</t>
  </si>
  <si>
    <t>民國斯文</t>
  </si>
  <si>
    <t>9789865663988</t>
  </si>
  <si>
    <t>肖伊緋</t>
  </si>
  <si>
    <t>782.2</t>
  </si>
  <si>
    <t>宏觀比較文學講演錄</t>
  </si>
  <si>
    <t>9789865663834</t>
  </si>
  <si>
    <t>王向遠</t>
  </si>
  <si>
    <t>819</t>
  </si>
  <si>
    <t>拒秦興漢和應對佛教的儒家哲學：從董仲舒到陸象山</t>
  </si>
  <si>
    <t>9789864370245</t>
  </si>
  <si>
    <t>張祥龍</t>
  </si>
  <si>
    <t>121.2</t>
  </si>
  <si>
    <t>法律後面的故事</t>
  </si>
  <si>
    <t>9789865663766</t>
  </si>
  <si>
    <t>梁治平</t>
  </si>
  <si>
    <t>治病書：中醫破執〈上〉</t>
  </si>
  <si>
    <t>9789864370177</t>
  </si>
  <si>
    <t>王正龍</t>
  </si>
  <si>
    <t>413.2</t>
  </si>
  <si>
    <t>治病書：中醫破執〈下〉</t>
  </si>
  <si>
    <t>9789864370184</t>
  </si>
  <si>
    <t>品茶室文集</t>
  </si>
  <si>
    <t>9789865663827</t>
  </si>
  <si>
    <t>張文生</t>
  </si>
  <si>
    <t>524.307</t>
  </si>
  <si>
    <t>思考中醫</t>
  </si>
  <si>
    <t>9789865663797</t>
  </si>
  <si>
    <t>劉力紅</t>
  </si>
  <si>
    <t>413.32</t>
  </si>
  <si>
    <t>香識</t>
  </si>
  <si>
    <t>9789865663773</t>
  </si>
  <si>
    <t>揚之水</t>
  </si>
  <si>
    <t>466.6</t>
  </si>
  <si>
    <t>唐宋詞名篇講演錄</t>
  </si>
  <si>
    <t>9789864370139</t>
  </si>
  <si>
    <t>王兆鵬</t>
  </si>
  <si>
    <t>820.9104</t>
  </si>
  <si>
    <t>唐朝的黑夜3</t>
  </si>
  <si>
    <t>9789865663902</t>
  </si>
  <si>
    <t>魏風華</t>
  </si>
  <si>
    <t>857.24</t>
  </si>
  <si>
    <t>蚤滿華袍：張愛玲後半生</t>
  </si>
  <si>
    <t>9789864370023</t>
  </si>
  <si>
    <t>伊北</t>
  </si>
  <si>
    <t>782.886</t>
  </si>
  <si>
    <t>逆淘汰：中國歷史上的毀人遊戲</t>
  </si>
  <si>
    <t>9789865663667</t>
  </si>
  <si>
    <t>程萬軍</t>
  </si>
  <si>
    <t>573.4</t>
  </si>
  <si>
    <t>逃離孤獨和恐懼：尋找城市生活的「幸福門」</t>
  </si>
  <si>
    <t>9789864370016</t>
  </si>
  <si>
    <t>徐平利</t>
  </si>
  <si>
    <t>520.7</t>
  </si>
  <si>
    <t>國家的倫理：從馬克思回到黑格爾</t>
  </si>
  <si>
    <t>9789865663803</t>
  </si>
  <si>
    <t>喬戈</t>
  </si>
  <si>
    <t>580.1</t>
  </si>
  <si>
    <t>清廷戊戌朝變記〈外三種〉</t>
  </si>
  <si>
    <t>9789865663681</t>
  </si>
  <si>
    <t>蘇繼祖，梁啟超，袁世凱等</t>
  </si>
  <si>
    <t>野渡</t>
  </si>
  <si>
    <t>9789864370078</t>
  </si>
  <si>
    <t>嚴彬，馬培傑</t>
  </si>
  <si>
    <t>無翼飛翔：澳洲留學日記</t>
  </si>
  <si>
    <t>9789864370054</t>
  </si>
  <si>
    <t>白斌博</t>
  </si>
  <si>
    <t>粟特商人史</t>
  </si>
  <si>
    <t>9789864370221</t>
  </si>
  <si>
    <t>魏義天</t>
  </si>
  <si>
    <t>490.9</t>
  </si>
  <si>
    <t>赫拉克利特著作殘篇：希臘語、英、漢對照</t>
  </si>
  <si>
    <t>9789865663872</t>
  </si>
  <si>
    <t>羅賓森英譯，楚荷中譯</t>
  </si>
  <si>
    <t>141.12</t>
  </si>
  <si>
    <t>論語講義</t>
  </si>
  <si>
    <t>9789865663889</t>
  </si>
  <si>
    <t>李里</t>
  </si>
  <si>
    <t>121.222</t>
  </si>
  <si>
    <t>寶塚歌劇團研究</t>
  </si>
  <si>
    <t>9789865663810</t>
  </si>
  <si>
    <t>鄒慕晨</t>
  </si>
  <si>
    <t>981.2</t>
  </si>
  <si>
    <t>一本搞定！生活越南語脫口說【有聲】</t>
  </si>
  <si>
    <t>9789862484364</t>
  </si>
  <si>
    <t>陳燕麗，王一煥</t>
  </si>
  <si>
    <t>803.7988</t>
  </si>
  <si>
    <t>完全潛入！日本生活會話手記</t>
  </si>
  <si>
    <t>9789862484005</t>
  </si>
  <si>
    <t>關口剛司，王世和</t>
  </si>
  <si>
    <t>法國波爾多頂級酒莊巡禮〈2014 版〉</t>
  </si>
  <si>
    <t>9789862484227</t>
  </si>
  <si>
    <t>鍾茂楨</t>
  </si>
  <si>
    <t>463.814</t>
  </si>
  <si>
    <t>靈驗2‧我在人間發現拜拜真正的力量</t>
  </si>
  <si>
    <t>9789866191794</t>
  </si>
  <si>
    <t>顛覆視界：穿越印度、古巴、中東迷霧，打開被主流媒體遮蔽的國際觀</t>
  </si>
  <si>
    <t>9789869125475</t>
  </si>
  <si>
    <t>林志昊</t>
  </si>
  <si>
    <t>578.1</t>
  </si>
  <si>
    <t>3天搞懂外幣投資：跟著外幣致富，打敗定存，資產不縮水</t>
  </si>
  <si>
    <t>9789862484012</t>
  </si>
  <si>
    <t>梁亦鴻</t>
  </si>
  <si>
    <t>台南風格私旅II：閱讀一座城</t>
  </si>
  <si>
    <t>9789862483893</t>
  </si>
  <si>
    <t>林士棻</t>
  </si>
  <si>
    <t>旅遊日語帶著走</t>
  </si>
  <si>
    <t>9789862484296</t>
  </si>
  <si>
    <t>新北風格私旅：樂遊繽紛活力城</t>
  </si>
  <si>
    <t>9789862484128</t>
  </si>
  <si>
    <t>韓小蒂，李麗文，周培文</t>
  </si>
  <si>
    <t>中華民國一百騙：你有所不知的真正精彩一百</t>
  </si>
  <si>
    <t>9789578017528</t>
  </si>
  <si>
    <t>前衛出版社</t>
  </si>
  <si>
    <t>黃文雄</t>
  </si>
  <si>
    <t>628</t>
  </si>
  <si>
    <t>入菩薩行衍義</t>
  </si>
  <si>
    <t>9789578818422</t>
  </si>
  <si>
    <t>諦聽文化事業有限公司</t>
  </si>
  <si>
    <t>如石法師</t>
  </si>
  <si>
    <t>222.12</t>
  </si>
  <si>
    <t>入菩薩行</t>
  </si>
  <si>
    <t>9578818224</t>
  </si>
  <si>
    <t>寂天</t>
  </si>
  <si>
    <t>2019</t>
  </si>
  <si>
    <t>222.1</t>
  </si>
  <si>
    <t>入菩薩行譯注</t>
  </si>
  <si>
    <t>9578818173</t>
  </si>
  <si>
    <t>國貿B‧C‧S‧英語：A咖國貿人</t>
  </si>
  <si>
    <t>9789869145831</t>
  </si>
  <si>
    <t>施美怡</t>
  </si>
  <si>
    <t>擺脫辦公室卡卡英文：那些年你「會」，但「不會」用的英語，22堂全職業適用英文課</t>
  </si>
  <si>
    <t>9789869145848</t>
  </si>
  <si>
    <t>邱佳翔</t>
  </si>
  <si>
    <t>聽新多益Part 5，第一次就拿閱讀高分</t>
  </si>
  <si>
    <t>9789869145855</t>
  </si>
  <si>
    <t>一學就會的英檢口說高分術：10─60歲都適用的四週英語口說課！【有聲】</t>
  </si>
  <si>
    <t>9789869145879</t>
  </si>
  <si>
    <t>常安陸</t>
  </si>
  <si>
    <t>王丹獄中回憶錄</t>
  </si>
  <si>
    <t>9789868888722</t>
  </si>
  <si>
    <t>渠成文化</t>
  </si>
  <si>
    <t>王丹</t>
  </si>
  <si>
    <t>愛在轉瞬間：見證愛與勇氣的潔希日記</t>
  </si>
  <si>
    <t>9789869052214</t>
  </si>
  <si>
    <t>匠心文化創意行銷有限公司</t>
  </si>
  <si>
    <t>鍾潔希</t>
  </si>
  <si>
    <t>夜未央</t>
  </si>
  <si>
    <t>9789868954670</t>
  </si>
  <si>
    <t>一人出版社</t>
  </si>
  <si>
    <t>史考特‧費茲傑羅〈F. Scott Fitzgerald〉</t>
  </si>
  <si>
    <t>晚安晚安</t>
  </si>
  <si>
    <t>9789868954663</t>
  </si>
  <si>
    <t>陸穎魚</t>
  </si>
  <si>
    <t>桃花一朵</t>
  </si>
  <si>
    <t>9789578818408</t>
  </si>
  <si>
    <t>飛天</t>
  </si>
  <si>
    <t>郵政專家陳金城老師開講：郵政法規〈營運職/職階晉升/升資〉</t>
  </si>
  <si>
    <t>9789863743217</t>
  </si>
  <si>
    <t>陳金城〈陳鴻慶〉</t>
  </si>
  <si>
    <t>557.61</t>
  </si>
  <si>
    <t>郵政專家陳金城老師開講：郵政法規〈內勤〉</t>
  </si>
  <si>
    <t>9789863743064</t>
  </si>
  <si>
    <t>勝出！英文主題式題庫┼歷年試題</t>
  </si>
  <si>
    <t>9789863743088</t>
  </si>
  <si>
    <t>絕對上榜！領隊證照輕鬆考〈含領隊實務一、二、觀光資源概要〉</t>
  </si>
  <si>
    <t>9789863743019</t>
  </si>
  <si>
    <t>吳瑞峰，林俐，邱燁，陳祥</t>
  </si>
  <si>
    <t>860</t>
  </si>
  <si>
    <t>絕對上榜！領隊常考題型特訓</t>
  </si>
  <si>
    <t>9789863743125</t>
  </si>
  <si>
    <t>導遊實務〈一〉分類題庫</t>
  </si>
  <si>
    <t>9789863743187</t>
  </si>
  <si>
    <t>導遊實務〈二〉分類題庫</t>
  </si>
  <si>
    <t>9789863743286</t>
  </si>
  <si>
    <t>領隊實務〈一〉分類題庫</t>
  </si>
  <si>
    <t>9789863743408</t>
  </si>
  <si>
    <t>領隊實務〈二〉分類題庫</t>
  </si>
  <si>
    <t>9789863743132</t>
  </si>
  <si>
    <t>台灣節日的由來</t>
  </si>
  <si>
    <t>EBK1020000912</t>
  </si>
  <si>
    <t>高沛瑩，高沛瑜</t>
  </si>
  <si>
    <t>802.183</t>
  </si>
  <si>
    <t>一隻貓の生活意見之不要和地球人一般見識</t>
  </si>
  <si>
    <t>9789869025508</t>
  </si>
  <si>
    <t>十字星球文創社</t>
  </si>
  <si>
    <t>魏棻卿</t>
  </si>
  <si>
    <t>為愛飛行：飛越絕境，戒治心靈毒癮的30堂生命課</t>
  </si>
  <si>
    <t>9789869025539</t>
  </si>
  <si>
    <t>劉昊，林雲敏口述，魏棻卿，梁家芝採訪撰述</t>
  </si>
  <si>
    <t>慢慢走，讓你的靈魂跟上你：勇敢認回自己的40個日常覺醒</t>
  </si>
  <si>
    <t>9789869025522</t>
  </si>
  <si>
    <t>幸福不在於你能左右多少，而是有多少在你左右：發現幸福的11堂練習課</t>
  </si>
  <si>
    <t>9789869025515</t>
  </si>
  <si>
    <t>網路自由e學園：Google百寶箱</t>
  </si>
  <si>
    <t>9789868948068</t>
  </si>
  <si>
    <t>誰說你在寫錯別字？！</t>
  </si>
  <si>
    <t>9789869130806</t>
  </si>
  <si>
    <t>中文趣工作室</t>
  </si>
  <si>
    <t>洗竹</t>
  </si>
  <si>
    <t>802.29</t>
  </si>
  <si>
    <t>心的旅程</t>
  </si>
  <si>
    <t>9789866089466</t>
  </si>
  <si>
    <t>冠唐國際圖書股份有限公司</t>
  </si>
  <si>
    <t>陳昭坤</t>
  </si>
  <si>
    <t>讓潛意識說話：催眠治療入門</t>
  </si>
  <si>
    <t>9789863570035</t>
  </si>
  <si>
    <t>趙家琛，張忠勛</t>
  </si>
  <si>
    <t>175.8</t>
  </si>
  <si>
    <t>29個溫暖人心的英文心靈雞湯</t>
  </si>
  <si>
    <t>EBK1020000922</t>
  </si>
  <si>
    <t>超媒體編輯部</t>
  </si>
  <si>
    <t>874.6</t>
  </si>
  <si>
    <t>Android超級無敵玩家攻略</t>
  </si>
  <si>
    <t>EBK1020000923</t>
  </si>
  <si>
    <t>上班族由零開始無痛苦活學活用Excel函數</t>
  </si>
  <si>
    <t>EBK1020000925</t>
  </si>
  <si>
    <t>品味調酒速學達人</t>
  </si>
  <si>
    <t>EBK1020000930</t>
  </si>
  <si>
    <t>健康！預防慢性病必看飲食全書</t>
  </si>
  <si>
    <t>EBK1020000937</t>
  </si>
  <si>
    <t>429.3</t>
  </si>
  <si>
    <t>電腦超活用實戰達人，至醒免費軟體滿載！</t>
  </si>
  <si>
    <t>EBK1020000941</t>
  </si>
  <si>
    <t>賺人熱淚的狗狗故事，絕對撼動人心</t>
  </si>
  <si>
    <t>EBK1020000945</t>
  </si>
  <si>
    <t>地區創新：十八益人</t>
  </si>
  <si>
    <t>9789881301727</t>
  </si>
  <si>
    <t>林子傑，言論自由行</t>
  </si>
  <si>
    <t>546</t>
  </si>
  <si>
    <t>無夢書：你不知道的中國回憶</t>
  </si>
  <si>
    <t>9789881301734</t>
  </si>
  <si>
    <t>嚴亢泰</t>
  </si>
  <si>
    <t>782</t>
  </si>
  <si>
    <t>Anything is possible：365天慢活的日子</t>
  </si>
  <si>
    <t>9789868588097</t>
  </si>
  <si>
    <t>林雯莉</t>
  </si>
  <si>
    <t>巨星不落‧林家聲紀念集</t>
  </si>
  <si>
    <t>22243054_201508</t>
  </si>
  <si>
    <t>懿津企業有限公司</t>
  </si>
  <si>
    <t>廖妙薇</t>
  </si>
  <si>
    <t>將來的你，會感恩現在永不放棄的自己</t>
  </si>
  <si>
    <t>9789863900580</t>
  </si>
  <si>
    <t>每天存一點競爭力，從練習好情緒開始</t>
  </si>
  <si>
    <t>9789869137997</t>
  </si>
  <si>
    <t>米蘭達</t>
  </si>
  <si>
    <t>愛與自由1：家族治療大師瑪莉亞‧葛莫莉〈典藏版〉</t>
  </si>
  <si>
    <t>9789576938511</t>
  </si>
  <si>
    <t>瑪莉亞‧葛莫利〈Maria Gomori〉</t>
  </si>
  <si>
    <t>784.428</t>
  </si>
  <si>
    <t>大象在屋裡：薩提爾模式家族治療實錄1</t>
  </si>
  <si>
    <t>9789576938214</t>
  </si>
  <si>
    <t>越過河與你相遇：薩提爾模式家族治療實錄2</t>
  </si>
  <si>
    <t>9789576938221</t>
  </si>
  <si>
    <t>來自天地的感動</t>
  </si>
  <si>
    <t>9789576938542</t>
  </si>
  <si>
    <t>約瑟夫‧柯內爾〈Joseph Bharat Cornell〉</t>
  </si>
  <si>
    <t>172.83</t>
  </si>
  <si>
    <t>幸福的熟年音樂養生書</t>
  </si>
  <si>
    <t>9789576938528</t>
  </si>
  <si>
    <t>李明蒨</t>
  </si>
  <si>
    <t>910.7</t>
  </si>
  <si>
    <t>登峰：一堂改變生命、探索世界的行動領導課</t>
  </si>
  <si>
    <t>9789869034364</t>
  </si>
  <si>
    <t>格子外面文化事業有限公司</t>
  </si>
  <si>
    <t>謝智謀</t>
  </si>
  <si>
    <t>台灣人力資源管理與組織行為研究回顧</t>
  </si>
  <si>
    <t>9789869080804</t>
  </si>
  <si>
    <t>吳宗祐，林惠彥，陸洛等</t>
  </si>
  <si>
    <t>494.3</t>
  </si>
  <si>
    <t>「好同學」被領導，「壞同學」當領導</t>
  </si>
  <si>
    <t>9789866152795</t>
  </si>
  <si>
    <t>蘇建軍</t>
  </si>
  <si>
    <t>一按見效：吳中朝教你按出自癒力與免疫力</t>
  </si>
  <si>
    <t>9789866152832</t>
  </si>
  <si>
    <t>吳中朝</t>
  </si>
  <si>
    <t>413.915</t>
  </si>
  <si>
    <t>不生氣</t>
  </si>
  <si>
    <t>9789866152757</t>
  </si>
  <si>
    <t>李禮文</t>
  </si>
  <si>
    <t>台灣好食在：尚好呷ㄟ101 味</t>
  </si>
  <si>
    <t>9789866152856</t>
  </si>
  <si>
    <t>陳頌欣</t>
  </si>
  <si>
    <t>吃出健康：聰明女人必讀的健康營養書</t>
  </si>
  <si>
    <t>9789866152764</t>
  </si>
  <si>
    <t>李瑾華</t>
  </si>
  <si>
    <t>自製健康天然面膜大全：清潔、保溼、除痘、美白、緊緻五部曲，打造無齡美肌膜力</t>
  </si>
  <si>
    <t>9789866152801</t>
  </si>
  <si>
    <t>何瓊</t>
  </si>
  <si>
    <t>你心裡的魔鬼與天使：正向思考的力量</t>
  </si>
  <si>
    <t>9789866152894</t>
  </si>
  <si>
    <t>徐磊瑄，高建成</t>
  </si>
  <si>
    <t>改變中國的一千個瞬間2：隋唐時期─滿清皇朝</t>
  </si>
  <si>
    <t>9789866234651</t>
  </si>
  <si>
    <t>朴玉銘</t>
  </si>
  <si>
    <t>改變你一生的九型人格相談室：心理學家不會教你的自我特質開發與提昇的9堂課</t>
  </si>
  <si>
    <t>9789866152818</t>
  </si>
  <si>
    <t>中原</t>
  </si>
  <si>
    <t>放歌縱酒話盛唐：詩聖杜甫的鎏金歲月</t>
  </si>
  <si>
    <t>9789866234606</t>
  </si>
  <si>
    <t>鄧榮坤</t>
  </si>
  <si>
    <t>782.8415</t>
  </si>
  <si>
    <t>南洲翁遺訓：稻盛和夫最推崇的人生經營智慧</t>
  </si>
  <si>
    <t>9789866152672</t>
  </si>
  <si>
    <t>王光波</t>
  </si>
  <si>
    <t>逆風飛翔：22歲後要擁有的45個黃金心態</t>
  </si>
  <si>
    <t>9789866152641</t>
  </si>
  <si>
    <t>韓冰</t>
  </si>
  <si>
    <t>骨牌效應：成功與失敗的距離0‧01mm</t>
  </si>
  <si>
    <t>9789866152665</t>
  </si>
  <si>
    <t>黃瑞德</t>
  </si>
  <si>
    <t>情報戰爭：行動網路時代企業成功密碼</t>
  </si>
  <si>
    <t>9789866152603</t>
  </si>
  <si>
    <t>雷雨</t>
  </si>
  <si>
    <t>這樣的日子，挺好！</t>
  </si>
  <si>
    <t>9789866152931</t>
  </si>
  <si>
    <t>麥潔芳</t>
  </si>
  <si>
    <t>就定位：屁股管理學</t>
  </si>
  <si>
    <t>9789866152719</t>
  </si>
  <si>
    <t>王祥瑞</t>
  </si>
  <si>
    <t>進退之間</t>
  </si>
  <si>
    <t>9789866152948</t>
  </si>
  <si>
    <t>話不投機半句多：30歲前一定要學會的99種說話技巧〈全新修訂版〉</t>
  </si>
  <si>
    <t>9789865719340</t>
  </si>
  <si>
    <t>日檢N4應考對策【有聲】</t>
  </si>
  <si>
    <t>9789862484678</t>
  </si>
  <si>
    <t>中國文化大學日本語文學系，中國文化大學推廣部，蔡豐琪</t>
  </si>
  <si>
    <t>日檢N5應考對策【有聲】</t>
  </si>
  <si>
    <t>9789862484685</t>
  </si>
  <si>
    <t>用台灣好物，過幸福生活</t>
  </si>
  <si>
    <t>9789866408489</t>
  </si>
  <si>
    <t>原點出版</t>
  </si>
  <si>
    <t>原點編輯部</t>
  </si>
  <si>
    <t>960</t>
  </si>
  <si>
    <t>住進光與影的家：從清水模出發，擁有簡約自然的好感住宅</t>
  </si>
  <si>
    <t>9789866408380</t>
  </si>
  <si>
    <t>923.33</t>
  </si>
  <si>
    <t>居家聰明設計101：小坪數最需要，舒適宅不能缺，一物多功少裝潢，好用又省錢！</t>
  </si>
  <si>
    <t>9789866408823</t>
  </si>
  <si>
    <t>441.53</t>
  </si>
  <si>
    <t>戀愛成就</t>
  </si>
  <si>
    <t>9789865657031</t>
  </si>
  <si>
    <t>張維中</t>
  </si>
  <si>
    <t>百年好店：永遠活跳跳的好味‧好物‧好店‧好街與好感心</t>
  </si>
  <si>
    <t>9789866408366</t>
  </si>
  <si>
    <t>蔣孟岑，吳思瑩，江明麗</t>
  </si>
  <si>
    <t>489.0933</t>
  </si>
  <si>
    <t>360度夢見夏卡爾</t>
  </si>
  <si>
    <t>9789866408335</t>
  </si>
  <si>
    <t>鄭治桂，黃茜芳</t>
  </si>
  <si>
    <t>940.9948</t>
  </si>
  <si>
    <t>360度愛上莫內</t>
  </si>
  <si>
    <t>9789866408359</t>
  </si>
  <si>
    <t>鄭治桂，鄭麗卿</t>
  </si>
  <si>
    <t>940.9942</t>
  </si>
  <si>
    <t>TED最撼動演說101</t>
  </si>
  <si>
    <t>9789866408953</t>
  </si>
  <si>
    <t>TEDxTaipei 許毓仁</t>
  </si>
  <si>
    <t>078</t>
  </si>
  <si>
    <t>和舒皮一起愛手作、繪生活</t>
  </si>
  <si>
    <t>9789865657017</t>
  </si>
  <si>
    <t>舒皮〈SOUPY TANG〉</t>
  </si>
  <si>
    <t>解決居家的100個煩惱：從設計到設備，從收納到去污，達人總動員，幫你搞定居家心頭痛</t>
  </si>
  <si>
    <t>9789866408717</t>
  </si>
  <si>
    <t>李佳芳，魏賓千，李寶怡</t>
  </si>
  <si>
    <t>裝修前、裝修後，無毒家一本通: 甲醛、粉塵、壁癌、輻射大退散，裝修毒害不入屋！</t>
  </si>
  <si>
    <t>9789866408922</t>
  </si>
  <si>
    <t>原點編輯部，蔡明達博士</t>
  </si>
  <si>
    <t>422.9</t>
  </si>
  <si>
    <t>女巫阿娥的超萬能手工皂：良心皂幫大忙，洗頭洗澡、洗碗洗衫、拯救敏感、問題肌，超乎你想像！</t>
  </si>
  <si>
    <t>9789866408977</t>
  </si>
  <si>
    <t>阿娥</t>
  </si>
  <si>
    <t>466.4</t>
  </si>
  <si>
    <t>厲害！別小看系統家具：設計師推薦愛用，廠商、櫃款、五金板材，從預算到驗收一次給足</t>
  </si>
  <si>
    <t>9789865657086</t>
  </si>
  <si>
    <t>967.5</t>
  </si>
  <si>
    <t>觀光日語易學通【有聲】</t>
  </si>
  <si>
    <t>9789865972745</t>
  </si>
  <si>
    <t>哈福企業有限公司</t>
  </si>
  <si>
    <t>朱讌欣，渡邊由里</t>
  </si>
  <si>
    <t>我的第一本泰語會話【有聲】</t>
  </si>
  <si>
    <t>9789865972738</t>
  </si>
  <si>
    <t>施明威</t>
  </si>
  <si>
    <t>最新自助旅行英語【有聲】</t>
  </si>
  <si>
    <t>9789865972752</t>
  </si>
  <si>
    <t>施孝昌，Ester B‧ Dumapi</t>
  </si>
  <si>
    <t>圖解6天學會KK音標、自然發音 【有聲】</t>
  </si>
  <si>
    <t>9789865972813</t>
  </si>
  <si>
    <t>張瑪麗，陳凱莉</t>
  </si>
  <si>
    <t>到日本玩：自助旅行日語【有聲】</t>
  </si>
  <si>
    <t>9789865972837</t>
  </si>
  <si>
    <t>3分鐘立即說泰語【有聲】</t>
  </si>
  <si>
    <t>9789865972844</t>
  </si>
  <si>
    <t>陳依僑，ไพโรจน์ อักษรเสือ</t>
  </si>
  <si>
    <t>一考就上：N3單字速成【有聲】</t>
  </si>
  <si>
    <t>9789865972875</t>
  </si>
  <si>
    <t>哈福日檢團隊</t>
  </si>
  <si>
    <t>圖解：我的第一本越南語會話【有聲】</t>
  </si>
  <si>
    <t>9789865972905</t>
  </si>
  <si>
    <t>陳依僑，Nguyen Kim Nga</t>
  </si>
  <si>
    <t>到韓國玩：自助旅行韓語【有聲】</t>
  </si>
  <si>
    <t>9789865972912</t>
  </si>
  <si>
    <t>林大君，朴永美</t>
  </si>
  <si>
    <t>我的第一本印尼語會話【有聲】</t>
  </si>
  <si>
    <t>9789865972936</t>
  </si>
  <si>
    <t>施明威，SARI LASMINI</t>
  </si>
  <si>
    <t>803.9188</t>
  </si>
  <si>
    <t>日本人天天說生活日語【有聲】</t>
  </si>
  <si>
    <t>9789865972967</t>
  </si>
  <si>
    <t>3分鐘立即說廣東話【有聲】</t>
  </si>
  <si>
    <t>9789865616168</t>
  </si>
  <si>
    <t>施銘瑋</t>
  </si>
  <si>
    <t>802.52338</t>
  </si>
  <si>
    <t>日語發音快速入門【有聲】</t>
  </si>
  <si>
    <t>9789865616175</t>
  </si>
  <si>
    <t>803.1134</t>
  </si>
  <si>
    <t>偷吃步！溜日語，中文就行了【有聲】</t>
  </si>
  <si>
    <t>9789865616199</t>
  </si>
  <si>
    <t>林小瑜，渡邊由里</t>
  </si>
  <si>
    <t>偷吃步！溜英語，中文就行了【有聲】</t>
  </si>
  <si>
    <t>9789865616182</t>
  </si>
  <si>
    <t>陳依僑，Rose White</t>
  </si>
  <si>
    <t>血戰瓦魯班：對日抗戰國軍裝甲，兵緬北瓦魯班戰鬥</t>
  </si>
  <si>
    <t>9789868903678</t>
  </si>
  <si>
    <t>老戰友工作室</t>
  </si>
  <si>
    <t>滕昕雲</t>
  </si>
  <si>
    <t>595</t>
  </si>
  <si>
    <t>5D逆齡拉提術：多元活膚緊實達人</t>
  </si>
  <si>
    <t>9789869158336</t>
  </si>
  <si>
    <t>盧杰明</t>
  </si>
  <si>
    <t>見證蝦紅素：你的健康密碼</t>
  </si>
  <si>
    <t>9789869158305</t>
  </si>
  <si>
    <t>王渝中</t>
  </si>
  <si>
    <t>這樣吃，可以對抗癌症</t>
  </si>
  <si>
    <t>9789869158343</t>
  </si>
  <si>
    <t>于康，石漢平</t>
  </si>
  <si>
    <t>這樣吃能補腎</t>
  </si>
  <si>
    <t>9789869158329</t>
  </si>
  <si>
    <t>柴瑞震</t>
  </si>
  <si>
    <t>415.81</t>
  </si>
  <si>
    <t>活著，就該珍惜</t>
  </si>
  <si>
    <t>9789864110100</t>
  </si>
  <si>
    <t>問題解決了嗎？：讓庸才變天才的管理技術</t>
  </si>
  <si>
    <t>9789864530014</t>
  </si>
  <si>
    <t>生命中最棒的時光：130個關於愛的故事</t>
  </si>
  <si>
    <t>9789864530021</t>
  </si>
  <si>
    <t>羅惠娟</t>
  </si>
  <si>
    <t>生命中最棒的時光2：165個分享智慧的故事</t>
  </si>
  <si>
    <t>9789864530052</t>
  </si>
  <si>
    <t>史上最強日檢N2文法+單字精選模擬試題</t>
  </si>
  <si>
    <t>9789865753306</t>
  </si>
  <si>
    <t>JAPAN最道地生活日語【有聲】</t>
  </si>
  <si>
    <t>9789865753429</t>
  </si>
  <si>
    <t>803</t>
  </si>
  <si>
    <t>我的菜日文：生活會話篇【有聲】</t>
  </si>
  <si>
    <t>9789865753443</t>
  </si>
  <si>
    <t>人性厚黑心理學〈攜帶版〉</t>
  </si>
  <si>
    <t>9789865808815</t>
  </si>
  <si>
    <t>李俊嘉</t>
  </si>
  <si>
    <t>照照鏡子吧！從面相瞭解自己的運勢</t>
  </si>
  <si>
    <t>9789865819651</t>
  </si>
  <si>
    <t>陳德安</t>
  </si>
  <si>
    <t>293.21</t>
  </si>
  <si>
    <t>過目不忘：培養孩子理解能力的記憶遊戲</t>
  </si>
  <si>
    <t>9789865819767</t>
  </si>
  <si>
    <t>李元瑞</t>
  </si>
  <si>
    <t>物理七十二變：開水中游泳的金魚</t>
  </si>
  <si>
    <t>9789865819781</t>
  </si>
  <si>
    <t>石頭為什麼蹦蹦跳：我的第一本趣味地理人文故事</t>
  </si>
  <si>
    <t>9789865819798</t>
  </si>
  <si>
    <t>718.5</t>
  </si>
  <si>
    <t>真相不只一個：世紀文學大師精選輯</t>
  </si>
  <si>
    <t>9789865819804</t>
  </si>
  <si>
    <t>鐘雙玲</t>
  </si>
  <si>
    <t>813.7</t>
  </si>
  <si>
    <t>自信的勇氣</t>
  </si>
  <si>
    <t>9789865862633</t>
  </si>
  <si>
    <t>沈依潔</t>
  </si>
  <si>
    <t>我與狼少年的魔幻任務</t>
  </si>
  <si>
    <t>9789865862640</t>
  </si>
  <si>
    <t>859</t>
  </si>
  <si>
    <t>用走的去跳舞</t>
  </si>
  <si>
    <t>9789869133630</t>
  </si>
  <si>
    <t>鄧九雲</t>
  </si>
  <si>
    <t>杜斯妥也夫柯基：人類與動物情感表達</t>
  </si>
  <si>
    <t>9789869142335</t>
  </si>
  <si>
    <t>蔡琳森</t>
  </si>
  <si>
    <t>大亨小傳</t>
  </si>
  <si>
    <t>9789865671594</t>
  </si>
  <si>
    <t>傲慢與偏見</t>
  </si>
  <si>
    <t>9789865671655</t>
  </si>
  <si>
    <t>珍‧奧斯汀〈Jane Austen〉</t>
  </si>
  <si>
    <t>873.57</t>
  </si>
  <si>
    <t>格林童話：故事大師普曼獻給大人與孩子的53篇雋永童話</t>
  </si>
  <si>
    <t>9789865671525</t>
  </si>
  <si>
    <t>菲力普‧普曼〈Philip Pullman〉</t>
  </si>
  <si>
    <t>食物安全就要這樣吃</t>
  </si>
  <si>
    <t>9789863730576</t>
  </si>
  <si>
    <t>411.3026</t>
  </si>
  <si>
    <t>情境實戰英語會話【有聲】</t>
  </si>
  <si>
    <t>9789863730927</t>
  </si>
  <si>
    <t>張耀仁</t>
  </si>
  <si>
    <t>523.318</t>
  </si>
  <si>
    <t>手作餅乾零失敗</t>
  </si>
  <si>
    <t>9789863731030</t>
  </si>
  <si>
    <t>吳金燕</t>
  </si>
  <si>
    <t>魚料理美味多樣</t>
  </si>
  <si>
    <t>9789863731047</t>
  </si>
  <si>
    <t>郭泰王，王人豪</t>
  </si>
  <si>
    <t>427.252</t>
  </si>
  <si>
    <t>健康食物排行榜</t>
  </si>
  <si>
    <t>9789863730941</t>
  </si>
  <si>
    <t>健康養生堂編委會</t>
  </si>
  <si>
    <t>100種水果營養圖典</t>
  </si>
  <si>
    <t>9789863731054</t>
  </si>
  <si>
    <t>全民英檢中高級單字帶著走</t>
  </si>
  <si>
    <t>9789863731160</t>
  </si>
  <si>
    <t>Jim Foster，Christine Webb</t>
  </si>
  <si>
    <t>500種醬料大全</t>
  </si>
  <si>
    <t>9789863731313</t>
  </si>
  <si>
    <t>王景茹，陳鴻源，倪心儀等</t>
  </si>
  <si>
    <t>427.61</t>
  </si>
  <si>
    <t>特效降血糖食物排行</t>
  </si>
  <si>
    <t>9789863730507</t>
  </si>
  <si>
    <t>415.668</t>
  </si>
  <si>
    <t>豆漿雜糧粥養生事典</t>
  </si>
  <si>
    <t>9789863731122</t>
  </si>
  <si>
    <t>瘦身食物保健事典</t>
  </si>
  <si>
    <t>9789863731016</t>
  </si>
  <si>
    <t>五色蔬果對症食療</t>
  </si>
  <si>
    <t>9789863731023</t>
  </si>
  <si>
    <t>414.1213</t>
  </si>
  <si>
    <t>吃對食物降血糖</t>
  </si>
  <si>
    <t>9789863730316</t>
  </si>
  <si>
    <t>何一成</t>
  </si>
  <si>
    <t>彩虹蔬果健康飲食法</t>
  </si>
  <si>
    <t>9789863731214</t>
  </si>
  <si>
    <t>蕭千祐</t>
  </si>
  <si>
    <t>我愛吃自己做的麵包</t>
  </si>
  <si>
    <t>9789863731108</t>
  </si>
  <si>
    <t>黎國雄</t>
  </si>
  <si>
    <t>中藥材養生密碼</t>
  </si>
  <si>
    <t>9789863731221</t>
  </si>
  <si>
    <t>陳世峰</t>
  </si>
  <si>
    <t>414.3</t>
  </si>
  <si>
    <t>美味蛋料理</t>
  </si>
  <si>
    <t>9789863731252</t>
  </si>
  <si>
    <t>陳彥志</t>
  </si>
  <si>
    <t>427.26</t>
  </si>
  <si>
    <t>健身教練118種技巧肌力訓練法</t>
  </si>
  <si>
    <t>9789863731429</t>
  </si>
  <si>
    <t>趙鍵</t>
  </si>
  <si>
    <t>528.923</t>
  </si>
  <si>
    <t>超級排毒食物排行榜</t>
  </si>
  <si>
    <t>9789863731580</t>
  </si>
  <si>
    <t>武媚娘傳奇：政啟開元治宏貞觀，芳流劍閣光被利州</t>
  </si>
  <si>
    <t>9789863731559</t>
  </si>
  <si>
    <t>池墨</t>
  </si>
  <si>
    <t>624.13</t>
  </si>
  <si>
    <t>吃對食物清腸又排毒</t>
  </si>
  <si>
    <t>9789863730996</t>
  </si>
  <si>
    <t>廚房新手做菜竅門</t>
  </si>
  <si>
    <t>9789863731320</t>
  </si>
  <si>
    <t>康鑑編輯部</t>
  </si>
  <si>
    <t>427.8022</t>
  </si>
  <si>
    <t>我的14封遺書與13場神遇</t>
  </si>
  <si>
    <t>9789863731634</t>
  </si>
  <si>
    <t>蔡稀尹</t>
  </si>
  <si>
    <t>新多益單字這樣記最有效：基礎篇【有聲】</t>
  </si>
  <si>
    <t>9789863731672</t>
  </si>
  <si>
    <t>董春磊</t>
  </si>
  <si>
    <t>新多益單字這樣記最有效：實戰篇【有聲】</t>
  </si>
  <si>
    <t>9789863731900</t>
  </si>
  <si>
    <t>流行風玻璃罐沙拉</t>
  </si>
  <si>
    <t>4715443027465</t>
  </si>
  <si>
    <t>康鑑文化</t>
  </si>
  <si>
    <t>吳志慶</t>
  </si>
  <si>
    <t>360度感覺雷諾瓦</t>
  </si>
  <si>
    <t>9789866408762</t>
  </si>
  <si>
    <t>鄭治桂，林韻丰</t>
  </si>
  <si>
    <t>這様隔間，不後悔</t>
  </si>
  <si>
    <t>9789866408731</t>
  </si>
  <si>
    <t>當然也不是都那麼OK</t>
  </si>
  <si>
    <t>9789869166065</t>
  </si>
  <si>
    <t>路嘉怡</t>
  </si>
  <si>
    <t>544.3</t>
  </si>
  <si>
    <t>辭職旅行的意義：拉丁美洲的感動，讓自己進化成更好的人</t>
  </si>
  <si>
    <t>9789869105293</t>
  </si>
  <si>
    <t>上田莉棋</t>
  </si>
  <si>
    <t>754.8</t>
  </si>
  <si>
    <t>歡迎光臨紐約大蘋果遊樂園：獻給創意人的靈感城市旅行</t>
  </si>
  <si>
    <t>9789869166041</t>
  </si>
  <si>
    <t>鄧晴文</t>
  </si>
  <si>
    <t>752.71719</t>
  </si>
  <si>
    <t>為青春出發！！馬克x瑪麗的歐遊點點點</t>
  </si>
  <si>
    <t>9789869166072</t>
  </si>
  <si>
    <t>馬克，瑪麗</t>
  </si>
  <si>
    <t>744.09</t>
  </si>
  <si>
    <t>行動小廚房2：燜燒罐的養生指南</t>
  </si>
  <si>
    <t>9789869105286</t>
  </si>
  <si>
    <t>致！美好生活促進會</t>
  </si>
  <si>
    <t>行動小廚房3：燜燒罐的副食品指南</t>
  </si>
  <si>
    <t>9789869166058</t>
  </si>
  <si>
    <t>428.3</t>
  </si>
  <si>
    <t>生活用心點：張尚為的書法療癒學</t>
  </si>
  <si>
    <t>9789869148504</t>
  </si>
  <si>
    <t>歌‧再‧來</t>
  </si>
  <si>
    <t>9789869033428</t>
  </si>
  <si>
    <t>生命故事書：心塵微光</t>
  </si>
  <si>
    <t>9789869075176</t>
  </si>
  <si>
    <t>開學文化事業股份有限公司</t>
  </si>
  <si>
    <t>鄭美里</t>
  </si>
  <si>
    <t>783.31</t>
  </si>
  <si>
    <t>桶柑紅蘿蔓青：北投社大ㄕˊ農玩市集</t>
  </si>
  <si>
    <t>9789869132374</t>
  </si>
  <si>
    <t>陳藹文，北投社區大學</t>
  </si>
  <si>
    <t>498.7</t>
  </si>
  <si>
    <t>臺北不存在：走拍紀實</t>
  </si>
  <si>
    <t>9789869075138</t>
  </si>
  <si>
    <t>台北市松山社區大學紀實攝影─走拍新故鄉課程學員</t>
  </si>
  <si>
    <t>957.9</t>
  </si>
  <si>
    <t>最後一節車廂</t>
  </si>
  <si>
    <t>9789869177962</t>
  </si>
  <si>
    <t>謝予騰</t>
  </si>
  <si>
    <t>863.57</t>
  </si>
  <si>
    <t>舂辣椒的滋味：清境義民人群之認同內涵與變遷</t>
  </si>
  <si>
    <t>9789869132350</t>
  </si>
  <si>
    <t>吳秀雀</t>
  </si>
  <si>
    <t>541.292</t>
  </si>
  <si>
    <t>大稻埕的創新遊戲</t>
  </si>
  <si>
    <t>9789868926479</t>
  </si>
  <si>
    <t>CAMPOBAG</t>
  </si>
  <si>
    <t>545.0933</t>
  </si>
  <si>
    <t>公民社會</t>
  </si>
  <si>
    <t>9789868926424</t>
  </si>
  <si>
    <t>Michael Edwards</t>
  </si>
  <si>
    <t>541</t>
  </si>
  <si>
    <t>以平等為本的自由主義：德沃金法政哲學研究</t>
  </si>
  <si>
    <t>9789869075183</t>
  </si>
  <si>
    <t>謝世民</t>
  </si>
  <si>
    <t>在愛中看見你我：人格九型與親密關係</t>
  </si>
  <si>
    <t>9789869075107</t>
  </si>
  <si>
    <t>張波麗，佘玉珠</t>
  </si>
  <si>
    <t>那些年我們一起虧的老師</t>
  </si>
  <si>
    <t>9789869075121</t>
  </si>
  <si>
    <t>楊采菲</t>
  </si>
  <si>
    <t>856.8</t>
  </si>
  <si>
    <t>芳香療法應用與實務</t>
  </si>
  <si>
    <t>9789869075114</t>
  </si>
  <si>
    <t>張蓓貞</t>
  </si>
  <si>
    <t>413.165</t>
  </si>
  <si>
    <t>韋伯學說當代新詮</t>
  </si>
  <si>
    <t>9789868717398</t>
  </si>
  <si>
    <t>顧忠華</t>
  </si>
  <si>
    <t>540.2</t>
  </si>
  <si>
    <t>超釋韋伯百年智慧：理性化、官僚化與責任倫理</t>
  </si>
  <si>
    <t>9789868926417</t>
  </si>
  <si>
    <t>施路赫特〈Wolfgang Schluchter〉</t>
  </si>
  <si>
    <t>撞球檯邊的數學家：拉拉雜雜扯數學</t>
  </si>
  <si>
    <t>9789869177955</t>
  </si>
  <si>
    <t>黃敏晃</t>
  </si>
  <si>
    <t>學姐的園區工作日記</t>
  </si>
  <si>
    <t>9789869132312</t>
  </si>
  <si>
    <t>吳秋照，永和社大溼地生態工作隊</t>
  </si>
  <si>
    <t>367.8314</t>
  </si>
  <si>
    <t>幸福的美味店：幸福導向的餐飲經營</t>
  </si>
  <si>
    <t>9789866254376</t>
  </si>
  <si>
    <t>財團法人中國生產力中心</t>
  </si>
  <si>
    <t>中國生產力中心</t>
  </si>
  <si>
    <t>卓越經營績效評核技術手冊</t>
  </si>
  <si>
    <t>9789866254413</t>
  </si>
  <si>
    <t>494.56</t>
  </si>
  <si>
    <t>財會管理實務教戰手冊</t>
  </si>
  <si>
    <t>9789866254444</t>
  </si>
  <si>
    <t>495.4</t>
  </si>
  <si>
    <t>行銷輔導技術入門手冊：企業行銷力提升架構</t>
  </si>
  <si>
    <t>9789866254482</t>
  </si>
  <si>
    <t>創造顧客成功之道：超越顧客期待之創新與實踐</t>
  </si>
  <si>
    <t>9789866254475</t>
  </si>
  <si>
    <t>出版圈圈夢</t>
  </si>
  <si>
    <t>9789576395819</t>
  </si>
  <si>
    <t>隱地</t>
  </si>
  <si>
    <t>讀書會逛「臉書」</t>
  </si>
  <si>
    <t>9789576395918</t>
  </si>
  <si>
    <t>林貴真</t>
  </si>
  <si>
    <t>清晨的人</t>
  </si>
  <si>
    <t>9789576395840</t>
  </si>
  <si>
    <t>隱地看電影</t>
  </si>
  <si>
    <t>9789576395895</t>
  </si>
  <si>
    <t>散文隱地：隱地散文創作觀及其實踐</t>
  </si>
  <si>
    <t>9789576395710</t>
  </si>
  <si>
    <t>林雪香</t>
  </si>
  <si>
    <t>小說大夢─「年度文選」再會</t>
  </si>
  <si>
    <t>9789576395802</t>
  </si>
  <si>
    <t>857.61</t>
  </si>
  <si>
    <t>茉莉花在中國：鎮壓與迫害實錄〈上冊〉</t>
  </si>
  <si>
    <t>9789869177917</t>
  </si>
  <si>
    <t>華澤</t>
  </si>
  <si>
    <t>571.71</t>
  </si>
  <si>
    <t>茉莉花在中國：鎮壓與迫害實錄〈下冊〉</t>
  </si>
  <si>
    <t>9789869177924</t>
  </si>
  <si>
    <t>腎臟科名醫江守山教你逆轉腎：喝對水、慎防毒、控三高</t>
  </si>
  <si>
    <t>9789576967832</t>
  </si>
  <si>
    <t>幸福綠光股份有限公司</t>
  </si>
  <si>
    <t>江守山</t>
  </si>
  <si>
    <t>從此不再感冒：針對體質，治療兼預防，百毒不侵</t>
  </si>
  <si>
    <t>9789576967887</t>
  </si>
  <si>
    <t>楊素卿，黃宗瀚</t>
  </si>
  <si>
    <t>413.341</t>
  </si>
  <si>
    <t>神奇的生機排毒法，提升免疫力實用手冊〈見證與分享版〉</t>
  </si>
  <si>
    <t>9789576967894</t>
  </si>
  <si>
    <t>蔡慶豐，吳麗雲</t>
  </si>
  <si>
    <t>完全根治耳鼻喉疾病—眩暈、耳鳴、鼻過敏、咳嗽、打鼾：劉博仁醫師的營養療法奇蹟4</t>
  </si>
  <si>
    <t>9789576967931</t>
  </si>
  <si>
    <t>劉博仁</t>
  </si>
  <si>
    <t>416.8022</t>
  </si>
  <si>
    <t>無毒保健康2減法生活DIY：毒物專家教你終結黑心商品</t>
  </si>
  <si>
    <t>9789576967924</t>
  </si>
  <si>
    <t>陳修玲</t>
  </si>
  <si>
    <t>和風自然家in Taiwan：從MUJI到京都風，你能實現的日系住宅夢</t>
  </si>
  <si>
    <t>9789866408472</t>
  </si>
  <si>
    <t>李佳芳，劉繼珩，張華承等</t>
  </si>
  <si>
    <t>設計師x媒體x屋主：超完美裝修關係‧Vol‧2，為空間尋找出口</t>
  </si>
  <si>
    <t>9789869157605</t>
  </si>
  <si>
    <t>幸福空間編輯群</t>
  </si>
  <si>
    <t>友情與私利：一個在香港的日資百貨公司之民族誌</t>
  </si>
  <si>
    <t>9789864370344</t>
  </si>
  <si>
    <t>王向華</t>
  </si>
  <si>
    <t>498.5</t>
  </si>
  <si>
    <t>不煩躁、不吼罵，平和搞定孩子的壞習慣</t>
  </si>
  <si>
    <t>9789869222914</t>
  </si>
  <si>
    <t>共黨理論與中國大陸研究</t>
  </si>
  <si>
    <t>9789571608495</t>
  </si>
  <si>
    <t>李亞明，黃筱薌，吳恆宇等</t>
  </si>
  <si>
    <t>549.3</t>
  </si>
  <si>
    <t>神奇的冷壓蔬果汁：果汁淨化輕斷食，3 天喝出纖體美肌、身體自癒力！</t>
  </si>
  <si>
    <t>9789869141574</t>
  </si>
  <si>
    <t>果力文化</t>
  </si>
  <si>
    <t>何文君</t>
  </si>
  <si>
    <t>台大愛情故事 〈NTU Love Story〉</t>
  </si>
  <si>
    <t>4712771028959</t>
  </si>
  <si>
    <t>聽說愛情離開過 〈Lover left〉</t>
  </si>
  <si>
    <t>4712771028966</t>
  </si>
  <si>
    <t>德語名師教你學德語發音：德語發音快速入門【有聲】</t>
  </si>
  <si>
    <t>9789865972349</t>
  </si>
  <si>
    <t>平井佳年，Glen Muller</t>
  </si>
  <si>
    <t>805.241</t>
  </si>
  <si>
    <t>法語名師教你學法語發音：法語發音快速入門【有聲】</t>
  </si>
  <si>
    <t>9789865972356</t>
  </si>
  <si>
    <t>魏立言，Glen Muller</t>
  </si>
  <si>
    <t>804.541</t>
  </si>
  <si>
    <t>到德國玩：自助旅行德語【有聲】</t>
  </si>
  <si>
    <t>9789865972950</t>
  </si>
  <si>
    <t>805.288</t>
  </si>
  <si>
    <t>西語名師教你學西班牙語發音：西班牙語發音快速入門【有聲】</t>
  </si>
  <si>
    <t>9789865972332</t>
  </si>
  <si>
    <t>山川敏之，Felipe Gei</t>
  </si>
  <si>
    <t>804.471</t>
  </si>
  <si>
    <t>3分鐘立即說印尼語【有聲】</t>
  </si>
  <si>
    <t>9789868790216</t>
  </si>
  <si>
    <t>陳依僑，SARI LASMINI</t>
  </si>
  <si>
    <t>803.91188</t>
  </si>
  <si>
    <t>3分鐘立即說西班牙語</t>
  </si>
  <si>
    <t>9789865972820</t>
  </si>
  <si>
    <t>陳依僑,Felipe Gei</t>
  </si>
  <si>
    <t>804.788</t>
  </si>
  <si>
    <t>天堂沒有不快樂的毛小孩：55個真實故事，回覆你最牽掛的16個問題</t>
  </si>
  <si>
    <t>9789865623302</t>
  </si>
  <si>
    <t>橡實文化</t>
  </si>
  <si>
    <t>桑妮亞‧費茲派崔克〈Sonya Fitzpatrick〉</t>
  </si>
  <si>
    <t>437.111</t>
  </si>
  <si>
    <t>哈達瑜伽：練什麼？為何要練？怎麼練？瑜伽大師斯瓦米韋達告訴你</t>
  </si>
  <si>
    <t>9789865623319</t>
  </si>
  <si>
    <t>斯瓦米韋達‧帕若堤〈Swami Veda Bharati〉</t>
  </si>
  <si>
    <t>137.84</t>
  </si>
  <si>
    <t>為什麼讀書？偉大讀者的必然與非必然</t>
  </si>
  <si>
    <t>9789865623043</t>
  </si>
  <si>
    <t>夏爾‧丹齊格</t>
  </si>
  <si>
    <t>019.07</t>
  </si>
  <si>
    <t>好人怎麼會幹壞事？我們不願面對的隱性偏見</t>
  </si>
  <si>
    <t>9789865623104</t>
  </si>
  <si>
    <t>瑪札琳‧貝納基〈Mahzarin R‧ Banaji〉，安東尼‧格林華德〈Anthony G‧Greenwald〉</t>
  </si>
  <si>
    <t>173.71</t>
  </si>
  <si>
    <t>寵物通心術：62個通心術練習大公開</t>
  </si>
  <si>
    <t>9789866362620</t>
  </si>
  <si>
    <t>瑪塔‧威廉斯〈Marta Williams〉</t>
  </si>
  <si>
    <t>經絡拍打基本法：怎麼拍？拍哪裡？為什麼？</t>
  </si>
  <si>
    <t>9789865623289</t>
  </si>
  <si>
    <t>凡夫</t>
  </si>
  <si>
    <t>413.97</t>
  </si>
  <si>
    <t>算你好命：15分鐘抓住紫微四化能量，創造好命</t>
  </si>
  <si>
    <t>9789866362835</t>
  </si>
  <si>
    <t>王牧音</t>
  </si>
  <si>
    <t>293.11</t>
  </si>
  <si>
    <t>絕對上榜！導遊常考題型特訓</t>
  </si>
  <si>
    <t>9789863743378</t>
  </si>
  <si>
    <t>補教名師教你自學領隊導遊英文</t>
  </si>
  <si>
    <t>9789863743415</t>
  </si>
  <si>
    <t>張馨文</t>
  </si>
  <si>
    <t>導遊觀光資源概要分類題庫</t>
  </si>
  <si>
    <t>9789863743330</t>
  </si>
  <si>
    <t>陳書翊</t>
  </si>
  <si>
    <t>領隊觀光資源概要分類題庫</t>
  </si>
  <si>
    <t>9789863743712</t>
  </si>
  <si>
    <t>會計學【歷年試題┼模擬考】</t>
  </si>
  <si>
    <t>9789863743590</t>
  </si>
  <si>
    <t>495</t>
  </si>
  <si>
    <t>餐旅服務【歷年試題┼模擬考】</t>
  </si>
  <si>
    <t>9789863743538</t>
  </si>
  <si>
    <t>483</t>
  </si>
  <si>
    <t>英文閱讀與寫作【歷年試題┼模擬考】</t>
  </si>
  <si>
    <t>9789863743620</t>
  </si>
  <si>
    <t>劉似蓉</t>
  </si>
  <si>
    <t>國考大師教您看圖學會財政學〈含概要〉 【關務特考】</t>
  </si>
  <si>
    <t>9789863744054</t>
  </si>
  <si>
    <t>晚餐後，幸福的數學時光</t>
  </si>
  <si>
    <t>9789869211604</t>
  </si>
  <si>
    <t>梁淑坤</t>
  </si>
  <si>
    <t>997.6</t>
  </si>
  <si>
    <t>看見，臺灣電影之光</t>
  </si>
  <si>
    <t>9789864490233</t>
  </si>
  <si>
    <t>987.0933</t>
  </si>
  <si>
    <t>俄羅斯的鳴響雪松</t>
  </si>
  <si>
    <t>9789869084710</t>
  </si>
  <si>
    <t>拾光雪松出版有限公司</t>
  </si>
  <si>
    <t>弗拉狄米爾‧米格烈〈Vladimir Megre〉</t>
  </si>
  <si>
    <t>880.6</t>
  </si>
  <si>
    <t>圖解3分鐘立即說韓語</t>
  </si>
  <si>
    <t>9789865972806</t>
  </si>
  <si>
    <t>陳依僑</t>
  </si>
  <si>
    <t>寡情問題</t>
  </si>
  <si>
    <t>9789869142373</t>
  </si>
  <si>
    <t>啞然逝去</t>
  </si>
  <si>
    <t>陳氏太極拳：基礎24式</t>
  </si>
  <si>
    <t>9789869133814</t>
  </si>
  <si>
    <t>洪允和</t>
  </si>
  <si>
    <t>來─跟毛小孩聊天‧2：最溫暖的情感在日常</t>
  </si>
  <si>
    <t>9789869166089</t>
  </si>
  <si>
    <t>剩者為王</t>
  </si>
  <si>
    <t>9789869234801</t>
  </si>
  <si>
    <t>落落</t>
  </si>
  <si>
    <t>頭薦骨療法：頭薦骨放鬆了，身體就回到健康的初始設定</t>
  </si>
  <si>
    <t>9789865623326</t>
  </si>
  <si>
    <t>丹尼爾‧阿古斯托尼（Daniel Agustoni）</t>
  </si>
  <si>
    <t>418.995</t>
  </si>
  <si>
    <t>傳銷話術</t>
  </si>
  <si>
    <t>9789863690177</t>
  </si>
  <si>
    <t>李華康</t>
  </si>
  <si>
    <t>激勵員工培訓遊戲</t>
  </si>
  <si>
    <t>9789863690238</t>
  </si>
  <si>
    <t>朱東權</t>
  </si>
  <si>
    <t>企業培訓活動的破冰遊戲〈增訂二版〉</t>
  </si>
  <si>
    <t>9789863690320</t>
  </si>
  <si>
    <t>蔣德劭</t>
  </si>
  <si>
    <t>494.386</t>
  </si>
  <si>
    <t>架設強大的連鎖總部</t>
  </si>
  <si>
    <t>9789863690153</t>
  </si>
  <si>
    <t>唐建華</t>
  </si>
  <si>
    <t>498</t>
  </si>
  <si>
    <t>餐飲業經營技巧</t>
  </si>
  <si>
    <t>9789863690191</t>
  </si>
  <si>
    <t>許俊雄</t>
  </si>
  <si>
    <t>賣場管理督導手冊</t>
  </si>
  <si>
    <t>9789863690283</t>
  </si>
  <si>
    <t>林幼泉</t>
  </si>
  <si>
    <t>連鎖店督導師手冊〈增訂二版〉</t>
  </si>
  <si>
    <t>9789863690306</t>
  </si>
  <si>
    <t>宋經緯，黃憲仁</t>
  </si>
  <si>
    <t>如何解決工廠問題</t>
  </si>
  <si>
    <t>9789863690245</t>
  </si>
  <si>
    <t>陳銘輝</t>
  </si>
  <si>
    <t>生產訂單運作方式與變更管理</t>
  </si>
  <si>
    <t>9789863690313</t>
  </si>
  <si>
    <t>任賢旺，歐陽海華</t>
  </si>
  <si>
    <t>商品管理流程控制〈增訂四版〉</t>
  </si>
  <si>
    <t>9789863690337</t>
  </si>
  <si>
    <t>鄧崇文</t>
  </si>
  <si>
    <t>企業併購案例精華〈增訂二版〉</t>
  </si>
  <si>
    <t>9789863690122</t>
  </si>
  <si>
    <t>李家修</t>
  </si>
  <si>
    <t>553.73</t>
  </si>
  <si>
    <t>客戶抱怨手冊</t>
  </si>
  <si>
    <t>9789863690139</t>
  </si>
  <si>
    <t>韋光正，任賢旺</t>
  </si>
  <si>
    <t>如何撰寫職位說明書〈增訂二版〉</t>
  </si>
  <si>
    <t>9789863690160</t>
  </si>
  <si>
    <t>陳秋福</t>
  </si>
  <si>
    <t>總務部門重點工作〈增訂三版〉</t>
  </si>
  <si>
    <t>9789863690184</t>
  </si>
  <si>
    <t>蕭祥榮</t>
  </si>
  <si>
    <t>494.4</t>
  </si>
  <si>
    <t>客戶拒絕就是銷售成功的開始</t>
  </si>
  <si>
    <t>9789863690207</t>
  </si>
  <si>
    <t>李伯勤</t>
  </si>
  <si>
    <t>如何選人、育人、用人、留人、辭人</t>
  </si>
  <si>
    <t>9789863690214</t>
  </si>
  <si>
    <t>鄭華陽</t>
  </si>
  <si>
    <t>危機管理案例精華</t>
  </si>
  <si>
    <t>9789863690221</t>
  </si>
  <si>
    <t>李家修</t>
  </si>
  <si>
    <t>節約的都是利潤</t>
  </si>
  <si>
    <t>9789863690252</t>
  </si>
  <si>
    <t>童修賢，黃憲仁</t>
  </si>
  <si>
    <t>企業盈利模式</t>
  </si>
  <si>
    <t>9789863690269</t>
  </si>
  <si>
    <t>王德勝</t>
  </si>
  <si>
    <t>認識自我，讀懂他人：九型人格心靈密碼學</t>
  </si>
  <si>
    <t>9789863900658</t>
  </si>
  <si>
    <t>問道，黃亞男</t>
  </si>
  <si>
    <t>噬人詭墅</t>
  </si>
  <si>
    <t>9789574880812</t>
  </si>
  <si>
    <t>101個漢字：提升你人生的高度</t>
  </si>
  <si>
    <t>9789863900511</t>
  </si>
  <si>
    <t>What’s Up 之後說什麼？學熱門關鍵字，和老外聊時事【有聲】</t>
  </si>
  <si>
    <t>9789862484852</t>
  </si>
  <si>
    <t>東南西北度蜜月 : 從澳洲、俄羅斯到北歐，異想天開的爆笑跨國Honeymoon</t>
  </si>
  <si>
    <t>9789862484609</t>
  </si>
  <si>
    <t>譚蔚欣（Suki McMaster）</t>
  </si>
  <si>
    <t>歡迎光臨，台灣！日語導覽案內人的完璧攻略【有聲】</t>
  </si>
  <si>
    <t>9789862484869</t>
  </si>
  <si>
    <t>EZJapan 編輯部</t>
  </si>
  <si>
    <t>不流淚，那就下雨吧！</t>
  </si>
  <si>
    <t>9789869060776</t>
  </si>
  <si>
    <t>何厚華</t>
  </si>
  <si>
    <t>國文：作文完勝秘笈18招</t>
  </si>
  <si>
    <t>9789863744405</t>
  </si>
  <si>
    <t>黃淑真，陳麗玲</t>
  </si>
  <si>
    <t>802.8</t>
  </si>
  <si>
    <t>勞工行政與勞工立法〈 含概要〉</t>
  </si>
  <si>
    <t>9789863744337</t>
  </si>
  <si>
    <t>陳月娥</t>
  </si>
  <si>
    <t>556.84</t>
  </si>
  <si>
    <t>社會研究法〈含概要〉</t>
  </si>
  <si>
    <t>9789863744672</t>
  </si>
  <si>
    <t>510</t>
  </si>
  <si>
    <t>540.1</t>
  </si>
  <si>
    <t>勝出！內外勤郵政法規大意分類題庫</t>
  </si>
  <si>
    <t>9789201381040</t>
  </si>
  <si>
    <t>李鼎</t>
  </si>
  <si>
    <t>557.6</t>
  </si>
  <si>
    <t>自動控制：重點統整┼高分題庫</t>
  </si>
  <si>
    <t>9789863743804</t>
  </si>
  <si>
    <t>翔霖</t>
  </si>
  <si>
    <t>446</t>
  </si>
  <si>
    <t>公文寫作高分突破</t>
  </si>
  <si>
    <t>9789863744399</t>
  </si>
  <si>
    <t>802.791</t>
  </si>
  <si>
    <t>智力測驗歷年試題解析</t>
  </si>
  <si>
    <t>9789863743873</t>
  </si>
  <si>
    <t>預官編輯小組</t>
  </si>
  <si>
    <t>179.2</t>
  </si>
  <si>
    <t>別做不受歡迎的人生過路人</t>
  </si>
  <si>
    <t>9789865862664</t>
  </si>
  <si>
    <t>相信自己，永不放棄</t>
  </si>
  <si>
    <t>9789864110131</t>
  </si>
  <si>
    <t>昕聆</t>
  </si>
  <si>
    <t>小幽默大智慧：我們不講笑話</t>
  </si>
  <si>
    <t>9789864110148</t>
  </si>
  <si>
    <t>世界怎麼可能公平？快停止你的抱怨人生！</t>
  </si>
  <si>
    <t>9789864110155</t>
  </si>
  <si>
    <t>192.8</t>
  </si>
  <si>
    <t>小幽默大智慧：我們一點都不搞笑！</t>
  </si>
  <si>
    <t>9789864110179</t>
  </si>
  <si>
    <t>選擇不抱怨，拒當顧人怨</t>
  </si>
  <si>
    <t>9789864110186</t>
  </si>
  <si>
    <t>朱永綸</t>
  </si>
  <si>
    <t>不是販賣「商品」！而是推銷「自己」！</t>
  </si>
  <si>
    <t>9789864530106</t>
  </si>
  <si>
    <t>三井</t>
  </si>
  <si>
    <t>逆轉說話術：別小看一句話的力量！</t>
  </si>
  <si>
    <t>9789864530144</t>
  </si>
  <si>
    <t>陳如宜</t>
  </si>
  <si>
    <t>494.21</t>
  </si>
  <si>
    <t>我的菜日文：單字速查手冊【有聲】</t>
  </si>
  <si>
    <t>9789865753481</t>
  </si>
  <si>
    <t>掰掰「肉鬆族」： 最簡單的燃脂瘦身法</t>
  </si>
  <si>
    <t>9789865753498</t>
  </si>
  <si>
    <t>可不可以不要沮喪？勇敢面對情緒的6種方法</t>
  </si>
  <si>
    <t>9789865753504</t>
  </si>
  <si>
    <t>蕭裕峰</t>
  </si>
  <si>
    <t>開店絕對要懂的風水二三事</t>
  </si>
  <si>
    <t>9789865819682</t>
  </si>
  <si>
    <t>聽說這種手相的人很有錢？！一看就懂的手相學</t>
  </si>
  <si>
    <t>9789865819729</t>
  </si>
  <si>
    <t>293.23</t>
  </si>
  <si>
    <t>我的健康怎麼了？改變習慣，立即甩掉惱人毛病！</t>
  </si>
  <si>
    <t>9789865819811</t>
  </si>
  <si>
    <t>黃慈芬</t>
  </si>
  <si>
    <t>411.17</t>
  </si>
  <si>
    <t>星空的自傳：我的第一本趣味天文故事</t>
  </si>
  <si>
    <t>9789865819828</t>
  </si>
  <si>
    <t>內家拳拳法篇</t>
  </si>
  <si>
    <t>9789576013089</t>
  </si>
  <si>
    <t>倪清和</t>
  </si>
  <si>
    <t>少林寺拳棒阐宗</t>
  </si>
  <si>
    <t>9789576013225</t>
  </si>
  <si>
    <t>蔣浩泉</t>
  </si>
  <si>
    <t>果樹栽培學</t>
  </si>
  <si>
    <t>9789576013188</t>
  </si>
  <si>
    <t>劉昌揚</t>
  </si>
  <si>
    <t>花木果病蟲害防治</t>
  </si>
  <si>
    <t>9789576013157</t>
  </si>
  <si>
    <t>廖健雄</t>
  </si>
  <si>
    <t>433.3</t>
  </si>
  <si>
    <t>盆栽葡萄</t>
  </si>
  <si>
    <t>9789576013171</t>
  </si>
  <si>
    <t>鮑榮洲，金華巖</t>
  </si>
  <si>
    <t>淡水魚養殖手冊</t>
  </si>
  <si>
    <t>9789576013195</t>
  </si>
  <si>
    <t>薛夢廣</t>
  </si>
  <si>
    <t>438.661</t>
  </si>
  <si>
    <t>溫室工作手冊</t>
  </si>
  <si>
    <t>9789576013119</t>
  </si>
  <si>
    <t>陳寶玉</t>
  </si>
  <si>
    <t>435.81</t>
  </si>
  <si>
    <t>練習功力拳</t>
  </si>
  <si>
    <t>9789576013218</t>
  </si>
  <si>
    <t>王鳳亭</t>
  </si>
  <si>
    <t>戳腳門拳術</t>
  </si>
  <si>
    <t>9789576013201</t>
  </si>
  <si>
    <t>石僅松</t>
  </si>
  <si>
    <t>幸好我有這樣做！實用住宅改造達人の裝修計畫書</t>
  </si>
  <si>
    <t>9789869157612</t>
  </si>
  <si>
    <t>白話散文源流：近百年中國文章變遷史</t>
  </si>
  <si>
    <t>9789862217665</t>
  </si>
  <si>
    <t>秀威資訊科技股份有限公司</t>
  </si>
  <si>
    <t>劉緒源</t>
  </si>
  <si>
    <t>820.9508</t>
  </si>
  <si>
    <t>性向心理智力測驗〈含數理邏輯〉</t>
  </si>
  <si>
    <t>9789863743170</t>
  </si>
  <si>
    <t>179.3</t>
  </si>
  <si>
    <t>2016經典大宅</t>
  </si>
  <si>
    <t>4712918810058</t>
  </si>
  <si>
    <t>幸福空間編輯部</t>
  </si>
  <si>
    <t>2016</t>
  </si>
  <si>
    <t>2016幸福空間年鑑</t>
  </si>
  <si>
    <t>4712918810065</t>
  </si>
  <si>
    <t>思考致富：窮人與富人之間的69堂財富課</t>
  </si>
  <si>
    <t>9789865756321</t>
  </si>
  <si>
    <t>富蘭克林‧霍布斯〈Fanklin Hobbs〉</t>
  </si>
  <si>
    <t>你並不需要成為經濟學家，也能夠在現實中運用經濟學</t>
  </si>
  <si>
    <t>9789865756338</t>
  </si>
  <si>
    <t>汲取名人智慧：閱讀人生，改變生命的大好機會</t>
  </si>
  <si>
    <t>9789865756352</t>
  </si>
  <si>
    <t>陳文彬教授</t>
  </si>
  <si>
    <t>文學鉅子舞台：徜徉在29位大師優美的精神靈魂中</t>
  </si>
  <si>
    <t>9789865756376</t>
  </si>
  <si>
    <t>羅明陽教授</t>
  </si>
  <si>
    <t>781.054</t>
  </si>
  <si>
    <t>做個樂活老人：銀髮族的幸福生活智慧</t>
  </si>
  <si>
    <t>9789865756383</t>
  </si>
  <si>
    <t>丘榮襄</t>
  </si>
  <si>
    <t>544.8</t>
  </si>
  <si>
    <t>西洋文學殿堂：人類精神文化成果最燦爛的果實</t>
  </si>
  <si>
    <t>9789865756390</t>
  </si>
  <si>
    <t>吳明賢</t>
  </si>
  <si>
    <t>世界藝術家舞台：瞬間捕捉才華洋溢的靈魂之美</t>
  </si>
  <si>
    <t>9789865756413</t>
  </si>
  <si>
    <t>萬建華</t>
  </si>
  <si>
    <t>909.9</t>
  </si>
  <si>
    <t>人體三大自癒療法：輕鬆讀懂刮痧、拔罐、艾灸</t>
  </si>
  <si>
    <t>9789865756406</t>
  </si>
  <si>
    <t>崔曉麗醫生</t>
  </si>
  <si>
    <t>413.9</t>
  </si>
  <si>
    <t>逆商AQ：突破逆境的力量，命運將從此改變</t>
  </si>
  <si>
    <t>9789865756437</t>
  </si>
  <si>
    <t>譚春虹</t>
  </si>
  <si>
    <t>養好五臟不生病：經絡穴位拍拍打打，氣血循環健康養生</t>
  </si>
  <si>
    <t>9789865756420</t>
  </si>
  <si>
    <t>魯直醫師</t>
  </si>
  <si>
    <t>包容：生氣是拿別人的錯誤在懲罰自己</t>
  </si>
  <si>
    <t>9789865756444</t>
  </si>
  <si>
    <t>李峰</t>
  </si>
  <si>
    <t>寬容：一隻腳踩扁了紫羅蘭，它卻將香味留在腳跟上</t>
  </si>
  <si>
    <t>9789865756475</t>
  </si>
  <si>
    <t>程知遠</t>
  </si>
  <si>
    <t>有趣的生存法則：20部超完美的黃金定律</t>
  </si>
  <si>
    <t>9789865756468</t>
  </si>
  <si>
    <t>杜澤宇</t>
  </si>
  <si>
    <t>有趣的幽默術：改變生活的輕鬆調味劑</t>
  </si>
  <si>
    <t>9789865756482</t>
  </si>
  <si>
    <t>李睿</t>
  </si>
  <si>
    <t>我為什麼離開維多利亞的秘密：一位天使超模的赤裸告白</t>
  </si>
  <si>
    <t>9789869034357</t>
  </si>
  <si>
    <t>凱莉‧比蘇蒂</t>
  </si>
  <si>
    <t>你不可不知的排毒解毒一○○招</t>
  </si>
  <si>
    <t>9789865636227</t>
  </si>
  <si>
    <t>程朝暉</t>
  </si>
  <si>
    <t>情緒操控術：即使有一萬個苦悶理由，也要有一顆快樂的心</t>
  </si>
  <si>
    <t>9789865636210</t>
  </si>
  <si>
    <t>李問渠</t>
  </si>
  <si>
    <t>給自己一個成功的習慣</t>
  </si>
  <si>
    <t>9789865636340</t>
  </si>
  <si>
    <t>陳建國</t>
  </si>
  <si>
    <t>失落的百年致富聖經</t>
  </si>
  <si>
    <t>9789865636333</t>
  </si>
  <si>
    <t>華勒斯‧華特斯，P‧T‧巴納姆</t>
  </si>
  <si>
    <t>情緒心理學：破解快樂背後的超完美行為控制術</t>
  </si>
  <si>
    <t>9789865636357</t>
  </si>
  <si>
    <t>引爆潛能：喚醒你心中沉睡的巨人</t>
  </si>
  <si>
    <t>9789865636388</t>
  </si>
  <si>
    <t>安東尼‧羅賓</t>
  </si>
  <si>
    <t>176.9</t>
  </si>
  <si>
    <t>世界潛能大師的16堂奇蹟訓練</t>
  </si>
  <si>
    <t>9789865636395</t>
  </si>
  <si>
    <t>查爾斯‧哈奈爾〈Charles Haanel〉</t>
  </si>
  <si>
    <t>林布蘭特</t>
  </si>
  <si>
    <t>9789864490219</t>
  </si>
  <si>
    <t>韓秀</t>
  </si>
  <si>
    <t>940.99472</t>
  </si>
  <si>
    <t>創傷的積極力量〈上〉：正向心理學與焦點解決治療的合作策略</t>
  </si>
  <si>
    <t>9789576938597</t>
  </si>
  <si>
    <t>芙蕾莉‧班寧克 Fredrike Bannink</t>
  </si>
  <si>
    <t>孩子，我學著愛你，也愛自己：成長型父母的34堂課</t>
  </si>
  <si>
    <t>9789576938566</t>
  </si>
  <si>
    <t>黃心怡</t>
  </si>
  <si>
    <t>健康美味豬：盤底朝天的夢幻豬料理</t>
  </si>
  <si>
    <t>9789865813031</t>
  </si>
  <si>
    <t>李耀堂</t>
  </si>
  <si>
    <t>427.211</t>
  </si>
  <si>
    <t>超省錢蔬菜料理：20種耐放蔬菜烹調，完全不浪費！</t>
  </si>
  <si>
    <t>9789866490880</t>
  </si>
  <si>
    <t>黃筱蓁</t>
  </si>
  <si>
    <t>427.3</t>
  </si>
  <si>
    <t>這裡原本是我家：士林王家都更抗爭告白</t>
  </si>
  <si>
    <t>9789863570271</t>
  </si>
  <si>
    <t>王瑞霙</t>
  </si>
  <si>
    <t>445.1</t>
  </si>
  <si>
    <t>親愛的我，你好嗎？：十九歲少女的躁鬱日記</t>
  </si>
  <si>
    <t>9789866112157</t>
  </si>
  <si>
    <t>思瑀</t>
  </si>
  <si>
    <t>415.985</t>
  </si>
  <si>
    <t>遠見 370期：VR／AR激戰，最強台灣隊來了！</t>
  </si>
  <si>
    <t>4711225310886_370</t>
  </si>
  <si>
    <t>20170401</t>
  </si>
  <si>
    <t>遠見 371期：別讓捷運變劫運！</t>
  </si>
  <si>
    <t>4711225310886_371</t>
  </si>
  <si>
    <t>20170501</t>
  </si>
  <si>
    <t>遠見 373期：誰扼殺了最佳醫院排行榜？</t>
  </si>
  <si>
    <t>4711225310886_373</t>
  </si>
  <si>
    <t>20170701</t>
  </si>
  <si>
    <t>遠見 374期：樂在80後酷老時代來了</t>
  </si>
  <si>
    <t>4711225310886_374</t>
  </si>
  <si>
    <t>20170801</t>
  </si>
  <si>
    <t>遠見 375期：台灣文創西進，築夢1000個小鎮</t>
  </si>
  <si>
    <t>4711225310886_375</t>
  </si>
  <si>
    <t>20170901</t>
  </si>
  <si>
    <t>遠見 376期：FinTech爭霸戰—新加坡能，台灣為何不能？</t>
  </si>
  <si>
    <t>4711225310886_376</t>
  </si>
  <si>
    <t>20171001</t>
  </si>
  <si>
    <t>遠見 377期：非正職大軍來了</t>
  </si>
  <si>
    <t>4711225310886_377</t>
  </si>
  <si>
    <t>20171101</t>
  </si>
  <si>
    <t>遠見 378期：繼承者們的考驗</t>
  </si>
  <si>
    <t>4711225310886_378</t>
  </si>
  <si>
    <t>20171201</t>
  </si>
  <si>
    <t>遠見 379期：全球瘋電競，1毫秒的指尖爭霸</t>
  </si>
  <si>
    <t>4711225310886_379</t>
  </si>
  <si>
    <t>20180101</t>
  </si>
  <si>
    <t>遠見 380期：台灣海峽的綠金寶藏</t>
  </si>
  <si>
    <t>4711225310886_380</t>
  </si>
  <si>
    <t>20180201</t>
  </si>
  <si>
    <t>遠見 381期：跟著郭台銘大賺美國財</t>
  </si>
  <si>
    <t>4711225310886_381</t>
  </si>
  <si>
    <t>20180301</t>
  </si>
  <si>
    <t>遠見 382期：夾縫求生！1000個台師變陸師</t>
  </si>
  <si>
    <t>4711225310886_382</t>
  </si>
  <si>
    <t>20180401</t>
  </si>
  <si>
    <t>遠見 383期：GPS企業178強，導航投資大未來</t>
  </si>
  <si>
    <t>4711225310886_383</t>
  </si>
  <si>
    <t>20180501</t>
  </si>
  <si>
    <t>遠見 384期：謊言台灣</t>
  </si>
  <si>
    <t>4711225310886_384</t>
  </si>
  <si>
    <t>20180601</t>
  </si>
  <si>
    <t>遠見 385期：LINE是好友還是敵人？</t>
  </si>
  <si>
    <t>4711225310886_385</t>
  </si>
  <si>
    <t>20180701</t>
  </si>
  <si>
    <t>遠見 386期：我該不該去大陸？</t>
  </si>
  <si>
    <t>4711225310886_386</t>
  </si>
  <si>
    <t>20180801</t>
  </si>
  <si>
    <t>遠見 387期：誰Fire了台灣老闆？</t>
  </si>
  <si>
    <t>4711225310886_387</t>
  </si>
  <si>
    <t>20180901</t>
  </si>
  <si>
    <t>遠見 388期：100位精英的歸鄉告白</t>
  </si>
  <si>
    <t>4711225310886_388</t>
  </si>
  <si>
    <t>20181001</t>
  </si>
  <si>
    <t>遠見 389期：一杯珍奶搖出台灣新經濟奇蹟</t>
  </si>
  <si>
    <t>4711225310886_389</t>
  </si>
  <si>
    <t>20181101</t>
  </si>
  <si>
    <t>遠見 390期：市場開放VS.內需緊縮－兩極中國</t>
  </si>
  <si>
    <t>4711225310886_390</t>
  </si>
  <si>
    <t>20181201</t>
  </si>
  <si>
    <t>遠見 391期：末班車經濟學</t>
  </si>
  <si>
    <t>4711225310886_391</t>
  </si>
  <si>
    <t>20190101</t>
  </si>
  <si>
    <t>遠見 392期：你的家鄉會消失嗎？</t>
  </si>
  <si>
    <t>4711225310886_392</t>
  </si>
  <si>
    <t>20190201</t>
  </si>
  <si>
    <t>遠見 393期：我世代，新務實革命</t>
  </si>
  <si>
    <t>4711225310886_393</t>
  </si>
  <si>
    <t>20190301</t>
  </si>
  <si>
    <t>遠見 394期：超級業務員韓國瑜，炒熱新高雄</t>
  </si>
  <si>
    <t>4711225310886_394</t>
  </si>
  <si>
    <t>20190401</t>
  </si>
  <si>
    <t>遠見 395期：台青吹起漂日風</t>
  </si>
  <si>
    <t>4711225310886_395</t>
  </si>
  <si>
    <t>20190501</t>
  </si>
  <si>
    <t>遠見 396期：會員經濟4.0－養出你的超級粉絲</t>
  </si>
  <si>
    <t>4711225310886_396</t>
  </si>
  <si>
    <t>20190601</t>
  </si>
  <si>
    <t>遠見 397期：供應鏈下南洋</t>
  </si>
  <si>
    <t>4711225310886_397</t>
  </si>
  <si>
    <t>20190701</t>
  </si>
  <si>
    <t>遠見 398期：老屋改建潮來了，《危老條例》加持，都更有救？</t>
  </si>
  <si>
    <t>4711225310886_398</t>
  </si>
  <si>
    <t>20190801</t>
  </si>
  <si>
    <t>遠見 399期：創二代的新傳家學</t>
  </si>
  <si>
    <t>4711225310886_399</t>
  </si>
  <si>
    <t>20190901</t>
  </si>
  <si>
    <t>遠見 400期：借鏡澳洲，喚起共好台灣</t>
  </si>
  <si>
    <t>4711225310886_400</t>
  </si>
  <si>
    <t>20191001</t>
  </si>
  <si>
    <t>遠見 417期：疫苗過後疫情過？</t>
  </si>
  <si>
    <t>4711225310886_417</t>
  </si>
  <si>
    <t>2021</t>
  </si>
  <si>
    <t>遠見 423期：台灣能成為下個荷蘭嗎?</t>
  </si>
  <si>
    <t>4711225310886_423</t>
  </si>
  <si>
    <t>發音課程</t>
  </si>
  <si>
    <t>EBK10200010384</t>
  </si>
  <si>
    <t>越語村</t>
  </si>
  <si>
    <t>越語村編輯部</t>
  </si>
  <si>
    <t>803.798</t>
  </si>
  <si>
    <t>會話課程</t>
  </si>
  <si>
    <t>EBK10200010385</t>
  </si>
  <si>
    <t>詞彙篇〈上〉</t>
  </si>
  <si>
    <t>EBK10200010386_01</t>
  </si>
  <si>
    <t>詞彙篇〈下〉</t>
  </si>
  <si>
    <t>EBK10200010386_02</t>
  </si>
  <si>
    <t>初級班</t>
  </si>
  <si>
    <t>EBK10200010388</t>
  </si>
  <si>
    <t>中級班</t>
  </si>
  <si>
    <t>EBK10200010389</t>
  </si>
  <si>
    <t>進階班</t>
  </si>
  <si>
    <t>EBK10200010390</t>
  </si>
  <si>
    <t>初級文法</t>
  </si>
  <si>
    <t>EBK10200010391</t>
  </si>
  <si>
    <t>中級文法</t>
  </si>
  <si>
    <t>EBK10200010392</t>
  </si>
  <si>
    <t>檢定考古題〈一〉</t>
  </si>
  <si>
    <t>EBK10200010393_01</t>
  </si>
  <si>
    <t>檢定考古題〈二〉</t>
  </si>
  <si>
    <t>EBK10200010393_02</t>
  </si>
  <si>
    <t>越南語旅遊會話全集〈上〉</t>
  </si>
  <si>
    <t>EBK10200010395_01</t>
  </si>
  <si>
    <t>越南語旅遊會話全集〈中〉</t>
  </si>
  <si>
    <t>EBK10200010395_02</t>
  </si>
  <si>
    <t>台灣人在韓國</t>
  </si>
  <si>
    <t>EBK10200010402</t>
  </si>
  <si>
    <t>韓語村編輯部</t>
  </si>
  <si>
    <t>搞定難搞的人</t>
  </si>
  <si>
    <t>9789576938023</t>
  </si>
  <si>
    <t>麗莎‧英格哈特〈Lisa O‧Engelhardt〉</t>
  </si>
  <si>
    <t>別往壞處想</t>
  </si>
  <si>
    <t>9789576938160</t>
  </si>
  <si>
    <t>但以理‧葛力波〈Daniel Grippo〉</t>
  </si>
  <si>
    <t>176.527</t>
  </si>
  <si>
    <t>生死場</t>
  </si>
  <si>
    <t>9789862271759</t>
  </si>
  <si>
    <t>蕭紅</t>
  </si>
  <si>
    <t>呼蘭河傳</t>
  </si>
  <si>
    <t>9789862271780</t>
  </si>
  <si>
    <t>只想喝咖啡</t>
  </si>
  <si>
    <t>4712771029062</t>
  </si>
  <si>
    <t>尤俠</t>
  </si>
  <si>
    <t>澳洲打工假期究極生存手冊</t>
  </si>
  <si>
    <t>9789881403452</t>
  </si>
  <si>
    <t>Raymond</t>
  </si>
  <si>
    <t>771.9</t>
  </si>
  <si>
    <t>釋心椅聽：臨床心理學實錄</t>
  </si>
  <si>
    <t>9789881311641</t>
  </si>
  <si>
    <t>Hilda Li</t>
  </si>
  <si>
    <t>178</t>
  </si>
  <si>
    <t>36計生意英語溝通術：藏在電影裡的教戰策略</t>
  </si>
  <si>
    <t>9789869145893</t>
  </si>
  <si>
    <t>Follow 23堂心理學英語課成就你的職場巨星之路</t>
  </si>
  <si>
    <t>9789869191425</t>
  </si>
  <si>
    <t>練家姍</t>
  </si>
  <si>
    <t>Open Your「中英互譯」邏輯腦：跟著8 大翻譯要點，快速提升80%Up翻譯┼寫作能力</t>
  </si>
  <si>
    <t>9789869191418</t>
  </si>
  <si>
    <t>連緯晏 Wendy Lien，Matthew Gunton</t>
  </si>
  <si>
    <t>811.7</t>
  </si>
  <si>
    <t>搞定90┼職場英文動詞，升職加薪「動」起來</t>
  </si>
  <si>
    <t>9789869191449</t>
  </si>
  <si>
    <t>黃予辰，Jessica Su</t>
  </si>
  <si>
    <t>Bartender的英文手札【有聲】</t>
  </si>
  <si>
    <t>9789869191432</t>
  </si>
  <si>
    <t>林昭菁</t>
  </si>
  <si>
    <t>24天就能學會的基礎財金英文</t>
  </si>
  <si>
    <t>9789869191463</t>
  </si>
  <si>
    <t>陳和揚</t>
  </si>
  <si>
    <t>突破新多益800：滿分名師的教學密笈【有聲】</t>
  </si>
  <si>
    <t>9789869191456</t>
  </si>
  <si>
    <t>TC Hung〈洪子健〉</t>
  </si>
  <si>
    <t>優雅英國腔：英國人天天在用的日不落英語【有聲】</t>
  </si>
  <si>
    <t>9789869191470</t>
  </si>
  <si>
    <t>Matthew Gunton</t>
  </si>
  <si>
    <t>iBT、新多益口說：獨立┼整合題型，28天拿下高分【有聲】</t>
  </si>
  <si>
    <t>9789869191487</t>
  </si>
  <si>
    <t>李育菱</t>
  </si>
  <si>
    <t>下一場人類大瘟疫：跨物種傳染病侵襲人類的致命接觸</t>
  </si>
  <si>
    <t>9789865671860</t>
  </si>
  <si>
    <t>大衛‧逵曼〈David Quammen〉</t>
  </si>
  <si>
    <t>412.493</t>
  </si>
  <si>
    <t>羋氏傳奇〈上〉：大秦宣太后的故事</t>
  </si>
  <si>
    <t>9789863900665</t>
  </si>
  <si>
    <t>蕭盛</t>
  </si>
  <si>
    <t>羋氏傳奇〈下〉：大秦宣太后的故事</t>
  </si>
  <si>
    <t>9789863900672</t>
  </si>
  <si>
    <t>觀測心中的太空</t>
  </si>
  <si>
    <t>9789863900719</t>
  </si>
  <si>
    <t>索達吉堪布</t>
  </si>
  <si>
    <t>200.16</t>
  </si>
  <si>
    <t>朱熹與大學：新儒學對儒家經典之反思</t>
  </si>
  <si>
    <t>9789577396426</t>
  </si>
  <si>
    <t>賈德訥</t>
  </si>
  <si>
    <t>121.2517</t>
  </si>
  <si>
    <t>李白詩歌龍意象析論</t>
  </si>
  <si>
    <t>9789577399458</t>
  </si>
  <si>
    <t>陳宣諭</t>
  </si>
  <si>
    <t>980</t>
  </si>
  <si>
    <t>851.4415</t>
  </si>
  <si>
    <t>國語文教學現場的省思</t>
  </si>
  <si>
    <t>9789577399366</t>
  </si>
  <si>
    <t>王基倫</t>
  </si>
  <si>
    <t>802.03</t>
  </si>
  <si>
    <t>國文課程的古典與創新：感受學習法的理論與實踐</t>
  </si>
  <si>
    <t>9789577399496</t>
  </si>
  <si>
    <t>林靜茉</t>
  </si>
  <si>
    <t>820.33</t>
  </si>
  <si>
    <t>語文領域的創思教學</t>
  </si>
  <si>
    <t>9789577399489</t>
  </si>
  <si>
    <t>張春榮</t>
  </si>
  <si>
    <t>800.3</t>
  </si>
  <si>
    <t>泰語詞彙</t>
  </si>
  <si>
    <t>EBK10200010433</t>
  </si>
  <si>
    <t>泰語村編輯部</t>
  </si>
  <si>
    <t>803.75</t>
  </si>
  <si>
    <t>用手帳偷看日本人的一年：翻開生活日語【有聲】</t>
  </si>
  <si>
    <t>9789862484890</t>
  </si>
  <si>
    <t>Java 網路程式設計</t>
  </si>
  <si>
    <t>9789862019108</t>
  </si>
  <si>
    <t>戲劇劇本館：第一屆全球泛華青年劇本創作競賽得獎作品集</t>
  </si>
  <si>
    <t>9789860473858</t>
  </si>
  <si>
    <t>朱宜，趙秉昊，王健任</t>
  </si>
  <si>
    <t>公文寫作指南〈增訂七版〉</t>
  </si>
  <si>
    <t>9789861441436</t>
  </si>
  <si>
    <t>柯進雄</t>
  </si>
  <si>
    <t>族群文化與文化產業</t>
  </si>
  <si>
    <t>9789861441450</t>
  </si>
  <si>
    <t>洪泉湖</t>
  </si>
  <si>
    <t>法學知識與英文頻出題庫</t>
  </si>
  <si>
    <t>9789863745129</t>
  </si>
  <si>
    <t>成宜，德芬</t>
  </si>
  <si>
    <t>圖解式民法〈含概要〉焦點速成┼嚴選題庫</t>
  </si>
  <si>
    <t>9789863744986</t>
  </si>
  <si>
    <t>程馨</t>
  </si>
  <si>
    <t>心理學概要〈包括諮商與輔導〉嚴選題庫</t>
  </si>
  <si>
    <t>9789863744856</t>
  </si>
  <si>
    <t>李振濤</t>
  </si>
  <si>
    <t>中華民國憲法測驗題庫</t>
  </si>
  <si>
    <t>9789863744542</t>
  </si>
  <si>
    <t>千華法科名師</t>
  </si>
  <si>
    <t>581.2</t>
  </si>
  <si>
    <t>花嶼村2號：澎湖小島踏查筆記</t>
  </si>
  <si>
    <t>9789869255813</t>
  </si>
  <si>
    <t>鄭同僚</t>
  </si>
  <si>
    <t>白搖滾</t>
  </si>
  <si>
    <t>9789869255820</t>
  </si>
  <si>
    <t>張仲嫣</t>
  </si>
  <si>
    <t>910.993</t>
  </si>
  <si>
    <t>中部小鎮‧鐵道之旅</t>
  </si>
  <si>
    <t>9789865892500</t>
  </si>
  <si>
    <t>花蓮。旅民宿</t>
  </si>
  <si>
    <t>9789865892494</t>
  </si>
  <si>
    <t>992.6</t>
  </si>
  <si>
    <t>古典詩詞花園：一起穿梭在唐至清代一一五首詩詞花叢間</t>
  </si>
  <si>
    <t>9789869279000</t>
  </si>
  <si>
    <t>朵雲文化出版有限公司</t>
  </si>
  <si>
    <t>夏玉露</t>
  </si>
  <si>
    <t>831</t>
  </si>
  <si>
    <t>形聲字研究與教學</t>
  </si>
  <si>
    <t>9789577399762</t>
  </si>
  <si>
    <t>胡雲鳳</t>
  </si>
  <si>
    <t>802.23</t>
  </si>
  <si>
    <t>臺灣兒童戲劇的興起與發展史論〈1945─2010〉</t>
  </si>
  <si>
    <t>9789577399311</t>
  </si>
  <si>
    <t>陳晞如</t>
  </si>
  <si>
    <t>983.38</t>
  </si>
  <si>
    <t>比較文學與臺灣文本閱讀</t>
  </si>
  <si>
    <t>9789577399755</t>
  </si>
  <si>
    <t>古添洪</t>
  </si>
  <si>
    <t>819.07</t>
  </si>
  <si>
    <t>腳踏中西，依稀猶學術：一位自由人的政治文化評論</t>
  </si>
  <si>
    <t>9789577398109</t>
  </si>
  <si>
    <t>廖中和</t>
  </si>
  <si>
    <t>默默守護著你：疼惜臺灣半世紀的劉一峰神父</t>
  </si>
  <si>
    <t>9789577399748</t>
  </si>
  <si>
    <t>花蓮拾穗團隊</t>
  </si>
  <si>
    <t>249.942</t>
  </si>
  <si>
    <t>觀念與味道：中國思想文獻中的概念譬喻管窺</t>
  </si>
  <si>
    <t>9789577399816</t>
  </si>
  <si>
    <t>周玟觀</t>
  </si>
  <si>
    <t>802.07</t>
  </si>
  <si>
    <t>女醫師解惑子宮切除</t>
  </si>
  <si>
    <t>9789869158398</t>
  </si>
  <si>
    <t>張錦秀</t>
  </si>
  <si>
    <t>417.281</t>
  </si>
  <si>
    <t>魅力人生，很簡單：成功學大師卡內基寫給女人的快樂魔法書</t>
  </si>
  <si>
    <t>9789869158381</t>
  </si>
  <si>
    <t>戴爾‧卡內基</t>
  </si>
  <si>
    <t>生命沒那麼難，但需要勇氣</t>
  </si>
  <si>
    <t>9789864110193</t>
  </si>
  <si>
    <t>生死轉念：唯有放下才是真正的慈悲</t>
  </si>
  <si>
    <t>9789864110209</t>
  </si>
  <si>
    <t>汎遇</t>
  </si>
  <si>
    <t>鬆開握緊的拳頭， 你會擁有更多</t>
  </si>
  <si>
    <t>9789864110230</t>
  </si>
  <si>
    <t>蕭蔓琳</t>
  </si>
  <si>
    <t>八面玲瓏不夠用：真要懂的人際交往心理學</t>
  </si>
  <si>
    <t>9789864530083</t>
  </si>
  <si>
    <t>完全推理智力遊戲</t>
  </si>
  <si>
    <t>9789864530199</t>
  </si>
  <si>
    <t>羅波</t>
  </si>
  <si>
    <t>我是害羞？還是社交恐懼症？：教你變身成為社交人氣王</t>
  </si>
  <si>
    <t>9789864530229</t>
  </si>
  <si>
    <t>林美娟</t>
  </si>
  <si>
    <t>192.3</t>
  </si>
  <si>
    <t>生活就是這樣：前進靠機會，後退靠智慧！</t>
  </si>
  <si>
    <t>9789865753528</t>
  </si>
  <si>
    <t>韓語單字真有趣【有聲】</t>
  </si>
  <si>
    <t>9789865753559</t>
  </si>
  <si>
    <t>別讓孩子抱怨你沒教：提早知道就能讓孩子贏在人生起跑點的7件事</t>
  </si>
  <si>
    <t>9789865753573</t>
  </si>
  <si>
    <t>林立芬</t>
  </si>
  <si>
    <t>這輩子只做一件事，那就是為自己做決定</t>
  </si>
  <si>
    <t>9789865808990</t>
  </si>
  <si>
    <t>天才也瘋狂：我的第一本趣味數學故事</t>
  </si>
  <si>
    <t>9789865819835</t>
  </si>
  <si>
    <t>原來，愛曾經是離我那麼的近！</t>
  </si>
  <si>
    <t>9789865862701</t>
  </si>
  <si>
    <t>幸福人生之前的八件事：百分之百與百分之九十九</t>
  </si>
  <si>
    <t>9789865862732</t>
  </si>
  <si>
    <t>日本零售通路發展趨勢與拓銷商機</t>
  </si>
  <si>
    <t>9789574953547</t>
  </si>
  <si>
    <t>李貞穎</t>
  </si>
  <si>
    <t>漫畫與文學的火花</t>
  </si>
  <si>
    <t>9789864490295</t>
  </si>
  <si>
    <t>幼獅少年</t>
  </si>
  <si>
    <t>810.79</t>
  </si>
  <si>
    <t>Best of year 觀眾最愛設計師 Vol‧2</t>
  </si>
  <si>
    <t>9789869157629</t>
  </si>
  <si>
    <t>網頁設計丙級技能檢定學術科超級詳解</t>
  </si>
  <si>
    <t>9789863745044</t>
  </si>
  <si>
    <t>黃鴻錡，胡浩然</t>
  </si>
  <si>
    <t>一次考上銀行：貨幣銀行學〈含概要〉</t>
  </si>
  <si>
    <t>9789863745549</t>
  </si>
  <si>
    <t>行政法概要【題庫┼歷年試題】</t>
  </si>
  <si>
    <t>9789863745280</t>
  </si>
  <si>
    <t>林志忠</t>
  </si>
  <si>
    <t>588</t>
  </si>
  <si>
    <t>70個越南語關鍵文法：錢進越南大進擊！</t>
  </si>
  <si>
    <t>9789869267724</t>
  </si>
  <si>
    <t>803.786</t>
  </si>
  <si>
    <t>九年一貫創新課程：教與學—九年一貫課程的現況與前瞻</t>
  </si>
  <si>
    <t>9789577306227</t>
  </si>
  <si>
    <t>桂冠圖書（林惠真）</t>
  </si>
  <si>
    <t>林惠真</t>
  </si>
  <si>
    <t>523.401</t>
  </si>
  <si>
    <t>九年一貫課程發展實錄：九年一貫課程的現況與前瞻</t>
  </si>
  <si>
    <t>9789577306210</t>
  </si>
  <si>
    <t>開放教育與教育改革：海闊天空開放教育〈理念篇〉</t>
  </si>
  <si>
    <t>9789577306241</t>
  </si>
  <si>
    <t>523.307</t>
  </si>
  <si>
    <t>開放教育與教師進修：海闊天空開放教育〈教師篇〉</t>
  </si>
  <si>
    <t>9789577306272</t>
  </si>
  <si>
    <t>家長資源的整合與運用：海闊天空開放教育〈家長篇〉</t>
  </si>
  <si>
    <t>9789577306234</t>
  </si>
  <si>
    <t>愛是教育的森林：海闊天空開放教育〈播種篇〉</t>
  </si>
  <si>
    <t>9789577306319</t>
  </si>
  <si>
    <t>社會新興議題與彈性課程：九年一貫課程的現況與前瞻</t>
  </si>
  <si>
    <t>9789577306197</t>
  </si>
  <si>
    <t>為兒童創新的協同教學：九年一貫課程的現況與前瞻</t>
  </si>
  <si>
    <t>9789577306180</t>
  </si>
  <si>
    <t>主題教學計劃與課程統整：海闊天空開放教育〈課程篇〉</t>
  </si>
  <si>
    <t>9789577306296</t>
  </si>
  <si>
    <t>教育是終生的歷程：攜手走過河堤</t>
  </si>
  <si>
    <t>9789577306333</t>
  </si>
  <si>
    <t>管教，原來可以很幸福</t>
  </si>
  <si>
    <t>9789869211611</t>
  </si>
  <si>
    <t>劉慈惠</t>
  </si>
  <si>
    <t>中國大陸企業海外併購之經營及財務績效表現：個案研究</t>
  </si>
  <si>
    <t>9789865795078</t>
  </si>
  <si>
    <t>財團法人中華經濟研究院</t>
  </si>
  <si>
    <t>林昱君，江怡慧</t>
  </si>
  <si>
    <t>中國大陸經濟成長因素與經濟轉型之評估</t>
  </si>
  <si>
    <t>9789865795054</t>
  </si>
  <si>
    <t>鄭漢亮</t>
  </si>
  <si>
    <t>552</t>
  </si>
  <si>
    <t>台灣出口績效之結構性因素分析：隨機邊界引力模型的應用</t>
  </si>
  <si>
    <t>9789865795085</t>
  </si>
  <si>
    <t>吳佳勳</t>
  </si>
  <si>
    <t>558</t>
  </si>
  <si>
    <t>食物的個性</t>
  </si>
  <si>
    <t>9789869180498</t>
  </si>
  <si>
    <t>貓咪予花兒</t>
  </si>
  <si>
    <t>趙汝茵</t>
  </si>
  <si>
    <t>迷冬：青春的狂歡與煉獄</t>
  </si>
  <si>
    <t>9789869255721</t>
  </si>
  <si>
    <t>胡發雲</t>
  </si>
  <si>
    <t>企業主管溝通困境與調適模式之研究</t>
  </si>
  <si>
    <t>9789869290821</t>
  </si>
  <si>
    <t>索引數位股份有限公司</t>
  </si>
  <si>
    <t>廖文蘭</t>
  </si>
  <si>
    <t>學校整併歷程的不確定性及其影響研究：以臺北市一所受併小學為例</t>
  </si>
  <si>
    <t>9789869290807</t>
  </si>
  <si>
    <t>陳秀宜</t>
  </si>
  <si>
    <t>523.933</t>
  </si>
  <si>
    <t>The Application of Fuzzy Theory for Evaluating Teacher Competence of International Education 教師國際教育素養指標與評估模式建構</t>
  </si>
  <si>
    <t>9789869290852</t>
  </si>
  <si>
    <t>蘇春地 Su，Chunti</t>
  </si>
  <si>
    <t>526</t>
  </si>
  <si>
    <t>從牧童到外交官</t>
  </si>
  <si>
    <t>9789571515687</t>
  </si>
  <si>
    <t>台灣學生書局有限公司</t>
  </si>
  <si>
    <t>沈克勤</t>
  </si>
  <si>
    <t>中英魏晉南北朝志怪選</t>
  </si>
  <si>
    <t>9789571515601</t>
  </si>
  <si>
    <t>尤雅姿</t>
  </si>
  <si>
    <t>857.23</t>
  </si>
  <si>
    <t>破解癌症，身心靈整合療法〈黃鼎殷醫師：一生無癌手冊〉</t>
  </si>
  <si>
    <t>9789576968013</t>
  </si>
  <si>
    <t>黃鼎殷</t>
  </si>
  <si>
    <t>筋骨關節疼痛防治全百科：骨科專家游敬倫整合中西醫學最新對症療法</t>
  </si>
  <si>
    <t>9789576968068</t>
  </si>
  <si>
    <t>游敬倫</t>
  </si>
  <si>
    <t>416.6</t>
  </si>
  <si>
    <t>情緒生病，身體當然好不了：黃鼎殷醫師的心靈對話處方</t>
  </si>
  <si>
    <t>9789576968006</t>
  </si>
  <si>
    <t>省水、電、瓦斯50% 大作戰！！跟著節能省電達人救地球</t>
  </si>
  <si>
    <t>9789576968020</t>
  </si>
  <si>
    <t>黃建誠</t>
  </si>
  <si>
    <t>421.1</t>
  </si>
  <si>
    <t>一本搞定內外場餐飲英語：全面提升你的英語即答力【有聲】</t>
  </si>
  <si>
    <t>9789869191494</t>
  </si>
  <si>
    <t>王郁琪</t>
  </si>
  <si>
    <t>英文文法顯微鏡：鎖定10大易犯錯&amp;易混淆語法，「放大檢視」┼「矯正」文法概念</t>
  </si>
  <si>
    <t>9789869239806</t>
  </si>
  <si>
    <t>羅展明，趙婉君</t>
  </si>
  <si>
    <t>805.16</t>
  </si>
  <si>
    <t>外貿業務英文：從入門到精通，一本搞定外貿全流程【有聲】</t>
  </si>
  <si>
    <t>9789869239813</t>
  </si>
  <si>
    <t>看了就能上場的飯店英語【有聲】</t>
  </si>
  <si>
    <t>9789869239820</t>
  </si>
  <si>
    <t>林書平</t>
  </si>
  <si>
    <t>互聯網巨變下，行銷不變的10句話</t>
  </si>
  <si>
    <t>9789865623364</t>
  </si>
  <si>
    <t>陳偉航</t>
  </si>
  <si>
    <t>日本女孩在台留學日記</t>
  </si>
  <si>
    <t>EBK10200010515</t>
  </si>
  <si>
    <t>日語村編輯部</t>
  </si>
  <si>
    <t>外國人容易混淆的日語用法</t>
  </si>
  <si>
    <t>EBK10200010516</t>
  </si>
  <si>
    <t>開始越野跑：挑戰山徑溪流，越野裝備與訓練一步到位</t>
  </si>
  <si>
    <t>9789865671891</t>
  </si>
  <si>
    <t>阿虎隊長〈曾尉傑〉</t>
  </si>
  <si>
    <t>528.9464</t>
  </si>
  <si>
    <t>惱人啊！講N遍你還錯的英文文法：EZ TALK 英文問題集</t>
  </si>
  <si>
    <t>9789862484234</t>
  </si>
  <si>
    <t>古典山嶽文學論集：辭賦書寫與文類跨界</t>
  </si>
  <si>
    <t>9789863390138</t>
  </si>
  <si>
    <t>許東海</t>
  </si>
  <si>
    <t>822</t>
  </si>
  <si>
    <t>六朝自然山水觀的環境美學</t>
  </si>
  <si>
    <t>9789863390152</t>
  </si>
  <si>
    <t>陳慶坤</t>
  </si>
  <si>
    <t>184.1</t>
  </si>
  <si>
    <t>聽竹軒詩續集</t>
  </si>
  <si>
    <t>9789863390237</t>
  </si>
  <si>
    <t>胡傳安</t>
  </si>
  <si>
    <t>經典的重建：清初戲曲評點研究</t>
  </si>
  <si>
    <t>9789863390220</t>
  </si>
  <si>
    <t>高禎臨</t>
  </si>
  <si>
    <t>820.9407</t>
  </si>
  <si>
    <t>西漢學術與政治權力變遷</t>
  </si>
  <si>
    <t>9789863390206</t>
  </si>
  <si>
    <t>諸葛俊元</t>
  </si>
  <si>
    <t>112.2</t>
  </si>
  <si>
    <t>楚騷魂：屈宋辭賦的抒情精神與生命美學</t>
  </si>
  <si>
    <t>9789863390213</t>
  </si>
  <si>
    <t>蘇慧霜</t>
  </si>
  <si>
    <t>820.9201</t>
  </si>
  <si>
    <t>現代應用文〈上〉</t>
  </si>
  <si>
    <t>9789863390176</t>
  </si>
  <si>
    <t>許清雲，薛雅文</t>
  </si>
  <si>
    <t>802.79</t>
  </si>
  <si>
    <t>現代應用文〈下〉</t>
  </si>
  <si>
    <t>9789863390244</t>
  </si>
  <si>
    <t>曾國藩的經世思想及其實踐</t>
  </si>
  <si>
    <t>9789863390251</t>
  </si>
  <si>
    <t>徐亞萍</t>
  </si>
  <si>
    <t>127.73</t>
  </si>
  <si>
    <t>老莊思想</t>
  </si>
  <si>
    <t>9789863390282</t>
  </si>
  <si>
    <t>121.3</t>
  </si>
  <si>
    <t>論賦之緣起</t>
  </si>
  <si>
    <t>9789863390299</t>
  </si>
  <si>
    <t>陳韻竹</t>
  </si>
  <si>
    <t>822.88</t>
  </si>
  <si>
    <t>清末聖諭宣講之案證研究</t>
  </si>
  <si>
    <t>9789863390312</t>
  </si>
  <si>
    <t>林珊妏</t>
  </si>
  <si>
    <t>582.17</t>
  </si>
  <si>
    <t>圖書館創新服務初探</t>
  </si>
  <si>
    <t>9789863390336</t>
  </si>
  <si>
    <t>林盈鈞</t>
  </si>
  <si>
    <t>023.9</t>
  </si>
  <si>
    <t>日治時期日臺傳統文人書畫研究</t>
  </si>
  <si>
    <t>9789863390350</t>
  </si>
  <si>
    <t>劉小鈴</t>
  </si>
  <si>
    <t>941.908</t>
  </si>
  <si>
    <t>2012、2013、2014法教與民俗信仰學術研討會論文集</t>
  </si>
  <si>
    <t>9789863390367</t>
  </si>
  <si>
    <t>台灣民俗信仰學會</t>
  </si>
  <si>
    <t>271.907</t>
  </si>
  <si>
    <t>《西遊記》之嘲諷架構研究</t>
  </si>
  <si>
    <t>9789863390374</t>
  </si>
  <si>
    <t>賈尚軒</t>
  </si>
  <si>
    <t>857.47</t>
  </si>
  <si>
    <t>獨釣寒江雪：經典名作中的秘密</t>
  </si>
  <si>
    <t>9789863390381</t>
  </si>
  <si>
    <t>文逸飛</t>
  </si>
  <si>
    <t>中國戲曲行業神探源</t>
  </si>
  <si>
    <t>9789863390411</t>
  </si>
  <si>
    <t>徐筱婷</t>
  </si>
  <si>
    <t>982</t>
  </si>
  <si>
    <t>細說戲曲：搬演典故之研究</t>
  </si>
  <si>
    <t>9789863390404</t>
  </si>
  <si>
    <t>大人的小學時代</t>
  </si>
  <si>
    <t>9789866191879</t>
  </si>
  <si>
    <t>柿子文化</t>
  </si>
  <si>
    <t>523.833</t>
  </si>
  <si>
    <t>不水不行：水也是人體必需的營養素</t>
  </si>
  <si>
    <t>9789869291378</t>
  </si>
  <si>
    <t>鍾素頤</t>
  </si>
  <si>
    <t>411.41</t>
  </si>
  <si>
    <t>營養學I：你真的營養嗎</t>
  </si>
  <si>
    <t>9789865697297</t>
  </si>
  <si>
    <t>York William，王珺</t>
  </si>
  <si>
    <t>營養學II：吃出健康與愉悅的情緒</t>
  </si>
  <si>
    <t>9789865697303</t>
  </si>
  <si>
    <t>營養學III：食材裡的神奇療效</t>
  </si>
  <si>
    <t>9789865697372</t>
  </si>
  <si>
    <t>王珺</t>
  </si>
  <si>
    <t>疾病的前兆</t>
  </si>
  <si>
    <t>9789869223287</t>
  </si>
  <si>
    <t>鍾歆</t>
  </si>
  <si>
    <t>415.208</t>
  </si>
  <si>
    <t>薑的養命力</t>
  </si>
  <si>
    <t>9789869223201</t>
  </si>
  <si>
    <t>楚秶</t>
  </si>
  <si>
    <t>418.914</t>
  </si>
  <si>
    <t>被卡住的天才：用韌性釋放被禁錮的才智</t>
  </si>
  <si>
    <t>9789576938696</t>
  </si>
  <si>
    <t>莫娜•歐倫史坦（Myrna Orenstein）</t>
  </si>
  <si>
    <t>聖壇之火：一趟靈性的真誠之旅</t>
  </si>
  <si>
    <t>9789863900696</t>
  </si>
  <si>
    <t>亞瑟‧本森</t>
  </si>
  <si>
    <t>社長筆記：我在扶輪社擔任社長的日子</t>
  </si>
  <si>
    <t>9789863900771</t>
  </si>
  <si>
    <t>朱福民</t>
  </si>
  <si>
    <t>心情越南語</t>
  </si>
  <si>
    <t>EBK10200010537</t>
  </si>
  <si>
    <t>商務越南語</t>
  </si>
  <si>
    <t>EBK10200010538</t>
  </si>
  <si>
    <t>越南人日常用詞</t>
  </si>
  <si>
    <t>EBK10200010539</t>
  </si>
  <si>
    <t>戀愛越南語</t>
  </si>
  <si>
    <t>EBK10200010540</t>
  </si>
  <si>
    <t>富貴本無種：天下第一俠商的賺錢神話</t>
  </si>
  <si>
    <t>9789863900733</t>
  </si>
  <si>
    <t>葉宏君</t>
  </si>
  <si>
    <t>那些不完美的，才是人生</t>
  </si>
  <si>
    <t>9789863900757</t>
  </si>
  <si>
    <t>阿弗瑞德‧阿德勒〈Alfred Adler〉</t>
  </si>
  <si>
    <t>一偈開悟：六祖惠能大師傳奇</t>
  </si>
  <si>
    <t>9789863900542</t>
  </si>
  <si>
    <t>黃栢權</t>
  </si>
  <si>
    <t>擁抱真心‧幸福就在不遠處</t>
  </si>
  <si>
    <t>9789868821583</t>
  </si>
  <si>
    <t>赤根祥道</t>
  </si>
  <si>
    <t>學習堅持‧成就未來大格局</t>
  </si>
  <si>
    <t>9789868821576</t>
  </si>
  <si>
    <t>高飛飛</t>
  </si>
  <si>
    <t>行銷36計：不花一毛錢環遊世界</t>
  </si>
  <si>
    <t>9789869062282</t>
  </si>
  <si>
    <t>陳霆遠，韓謹鴿</t>
  </si>
  <si>
    <t>保險監管之理論與實務</t>
  </si>
  <si>
    <t>9789867516817</t>
  </si>
  <si>
    <t>財團法人保險事業發展中心</t>
  </si>
  <si>
    <t>鄭濟世</t>
  </si>
  <si>
    <t>地址</t>
  </si>
  <si>
    <t>4712771029673</t>
  </si>
  <si>
    <t>第一本分解步驟圖中式麵食點心</t>
  </si>
  <si>
    <t>9789863731597</t>
  </si>
  <si>
    <t>王景茹</t>
  </si>
  <si>
    <t>天然蔬果健康養生法：五色蔬果是健康特效藥</t>
  </si>
  <si>
    <t>9789863732259</t>
  </si>
  <si>
    <t>全食物瘦身密碼</t>
  </si>
  <si>
    <t>9789863731733</t>
  </si>
  <si>
    <t>飯糰壽司新鮮吃</t>
  </si>
  <si>
    <t>4715443028080</t>
  </si>
  <si>
    <t>花卉小百科</t>
  </si>
  <si>
    <t>9789864138333</t>
  </si>
  <si>
    <t>梁曉丹</t>
  </si>
  <si>
    <t>047</t>
  </si>
  <si>
    <t>曲黎敏人體自癒妙藥</t>
  </si>
  <si>
    <t>9789863732082</t>
  </si>
  <si>
    <t>曲黎敏，陳震宇</t>
  </si>
  <si>
    <t>413.92</t>
  </si>
  <si>
    <t>男性保健飲食秘方</t>
  </si>
  <si>
    <t>9789863732112</t>
  </si>
  <si>
    <t>高海波，陳飛松</t>
  </si>
  <si>
    <t>降血糖全食物密碼</t>
  </si>
  <si>
    <t>9789863732150</t>
  </si>
  <si>
    <t>電鍋燉補養生湯〈新版〉</t>
  </si>
  <si>
    <t>4715443029520</t>
  </si>
  <si>
    <t>李婉萍，康鑑文化編輯部</t>
  </si>
  <si>
    <t>五穀雜糧營養密碼：全食物自然養生法</t>
  </si>
  <si>
    <t>4715443029537</t>
  </si>
  <si>
    <t>外星人檔案未解之謎</t>
  </si>
  <si>
    <t>9789863732693</t>
  </si>
  <si>
    <t>江晃榮</t>
  </si>
  <si>
    <t>326.96</t>
  </si>
  <si>
    <t>神祕生物未解之謎</t>
  </si>
  <si>
    <t>9789863732679</t>
  </si>
  <si>
    <t>降血脂食物排行榜：36種降血脂好食物，防治心血管病及慢性病</t>
  </si>
  <si>
    <t>9789863730460</t>
  </si>
  <si>
    <t>411.37</t>
  </si>
  <si>
    <t>炒飯燴飯蓋飯真好吃</t>
  </si>
  <si>
    <t>4715443029810</t>
  </si>
  <si>
    <t>蔬果排毒完全指南：20種排毒功效特強的蔬果</t>
  </si>
  <si>
    <t>4715443029582</t>
  </si>
  <si>
    <t>降血脂吃出健康守則：暢通心血管不卡油，壞膽固醇不見了！</t>
  </si>
  <si>
    <t>4715443029605</t>
  </si>
  <si>
    <t>418</t>
  </si>
  <si>
    <t>降膽固醇速效飲食法：從此不再抽血檢查膽固醇</t>
  </si>
  <si>
    <t>4715443029599</t>
  </si>
  <si>
    <t>吃的好安心：專家教你分辨黑心食物</t>
  </si>
  <si>
    <t>4715443029612</t>
  </si>
  <si>
    <t>55道家常麵口味多</t>
  </si>
  <si>
    <t>4715443029827</t>
  </si>
  <si>
    <t>腸道排毒革命：清腸排毒食物圖典</t>
  </si>
  <si>
    <t>4715443029575</t>
  </si>
  <si>
    <t>美味好湯自己做</t>
  </si>
  <si>
    <t>4715443029834</t>
  </si>
  <si>
    <t>郭泰王</t>
  </si>
  <si>
    <t>全食物營養大師</t>
  </si>
  <si>
    <t>9789863732761</t>
  </si>
  <si>
    <t>吃對食物坐好月子</t>
  </si>
  <si>
    <t>9789863732716</t>
  </si>
  <si>
    <t>429.13</t>
  </si>
  <si>
    <t>全食物防癌密碼</t>
  </si>
  <si>
    <t>9789863731948</t>
  </si>
  <si>
    <t>顏風水：從面相看性格、財運、事業、健康</t>
  </si>
  <si>
    <t>9789863730903</t>
  </si>
  <si>
    <t>翊樺</t>
  </si>
  <si>
    <t>你不可不知道的歐洲藝術與建築風格</t>
  </si>
  <si>
    <t>9789869312714</t>
  </si>
  <si>
    <t>信實文化行銷有限公司</t>
  </si>
  <si>
    <t>909.4</t>
  </si>
  <si>
    <t>I am Nala：百萬人氣貓與插畫家的浪漫邂逅，教你精湛的繪貓技法</t>
  </si>
  <si>
    <t>9789865767976</t>
  </si>
  <si>
    <t>文靜</t>
  </si>
  <si>
    <t>948.2</t>
  </si>
  <si>
    <t>貓咪肉肉彩鉛國：一支筆、一盆多肉、一隻貓？！</t>
  </si>
  <si>
    <t>9789865767709</t>
  </si>
  <si>
    <t>@SUNRISE-J 文靜</t>
  </si>
  <si>
    <t>園藝系女孩的水彩日誌</t>
  </si>
  <si>
    <t>9789865767723</t>
  </si>
  <si>
    <t>花農女</t>
  </si>
  <si>
    <t>948.4</t>
  </si>
  <si>
    <t>八卦一下藝術吧！新聞、星聞、腥聞跟辛聞，偷偷說給你聽</t>
  </si>
  <si>
    <t>9789865767792</t>
  </si>
  <si>
    <t>祺四</t>
  </si>
  <si>
    <t>你不可不知道的西洋繪畫中食物的故事：You must know these stories of food in painting</t>
  </si>
  <si>
    <t>9789865767846</t>
  </si>
  <si>
    <t>肯尼士‧本迪納〈Kenneth Bendiner〉</t>
  </si>
  <si>
    <t>947.5</t>
  </si>
  <si>
    <t>拿撒亞之謎</t>
  </si>
  <si>
    <t>9789865767655</t>
  </si>
  <si>
    <t>几何</t>
  </si>
  <si>
    <t>譽毀之間：邁向權力巔峰的希拉蕊，PRAISE AND CRITIC：Hillary's Way to the President of the United States</t>
  </si>
  <si>
    <t>9789865767952</t>
  </si>
  <si>
    <t>敖軍</t>
  </si>
  <si>
    <t>CYNTHIA 張馨美宅：Collected works 2010─2015</t>
  </si>
  <si>
    <t>9789869157636</t>
  </si>
  <si>
    <t>水利工程概要</t>
  </si>
  <si>
    <t>9789574793433</t>
  </si>
  <si>
    <t>大華傳真出版社</t>
  </si>
  <si>
    <t>程林</t>
  </si>
  <si>
    <t>測量學概要</t>
  </si>
  <si>
    <t>9789574793426</t>
  </si>
  <si>
    <t>王運元</t>
  </si>
  <si>
    <t>平面測量學〈含地籍測量〉</t>
  </si>
  <si>
    <t>9789862150313</t>
  </si>
  <si>
    <t>國際經濟學〈含概要〉</t>
  </si>
  <si>
    <t>9789862153734</t>
  </si>
  <si>
    <t>平心</t>
  </si>
  <si>
    <t>552.1</t>
  </si>
  <si>
    <t>讀者服務〈含概要〉</t>
  </si>
  <si>
    <t>9789862151327</t>
  </si>
  <si>
    <t>孔德仁</t>
  </si>
  <si>
    <t>023.6</t>
  </si>
  <si>
    <t>自動控制〈控制系統〉</t>
  </si>
  <si>
    <t>9789574548934</t>
  </si>
  <si>
    <t>馮承祥</t>
  </si>
  <si>
    <t>資料結構</t>
  </si>
  <si>
    <t>9789574798667</t>
  </si>
  <si>
    <t>林勇志</t>
  </si>
  <si>
    <t>國籍與戶政法規〈含概要〉</t>
  </si>
  <si>
    <t>9789574548941</t>
  </si>
  <si>
    <t>廖震</t>
  </si>
  <si>
    <t>572.21</t>
  </si>
  <si>
    <t>鋼筋混凝土學〈概要〉與設計</t>
  </si>
  <si>
    <t>9789862150818</t>
  </si>
  <si>
    <t>施志安</t>
  </si>
  <si>
    <t>監獄行刑法〈含概要〉</t>
  </si>
  <si>
    <t>9789575333102</t>
  </si>
  <si>
    <t>589.82</t>
  </si>
  <si>
    <t>航港法規〈含概要〉精準攻略</t>
  </si>
  <si>
    <t>9789574549016</t>
  </si>
  <si>
    <t>557.41</t>
  </si>
  <si>
    <t>航運行政專業科目解題攻略大全</t>
  </si>
  <si>
    <t>9789574549092</t>
  </si>
  <si>
    <t>政府採購法規</t>
  </si>
  <si>
    <t>9789574548538</t>
  </si>
  <si>
    <t>國際貿易實務〈含理論〉</t>
  </si>
  <si>
    <t>9789574548590</t>
  </si>
  <si>
    <t>崔特</t>
  </si>
  <si>
    <t>558.5</t>
  </si>
  <si>
    <t>環保法規〈含概要〉</t>
  </si>
  <si>
    <t>9789574548743</t>
  </si>
  <si>
    <t>齊方，廖震</t>
  </si>
  <si>
    <t>445</t>
  </si>
  <si>
    <t>生產管理〈含供應鏈管理〉</t>
  </si>
  <si>
    <t>9789574799039</t>
  </si>
  <si>
    <t>葉保隆</t>
  </si>
  <si>
    <t>商用英文</t>
  </si>
  <si>
    <t>9789862151631</t>
  </si>
  <si>
    <t>駱啟聖</t>
  </si>
  <si>
    <t>產業創新條例與園區相關法規</t>
  </si>
  <si>
    <t>9789862152676</t>
  </si>
  <si>
    <t>尋找一個人</t>
  </si>
  <si>
    <t>4712771029659</t>
  </si>
  <si>
    <t>我的女巫們</t>
  </si>
  <si>
    <t>4712771029666</t>
  </si>
  <si>
    <t>海浪和河流的隊伍</t>
  </si>
  <si>
    <t>4712771029727</t>
  </si>
  <si>
    <t>詹澈</t>
  </si>
  <si>
    <t>海哭的聲音</t>
  </si>
  <si>
    <t>4712771029734</t>
  </si>
  <si>
    <t>小蘭嶼和小藍鯨</t>
  </si>
  <si>
    <t>4712771029741</t>
  </si>
  <si>
    <t>詹澈詩選（1975-2005）</t>
  </si>
  <si>
    <t>4712771029758</t>
  </si>
  <si>
    <t>綠島外獄書</t>
  </si>
  <si>
    <t>4712771029765</t>
  </si>
  <si>
    <t>餘燼再生：綠島外獄書續篇</t>
  </si>
  <si>
    <t>4712771029772</t>
  </si>
  <si>
    <t>最強圖解新多益：NEW TOEIC單字記憶術【有聲】</t>
  </si>
  <si>
    <t>9789862712597</t>
  </si>
  <si>
    <t>張翔，薛詩怡</t>
  </si>
  <si>
    <t>不計較，感謝那些利用你的人</t>
  </si>
  <si>
    <t>9789862712818</t>
  </si>
  <si>
    <t>黃德惠</t>
  </si>
  <si>
    <t>放下， 其實沒什麼大不了！：雜念退散的煩惱清理術</t>
  </si>
  <si>
    <t>9789862713198</t>
  </si>
  <si>
    <t>呂佳綺</t>
  </si>
  <si>
    <t>戲劇之王：莎士比亞經典故事全集</t>
  </si>
  <si>
    <t>9789862712962</t>
  </si>
  <si>
    <t>威廉‧莎士比亞</t>
  </si>
  <si>
    <t>873.4331</t>
  </si>
  <si>
    <t>日語簡單不求人【有聲】</t>
  </si>
  <si>
    <t>EBK10200010532</t>
  </si>
  <si>
    <t>EZLanguage</t>
  </si>
  <si>
    <t>EZLanguage編輯部</t>
  </si>
  <si>
    <t>西班牙語簡單不求人【有聲】</t>
  </si>
  <si>
    <t>EBK10200010533</t>
  </si>
  <si>
    <t>804</t>
  </si>
  <si>
    <t>法語簡單不求人【有聲】</t>
  </si>
  <si>
    <t>EBK10200010534</t>
  </si>
  <si>
    <t>沉默之島〈增訂版〉</t>
  </si>
  <si>
    <t>4712771029260</t>
  </si>
  <si>
    <t>蘇偉貞</t>
  </si>
  <si>
    <t>Project 2013專案管理與實作經典關鍵講座</t>
  </si>
  <si>
    <t>9789862018002</t>
  </si>
  <si>
    <t>Office職場工作術：立即上手的16個廣宣文件、財會試算、營運簡報、商品資料管裡、郵件排程職場即戰例</t>
  </si>
  <si>
    <t>9789862018224</t>
  </si>
  <si>
    <t>榮欽科技，吳燦銘</t>
  </si>
  <si>
    <t>英文就醬學：英語教學達人王冠程來拯救你的菜英文</t>
  </si>
  <si>
    <t>9789862018286</t>
  </si>
  <si>
    <t>王冠程</t>
  </si>
  <si>
    <t>3ds Max 2014建模技巧與動畫設計實務</t>
  </si>
  <si>
    <t>9789862018583</t>
  </si>
  <si>
    <t>陳志浩</t>
  </si>
  <si>
    <t>Lightroom &amp; Photoshop的數位修圖與印前活用技巧</t>
  </si>
  <si>
    <t>9789862019832</t>
  </si>
  <si>
    <t>劉長儒，白乃遠，曾亦霖</t>
  </si>
  <si>
    <t>臺灣餐館評鑑</t>
  </si>
  <si>
    <t>9789866490835</t>
  </si>
  <si>
    <t>《飲食》雜誌編輯團</t>
  </si>
  <si>
    <t>不正</t>
  </si>
  <si>
    <t>9789865813543</t>
  </si>
  <si>
    <t>賀婕</t>
  </si>
  <si>
    <t>泰語簡單不求人【有聲】</t>
  </si>
  <si>
    <t>EBK10200010542</t>
  </si>
  <si>
    <t>越語簡單不求人【有聲】</t>
  </si>
  <si>
    <t>EBK10200010543</t>
  </si>
  <si>
    <t>義大利語簡單不求人【有聲】</t>
  </si>
  <si>
    <t>EBK10200010544</t>
  </si>
  <si>
    <t>韓語簡單不求人【有聲】</t>
  </si>
  <si>
    <t>EBK10200010546</t>
  </si>
  <si>
    <t>《莊子》知識論研究</t>
  </si>
  <si>
    <t>9789869290869</t>
  </si>
  <si>
    <t>鄭鈞瑋</t>
  </si>
  <si>
    <t>121.377</t>
  </si>
  <si>
    <t>單根K線的預測能力，The Predictive Power of Single-Line Patterns of Candlestick Charting</t>
  </si>
  <si>
    <t>9789869343503</t>
  </si>
  <si>
    <t>呂宗勳</t>
  </si>
  <si>
    <t>慢‧茶之旅</t>
  </si>
  <si>
    <t>9789869227346</t>
  </si>
  <si>
    <t>劉惠華</t>
  </si>
  <si>
    <t>974</t>
  </si>
  <si>
    <t>藉口心理學：瞬間提高效率、脫離窮忙的41個眉角</t>
  </si>
  <si>
    <t>9789869057448</t>
  </si>
  <si>
    <t>林德威</t>
  </si>
  <si>
    <t>麥地裡的飛簷〈上冊〉：訪問古典旅行記之一</t>
  </si>
  <si>
    <t>9789865732400</t>
  </si>
  <si>
    <t>龍視界（經銷）</t>
  </si>
  <si>
    <t>秦里</t>
  </si>
  <si>
    <t>922</t>
  </si>
  <si>
    <t>麥地裡的飛簷〈下冊〉：訪問古典旅行記之一</t>
  </si>
  <si>
    <t>9789865732417</t>
  </si>
  <si>
    <t>跑馬溜溜：川西康定行</t>
  </si>
  <si>
    <t>9789865976637</t>
  </si>
  <si>
    <t>釀出版</t>
  </si>
  <si>
    <t>陳亞南</t>
  </si>
  <si>
    <t>672.76</t>
  </si>
  <si>
    <t>漢朝的故事1：秦失其鹿</t>
  </si>
  <si>
    <t>9789865981532</t>
  </si>
  <si>
    <t>林漢達</t>
  </si>
  <si>
    <t>漢朝的故事2：楚漢爭霸</t>
  </si>
  <si>
    <t>9789865981549</t>
  </si>
  <si>
    <t>漢朝的故事3：龍城飛將</t>
  </si>
  <si>
    <t>9789865981556</t>
  </si>
  <si>
    <t>漢朝的故事4：蘇武牧羊</t>
  </si>
  <si>
    <t>9789865981563</t>
  </si>
  <si>
    <t>漢朝的故事5：王莽篡漢</t>
  </si>
  <si>
    <t>9789865981570</t>
  </si>
  <si>
    <t>漢朝的故事6：東漢興衰</t>
  </si>
  <si>
    <t>9789865981587</t>
  </si>
  <si>
    <t>驚玉記</t>
  </si>
  <si>
    <t>9789866095122</t>
  </si>
  <si>
    <t>南子</t>
  </si>
  <si>
    <t>小小二十年</t>
  </si>
  <si>
    <t>9789866095320</t>
  </si>
  <si>
    <t>昌言</t>
  </si>
  <si>
    <t>異域歲月：李效顏長篇戰爭小說</t>
  </si>
  <si>
    <t>9789866095542</t>
  </si>
  <si>
    <t>李效顏</t>
  </si>
  <si>
    <t>狼</t>
  </si>
  <si>
    <t>9789869010078</t>
  </si>
  <si>
    <t>王族</t>
  </si>
  <si>
    <t>我生氣，但我更爭氣！</t>
  </si>
  <si>
    <t>9789576938771</t>
  </si>
  <si>
    <t>曾柏穎</t>
  </si>
  <si>
    <t>415.9896</t>
  </si>
  <si>
    <t>在關係中，讓愛流動：華人家庭關係的評估與修復</t>
  </si>
  <si>
    <t>9789576938757</t>
  </si>
  <si>
    <t>趙文滔，徐君楓，張綺瑄‧‧‧</t>
  </si>
  <si>
    <t>台灣地方環境的教訓：五都四縣的大代誌</t>
  </si>
  <si>
    <t>9789577325020</t>
  </si>
  <si>
    <t>蕭新煌</t>
  </si>
  <si>
    <t>445.99</t>
  </si>
  <si>
    <t>社會心理學</t>
  </si>
  <si>
    <t>9789577324221</t>
  </si>
  <si>
    <t>彭懷真</t>
  </si>
  <si>
    <t>541.7</t>
  </si>
  <si>
    <t>太陽花學運後的兩岸關係與南臺灣</t>
  </si>
  <si>
    <t>9789867013934</t>
  </si>
  <si>
    <t>樹德科技大學兩岸和平研究中心（麗文）</t>
  </si>
  <si>
    <t>吳建德等</t>
  </si>
  <si>
    <t>573.09</t>
  </si>
  <si>
    <t>南台灣踏查手記</t>
  </si>
  <si>
    <t>9789578016941</t>
  </si>
  <si>
    <t>李仙得〈Charles W. LeGendre〉</t>
  </si>
  <si>
    <t>733.27</t>
  </si>
  <si>
    <t>台灣總督府</t>
  </si>
  <si>
    <t>9789578017115</t>
  </si>
  <si>
    <t>黃昭堂</t>
  </si>
  <si>
    <t>733.2801</t>
  </si>
  <si>
    <t>拋荒的故事：第一輯‧田庄傳奇紀事</t>
  </si>
  <si>
    <t>9789578016989</t>
  </si>
  <si>
    <t>陳明仁，黃之綠，廖秀齡</t>
  </si>
  <si>
    <t>拋荒的故事：第二輯‧田庄愛情婚姻紀事</t>
  </si>
  <si>
    <t>9789578017030</t>
  </si>
  <si>
    <t>陳明仁，蔡詠淯</t>
  </si>
  <si>
    <t>拋荒的故事：第三輯‧田庄浪漫紀事</t>
  </si>
  <si>
    <t>9789578017092</t>
  </si>
  <si>
    <t>拋荒的故事：第四輯‧田庄囡仔紀事</t>
  </si>
  <si>
    <t>9789578017238</t>
  </si>
  <si>
    <t>儒禍</t>
  </si>
  <si>
    <t>9789578017191</t>
  </si>
  <si>
    <t>6個符號中高級英文法</t>
  </si>
  <si>
    <t>9867858549_2</t>
  </si>
  <si>
    <t>把生命浪費在美好的事物上</t>
  </si>
  <si>
    <t>9789869218597</t>
  </si>
  <si>
    <t>吳曉波</t>
  </si>
  <si>
    <t>自行車健身全攻略</t>
  </si>
  <si>
    <t>9789864110254</t>
  </si>
  <si>
    <t>黃建崴</t>
  </si>
  <si>
    <t>993</t>
  </si>
  <si>
    <t>馬桶故事集：歷史哪有這麼硬</t>
  </si>
  <si>
    <t>9789864110261</t>
  </si>
  <si>
    <t>賽賽主公</t>
  </si>
  <si>
    <t>學會自己長大：放下過去，不是逃避而是接受</t>
  </si>
  <si>
    <t>9789864110278</t>
  </si>
  <si>
    <t>把自己的人生做好、做滿</t>
  </si>
  <si>
    <t>9789864110315</t>
  </si>
  <si>
    <t>江語馨</t>
  </si>
  <si>
    <t>第一千零一個堅強的理由：有了嚮往，才有奮鬥的力量</t>
  </si>
  <si>
    <t>9789864110322</t>
  </si>
  <si>
    <t>王悅慈</t>
  </si>
  <si>
    <t>就是要爆笑啊！不然要幹嘛？</t>
  </si>
  <si>
    <t>9789864530243</t>
  </si>
  <si>
    <t>范周戈</t>
  </si>
  <si>
    <t>說好了這一次絕不辭職：不逃避勇敢面對職場的8堂課</t>
  </si>
  <si>
    <t>9789864530250</t>
  </si>
  <si>
    <t>何俐伶</t>
  </si>
  <si>
    <t>福爾摩斯推理事件：失控的詭計</t>
  </si>
  <si>
    <t>9789864530274</t>
  </si>
  <si>
    <t>夏洛克</t>
  </si>
  <si>
    <t>「普通人」的成功法則：對自己狠一點，逆轉人生50個必修學分</t>
  </si>
  <si>
    <t>9789864530281</t>
  </si>
  <si>
    <t>陳曉明</t>
  </si>
  <si>
    <t>上班危險，小心輕放：完美對付工作危機的生存技巧</t>
  </si>
  <si>
    <t>9789864530304</t>
  </si>
  <si>
    <t>懶人日語學習法：超好用日語文法書</t>
  </si>
  <si>
    <t>9789865753542</t>
  </si>
  <si>
    <t>803.16</t>
  </si>
  <si>
    <t>我的孩子愛生氣怎辦？這樣教，孩子情緒不失控</t>
  </si>
  <si>
    <t>9789865753610</t>
  </si>
  <si>
    <t>張曉雲</t>
  </si>
  <si>
    <t>歷史上最不靠譜的十大皇帝</t>
  </si>
  <si>
    <t>9789865819842</t>
  </si>
  <si>
    <t>黃太子</t>
  </si>
  <si>
    <t>我的生活趣味化學知識</t>
  </si>
  <si>
    <t>9789865819866</t>
  </si>
  <si>
    <t>雅瑟</t>
  </si>
  <si>
    <t>高效率閱讀法：訓練超強記憶術！</t>
  </si>
  <si>
    <t>9789865819880</t>
  </si>
  <si>
    <t>潘俊錡</t>
  </si>
  <si>
    <t>176.33</t>
  </si>
  <si>
    <t>用十力打造實力：培養幸福生涯核心能力</t>
  </si>
  <si>
    <t>9789576938733</t>
  </si>
  <si>
    <t>八週正念練習：走出憂鬱與情緒風暴</t>
  </si>
  <si>
    <t>9789576938764</t>
  </si>
  <si>
    <t>約翰‧蒂斯岱〈John Teasdale〉，馬克‧威廉斯〈Mark Williams〉，辛德‧西格爾〈Zindel Segal〉</t>
  </si>
  <si>
    <t>每天8分鐘14天讓你看起來少5公斤</t>
  </si>
  <si>
    <t>9789868963313</t>
  </si>
  <si>
    <t>遠山若彩</t>
  </si>
  <si>
    <t>歲月之24節氣與72物候</t>
  </si>
  <si>
    <t>9789868984851</t>
  </si>
  <si>
    <t>榆芹</t>
  </si>
  <si>
    <t>538.59</t>
  </si>
  <si>
    <t>王者流風：淺談獅子文化與藝術</t>
  </si>
  <si>
    <t>9789867120779</t>
  </si>
  <si>
    <t>張隆盛</t>
  </si>
  <si>
    <t>713</t>
  </si>
  <si>
    <t>國際教育實戰導航：一所臺灣小學的行動研究</t>
  </si>
  <si>
    <t>9789869343510</t>
  </si>
  <si>
    <t>趙文德</t>
  </si>
  <si>
    <t>523.3</t>
  </si>
  <si>
    <t>華人社會關係中的緣觀認知運作歷程：理論建構與實徵研究</t>
  </si>
  <si>
    <t>9789869343534</t>
  </si>
  <si>
    <t>徐欣萍</t>
  </si>
  <si>
    <t>after：「隱晦家庭」繪本三部曲之三</t>
  </si>
  <si>
    <t>9789869255776</t>
  </si>
  <si>
    <t>馬尼尼為</t>
  </si>
  <si>
    <t>947</t>
  </si>
  <si>
    <t>老人臉貓：「隱晦家庭」繪本三部曲之二</t>
  </si>
  <si>
    <t>9789869255769</t>
  </si>
  <si>
    <t>海的旅館：「隱晦家庭」繪本三部曲之一</t>
  </si>
  <si>
    <t>9789869255752</t>
  </si>
  <si>
    <t>幸福童年的祕密</t>
  </si>
  <si>
    <t>9789863570110</t>
  </si>
  <si>
    <t>愛麗絲‧米勒〈Alice Miller〉</t>
  </si>
  <si>
    <t>173.1</t>
  </si>
  <si>
    <t>夏娃的覺醒：擁抱童年，找回真實自我</t>
  </si>
  <si>
    <t>9789863570189</t>
  </si>
  <si>
    <t>憂鬱的醫生，想飛：王浩威醫師的情緒門診2</t>
  </si>
  <si>
    <t>9789866112744</t>
  </si>
  <si>
    <t>王浩威</t>
  </si>
  <si>
    <t>捉妖宿舍的問題生01</t>
  </si>
  <si>
    <t>9789575169695</t>
  </si>
  <si>
    <t>長鴻出版社股份有限公司</t>
  </si>
  <si>
    <t>水巷</t>
  </si>
  <si>
    <t>捉妖宿舍的問題生02</t>
  </si>
  <si>
    <t>9789575169947</t>
  </si>
  <si>
    <t>跟著NASA學創新：太空總署教你解決企業最棘手難題17堂必修課</t>
  </si>
  <si>
    <t>9789862485019</t>
  </si>
  <si>
    <t>羅德‧派爾 Rod Pyle</t>
  </si>
  <si>
    <t>親子民宿：體驗綠野水岸X老屋童趣舊回憶</t>
  </si>
  <si>
    <t>9789862483343</t>
  </si>
  <si>
    <t>小豌豆玩樂隊</t>
  </si>
  <si>
    <t>992.6233</t>
  </si>
  <si>
    <t>鄉狼金桃</t>
  </si>
  <si>
    <t>9789869234870</t>
  </si>
  <si>
    <t>張天捷</t>
  </si>
  <si>
    <t>愛情專線1999</t>
  </si>
  <si>
    <t>9789869234887</t>
  </si>
  <si>
    <t>密絲飄</t>
  </si>
  <si>
    <t>鎌倉、海街好日子：「觀光以上、住人未滿」的湘南私我路徑</t>
  </si>
  <si>
    <t>9789869234863</t>
  </si>
  <si>
    <t>Milly</t>
  </si>
  <si>
    <t>731.72709</t>
  </si>
  <si>
    <t>快樂至上，西班牙！</t>
  </si>
  <si>
    <t>9789869234894</t>
  </si>
  <si>
    <t>行動小廚房5：小烤箱的超萬用指南</t>
  </si>
  <si>
    <t>9789869234856</t>
  </si>
  <si>
    <t>動物國的流浪者</t>
  </si>
  <si>
    <t>9789869234849</t>
  </si>
  <si>
    <t>鄧紫云〈兜兜〉</t>
  </si>
  <si>
    <t>737.19</t>
  </si>
  <si>
    <t>極簡，豐盛！一鍋搞定全球經典菜色</t>
  </si>
  <si>
    <t>9789869310475</t>
  </si>
  <si>
    <t>莎賓娜‧弗達─侯樂 Sabrina FaudaRôle</t>
  </si>
  <si>
    <t>極簡，豐盛！一碗即全餐的健康新時尚</t>
  </si>
  <si>
    <t>9789869310468</t>
  </si>
  <si>
    <t>安娜‧席玲羅‧漢普頓 Anna Shillinglaw Hampton</t>
  </si>
  <si>
    <t>教得燦爛，答得精彩：教甄複試高分秘訣</t>
  </si>
  <si>
    <t>9789863745952</t>
  </si>
  <si>
    <t>徐弘縉</t>
  </si>
  <si>
    <t>522</t>
  </si>
  <si>
    <t>會計事務〈人工記帳、資訊〉乙級技能檢定學科分類題庫</t>
  </si>
  <si>
    <t>9789863746270</t>
  </si>
  <si>
    <t>李秋燕</t>
  </si>
  <si>
    <t>郵政內勤歷年試題四合一解題勝經</t>
  </si>
  <si>
    <t>9789863746089</t>
  </si>
  <si>
    <t>高朋，德芬，張恆，游正</t>
  </si>
  <si>
    <t>557</t>
  </si>
  <si>
    <t>郵政外勤歷年試題四合一解題勝經</t>
  </si>
  <si>
    <t>9789863746003</t>
  </si>
  <si>
    <t>主題式企業管理〈含大意〉</t>
  </si>
  <si>
    <t>9789863745990</t>
  </si>
  <si>
    <t>張恆</t>
  </si>
  <si>
    <t>勝出！企業管理〈含大意〉主題式題庫+歷年試題大解碼</t>
  </si>
  <si>
    <t>9789863745907</t>
  </si>
  <si>
    <t>陳金城</t>
  </si>
  <si>
    <t>勝出！內外勤郵政法規大意條文對照式題庫</t>
  </si>
  <si>
    <t>9789863746119</t>
  </si>
  <si>
    <t>游正</t>
  </si>
  <si>
    <t>國文〈作文、公文與測驗〉焦點總複習</t>
  </si>
  <si>
    <t>9789863745877</t>
  </si>
  <si>
    <t>高朋，尚榜</t>
  </si>
  <si>
    <t>論文高分題庫</t>
  </si>
  <si>
    <t>9789863746058</t>
  </si>
  <si>
    <t>國文〈論文寫作〉</t>
  </si>
  <si>
    <t>9789863746041</t>
  </si>
  <si>
    <t>初階授信人員專業測驗一次過關〈含授信法規及授信實務〉</t>
  </si>
  <si>
    <t>9789863745938</t>
  </si>
  <si>
    <t>陳忻，蘇子非</t>
  </si>
  <si>
    <t>562</t>
  </si>
  <si>
    <t>會計學概要﹝主題式題庫＋歷年試題﹞</t>
  </si>
  <si>
    <t>9789863745921</t>
  </si>
  <si>
    <t>稅務相關法規概要﹝主題式題庫+歷年試題﹞</t>
  </si>
  <si>
    <t>9789863745891</t>
  </si>
  <si>
    <t>張玉玲</t>
  </si>
  <si>
    <t>記帳士超強合輯﹝重點統整+模擬考+歷年試題﹞</t>
  </si>
  <si>
    <t>9789863746195</t>
  </si>
  <si>
    <t>黃素慧</t>
  </si>
  <si>
    <t>最新題型國文：測驗精鍊﹝包括公文格式用語﹞</t>
  </si>
  <si>
    <t>9789863746140</t>
  </si>
  <si>
    <t>楊仁志</t>
  </si>
  <si>
    <t>國文：公文格式用語，看這本就夠了</t>
  </si>
  <si>
    <t>9789863746133</t>
  </si>
  <si>
    <t>鍾裕</t>
  </si>
  <si>
    <t>超級犯規！國文高分關鍵的七堂課，看這本就夠了</t>
  </si>
  <si>
    <t>9789863745983</t>
  </si>
  <si>
    <t>李宜藍</t>
  </si>
  <si>
    <t>英文，看這本就夠了</t>
  </si>
  <si>
    <t>9789863745976</t>
  </si>
  <si>
    <t>人事行政大意，看這本就夠了</t>
  </si>
  <si>
    <t>9789863746164</t>
  </si>
  <si>
    <t>572</t>
  </si>
  <si>
    <t>英文焦點速成</t>
  </si>
  <si>
    <t>9789863746294</t>
  </si>
  <si>
    <t>以情境學習理論在華語虛擬社群之應用</t>
  </si>
  <si>
    <t>9789869343541</t>
  </si>
  <si>
    <t>湯梓辰</t>
  </si>
  <si>
    <t>大學國文：單元主題課程設計〈上冊〉</t>
  </si>
  <si>
    <t>9789866197505</t>
  </si>
  <si>
    <t>輔大書坊</t>
  </si>
  <si>
    <t>張銀樹</t>
  </si>
  <si>
    <t>大學國文：單元主題課程設計〈下冊〉</t>
  </si>
  <si>
    <t>9789866197512</t>
  </si>
  <si>
    <t>東方啟蒙西方：十八世紀德國沃里茲〈Wörlitz〉自然風景園林之中國元素</t>
  </si>
  <si>
    <t>9789866197635</t>
  </si>
  <si>
    <t>張省卿</t>
  </si>
  <si>
    <t>929.943</t>
  </si>
  <si>
    <t>耶穌會在華高等教育史：使命與傳承〈1594-1952〉</t>
  </si>
  <si>
    <t>9789866197796</t>
  </si>
  <si>
    <t>姜有國</t>
  </si>
  <si>
    <t>248.85</t>
  </si>
  <si>
    <t>音樂、文學與教育</t>
  </si>
  <si>
    <t>9789866197499</t>
  </si>
  <si>
    <t>燈〈散文詩集〉</t>
  </si>
  <si>
    <t>9789866197741</t>
  </si>
  <si>
    <t>薛保綸</t>
  </si>
  <si>
    <t>琅琅上口的流行英文歌曲：我是文法書！</t>
  </si>
  <si>
    <t>9789869285605</t>
  </si>
  <si>
    <t>陳儀眉Tina</t>
  </si>
  <si>
    <t>英文文法的奧秘：探索世界神秘事件，同步學習英文文法【有聲】</t>
  </si>
  <si>
    <t>9789869285612</t>
  </si>
  <si>
    <t>孟瑞秋</t>
  </si>
  <si>
    <t>學校沒有教的「髒」英文【有聲】</t>
  </si>
  <si>
    <t>9789869285629</t>
  </si>
  <si>
    <t>欒復倪 Fu-Ni Luan</t>
  </si>
  <si>
    <t>Easy &amp; Basic 餐飲口說英語【有聲】</t>
  </si>
  <si>
    <t>9789869285636</t>
  </si>
  <si>
    <t>影響力字彙【有聲】</t>
  </si>
  <si>
    <t>9789869285643</t>
  </si>
  <si>
    <t>洪婉婷</t>
  </si>
  <si>
    <t>現學現用的Smart網購英文</t>
  </si>
  <si>
    <t>9789869285650</t>
  </si>
  <si>
    <t>Jessica Su</t>
  </si>
  <si>
    <t>超實用澳洲打工度假武林祕笈</t>
  </si>
  <si>
    <t>9789863582052</t>
  </si>
  <si>
    <t>彭健倫〈Artist〉</t>
  </si>
  <si>
    <t>依然真摯與忠誠：談成人亞斯伯格症與自閉症</t>
  </si>
  <si>
    <t>9789863570097</t>
  </si>
  <si>
    <t>簡意玲</t>
  </si>
  <si>
    <t>415.988</t>
  </si>
  <si>
    <t>健康飲食好心情：厭食、暴食與肥胖的心理探討</t>
  </si>
  <si>
    <t>9789863570219</t>
  </si>
  <si>
    <t>曾美智</t>
  </si>
  <si>
    <t>415.9982</t>
  </si>
  <si>
    <t>瑜伽經白話講解：三摩地篇</t>
  </si>
  <si>
    <t>9789865623470</t>
  </si>
  <si>
    <t>斯瓦米韋達‧帕若堤（Swami Veda Bharati）</t>
  </si>
  <si>
    <t>國考大師教您看圖學會政府會計〈含概要〉</t>
  </si>
  <si>
    <t>9789863745471</t>
  </si>
  <si>
    <t>三鶯</t>
  </si>
  <si>
    <t>圖解最省力的榜首讀書法：雙榜狀元讀書秘訣無私大公開！</t>
  </si>
  <si>
    <t>9789863745525</t>
  </si>
  <si>
    <t>賴小節</t>
  </si>
  <si>
    <t>會計事務〈人工記帳〉乙級技能檢定術科實作秘笈</t>
  </si>
  <si>
    <t>9789863745778</t>
  </si>
  <si>
    <t>會計事務〈人工記帳、資訊〉丙級技能檢定學科分類題庫</t>
  </si>
  <si>
    <t>9789863745624</t>
  </si>
  <si>
    <t>蔡賢民</t>
  </si>
  <si>
    <t>會計事務〈人工記帳〉丙級技能檢定術科實作秘笈</t>
  </si>
  <si>
    <t>9789863745730</t>
  </si>
  <si>
    <t>國土安全與移民政策〈包括移民人權〉</t>
  </si>
  <si>
    <t>9789863741398</t>
  </si>
  <si>
    <t>翊傑</t>
  </si>
  <si>
    <t>579</t>
  </si>
  <si>
    <t>主題式電工機械〈電機機械〉高分題庫</t>
  </si>
  <si>
    <t>9789863745846</t>
  </si>
  <si>
    <t>鄭祥瑞</t>
  </si>
  <si>
    <t>448</t>
  </si>
  <si>
    <t>國文作文完勝秘笈18招</t>
  </si>
  <si>
    <t>9789863745785</t>
  </si>
  <si>
    <t>管理就像一齣戲：皇家莎士比亞劇團導演教你，完美扮演領導者，激發團隊創造力</t>
  </si>
  <si>
    <t>9789865671143</t>
  </si>
  <si>
    <t>皮爾斯‧易本生〈Piers Ibbotson〉</t>
  </si>
  <si>
    <t>台灣高山有機咖啡產業發展研究</t>
  </si>
  <si>
    <t>9789868738171</t>
  </si>
  <si>
    <t>《台灣高山有機咖啡產業發展研究》編輯小組</t>
  </si>
  <si>
    <t>463.845</t>
  </si>
  <si>
    <t>水果營養密碼</t>
  </si>
  <si>
    <t>9789863731290</t>
  </si>
  <si>
    <t>動物奧祕行為</t>
  </si>
  <si>
    <t>9789864138418</t>
  </si>
  <si>
    <t>人類文化</t>
  </si>
  <si>
    <t>楊正雄，劉芝麟</t>
  </si>
  <si>
    <t>舌尖上的旅行</t>
  </si>
  <si>
    <t>9789865697228</t>
  </si>
  <si>
    <t>鄭迪蔚</t>
  </si>
  <si>
    <t>538.7</t>
  </si>
  <si>
    <t>香氣決定你的愛在哪裡</t>
  </si>
  <si>
    <t>9789869276535</t>
  </si>
  <si>
    <t>今景奈麗</t>
  </si>
  <si>
    <t>舒食素食</t>
  </si>
  <si>
    <t>9789869276573</t>
  </si>
  <si>
    <t>許嬍媄</t>
  </si>
  <si>
    <t>輕輕一粥慰身心</t>
  </si>
  <si>
    <t>9789869291347</t>
  </si>
  <si>
    <t>何歡</t>
  </si>
  <si>
    <t>家常菜烹飪訣竅全公開：80道超人氣家常菜大收錄！簡單易學，完美上菜不NG！</t>
  </si>
  <si>
    <t>9789863732099</t>
  </si>
  <si>
    <t>自己做幸福餅乾〈中英對照〉</t>
  </si>
  <si>
    <t>4715443030687</t>
  </si>
  <si>
    <t>巧用電鍋做好菜</t>
  </si>
  <si>
    <t>4715443029940</t>
  </si>
  <si>
    <t>郭子儀，陳冠廷，陳彥志，黃家洋</t>
  </si>
  <si>
    <t>手工餅乾自己做更好吃</t>
  </si>
  <si>
    <t>4715443030670</t>
  </si>
  <si>
    <t>降血壓全食物密碼</t>
  </si>
  <si>
    <t>9789863732167</t>
  </si>
  <si>
    <t>何一成〈醫師〉</t>
  </si>
  <si>
    <t>生命書寫</t>
  </si>
  <si>
    <t>9789860263060</t>
  </si>
  <si>
    <t>中央研究院歐美研究所（經銷）</t>
  </si>
  <si>
    <t>紀元文，李有成</t>
  </si>
  <si>
    <t>讓您不再關節炎煩惱</t>
  </si>
  <si>
    <t>9789865756536</t>
  </si>
  <si>
    <t>丑鋼</t>
  </si>
  <si>
    <t>416.63</t>
  </si>
  <si>
    <t>幸福，人生的答案</t>
  </si>
  <si>
    <t>9789865756550</t>
  </si>
  <si>
    <t>王瓊慈</t>
  </si>
  <si>
    <t>懂得一點幽默：人生將不再是枯燥無味</t>
  </si>
  <si>
    <t>9789865756543</t>
  </si>
  <si>
    <t>張偉祥</t>
  </si>
  <si>
    <t>老人的生活哲學：學會照顧自己，不要被命運左右</t>
  </si>
  <si>
    <t>9789865756567</t>
  </si>
  <si>
    <t>173.5</t>
  </si>
  <si>
    <t>活得簡單、過得自在的生活小確幸</t>
  </si>
  <si>
    <t>9789865756574</t>
  </si>
  <si>
    <t>葉威狀</t>
  </si>
  <si>
    <t>民主與法治的出路</t>
  </si>
  <si>
    <t>9789861441504</t>
  </si>
  <si>
    <t>劉昊洲</t>
  </si>
  <si>
    <t>580.164</t>
  </si>
  <si>
    <t>中學類教師檢定通關寶典〈重點整理+模擬試題+歷年試題解析〉</t>
  </si>
  <si>
    <t>9789863746621</t>
  </si>
  <si>
    <t>艾育</t>
  </si>
  <si>
    <t>522.1</t>
  </si>
  <si>
    <t>企業管理大意滿分必殺絕技</t>
  </si>
  <si>
    <t>9789863746423</t>
  </si>
  <si>
    <t>楊均</t>
  </si>
  <si>
    <t>企業管理〈含概要〉名師攻略</t>
  </si>
  <si>
    <t>9789863746232</t>
  </si>
  <si>
    <t>機械常識</t>
  </si>
  <si>
    <t>9789863746409</t>
  </si>
  <si>
    <t>林柏超</t>
  </si>
  <si>
    <t>國民營英文高分題庫</t>
  </si>
  <si>
    <t>9789863746850</t>
  </si>
  <si>
    <t>企業管理〈適用管理概論〉滿分必殺絕技</t>
  </si>
  <si>
    <t>9789863746430</t>
  </si>
  <si>
    <t>導遊實務〈一〉﹝華語、外語導遊人員﹞</t>
  </si>
  <si>
    <t>9789863746478</t>
  </si>
  <si>
    <t>導遊實務〈二〉﹝華語、外語導遊人員﹞</t>
  </si>
  <si>
    <t>9789863746751</t>
  </si>
  <si>
    <t>觀光資源概要〈包括台灣史地、觀光資源維護〉﹝華語、外語導遊人員﹞</t>
  </si>
  <si>
    <t>9789863746775</t>
  </si>
  <si>
    <t>邱 燁，章 琪，陳書翊</t>
  </si>
  <si>
    <t>992.2</t>
  </si>
  <si>
    <t>領隊實務〈一〉﹝華語、外語領隊人員﹞</t>
  </si>
  <si>
    <t>9789863746461</t>
  </si>
  <si>
    <t>觀光資源概要〈包括世界史地ˋ觀光資源維護〉﹝華語、外語領隊人員﹞</t>
  </si>
  <si>
    <t>9789863746782</t>
  </si>
  <si>
    <t>邱 燁，陳書翊</t>
  </si>
  <si>
    <t>9789863746676</t>
  </si>
  <si>
    <t>9789863746867</t>
  </si>
  <si>
    <t>9789863746645</t>
  </si>
  <si>
    <t>勞工行政與勞工法規大意──看這本就夠了</t>
  </si>
  <si>
    <t>9789863746539</t>
  </si>
  <si>
    <t>陳玥</t>
  </si>
  <si>
    <t>戶籍法規大意焦點速成</t>
  </si>
  <si>
    <t>9789863746553</t>
  </si>
  <si>
    <t>翊銜</t>
  </si>
  <si>
    <t>573.2</t>
  </si>
  <si>
    <t>電子工程專業科目歷年試題澈底解說</t>
  </si>
  <si>
    <t>9789863746935</t>
  </si>
  <si>
    <t>曾嘉浩</t>
  </si>
  <si>
    <t>402</t>
  </si>
  <si>
    <t>戶籍法規大意歷年試題澈底解說</t>
  </si>
  <si>
    <t>9789863746966</t>
  </si>
  <si>
    <t>飲料與調酒﹝歷年試題+模擬考﹞</t>
  </si>
  <si>
    <t>9789863747031</t>
  </si>
  <si>
    <t>521.8</t>
  </si>
  <si>
    <t>100個最簡單的Excel巨集指令範例圖解</t>
  </si>
  <si>
    <t>9789865756499</t>
  </si>
  <si>
    <t>蘇勝宏</t>
  </si>
  <si>
    <t>活用關鍵性思唯：就是成功者與失敗者的區別</t>
  </si>
  <si>
    <t>9789865756505</t>
  </si>
  <si>
    <t>一年四季最常見的五色養生食物</t>
  </si>
  <si>
    <t>9789865756512</t>
  </si>
  <si>
    <t>嚴選驗方最簡單的家庭常見病</t>
  </si>
  <si>
    <t>9789865756529</t>
  </si>
  <si>
    <t>大眾醫學編輯部</t>
  </si>
  <si>
    <t>414.65</t>
  </si>
  <si>
    <t>很小很小的小偏方：中老人疾病一掃而光</t>
  </si>
  <si>
    <t>9789865636418</t>
  </si>
  <si>
    <t>土曉明醫師</t>
  </si>
  <si>
    <t>肢體語言心理學：瞬間捕捉陌生人的微表情</t>
  </si>
  <si>
    <t>9789865636425</t>
  </si>
  <si>
    <t>張榮妹</t>
  </si>
  <si>
    <t>每天讀一點博弈術：事業成功將會大大的提升</t>
  </si>
  <si>
    <t>9789865636432</t>
  </si>
  <si>
    <t>簡易中藥手冊：有病治病，無病強身，百益無一害</t>
  </si>
  <si>
    <t>9789865636449</t>
  </si>
  <si>
    <t>趙國東醫師</t>
  </si>
  <si>
    <t>烏合之眾：大眾心理研究</t>
  </si>
  <si>
    <t>9789865636470</t>
  </si>
  <si>
    <t>〈法〉古斯塔夫．勒龐〈Gustave Le Bon〉</t>
  </si>
  <si>
    <t>541.773</t>
  </si>
  <si>
    <t>幽默的力量：以詼諧的形態表現美感的生活智慧</t>
  </si>
  <si>
    <t>9789865636517</t>
  </si>
  <si>
    <t>周志宏</t>
  </si>
  <si>
    <t>192</t>
  </si>
  <si>
    <t>一本就能Hold 住工作、享受生活的情境英語Email寫作書</t>
  </si>
  <si>
    <t>9789869239837</t>
  </si>
  <si>
    <t>力得編輯群</t>
  </si>
  <si>
    <t>805.179</t>
  </si>
  <si>
    <t>開啟生活主題字彙聯想力【有聲】</t>
  </si>
  <si>
    <t>9789869239844</t>
  </si>
  <si>
    <t>會賺$的貿易英文：用Smart慣用語跟老外這麼說，賺$有效率</t>
  </si>
  <si>
    <t>9789869239868</t>
  </si>
  <si>
    <t>Smart 外交英語：從中西諺語的文化交流開始【有聲】</t>
  </si>
  <si>
    <t>9789869239851</t>
  </si>
  <si>
    <t>詹宜婷</t>
  </si>
  <si>
    <t>805.128</t>
  </si>
  <si>
    <t>拯救你的英檢聽力！四週勇闖英語檢定【有聲】</t>
  </si>
  <si>
    <t>9789869239882</t>
  </si>
  <si>
    <t>開啟職場主題字彙聯想力【有聲】</t>
  </si>
  <si>
    <t>9789869239875</t>
  </si>
  <si>
    <t>哈佛高材生的英語寫作筆記</t>
  </si>
  <si>
    <t>9789869239899</t>
  </si>
  <si>
    <t>Nipa Wu</t>
  </si>
  <si>
    <t>貧窮、金錢、愛：用最少的資源達到最大成就，把創業精神當成改變世界的力量</t>
  </si>
  <si>
    <t>9789869141581</t>
  </si>
  <si>
    <t>潔西卡‧賈克莉 Jessica Jackley</t>
  </si>
  <si>
    <t>愛上寫作的11種方法</t>
  </si>
  <si>
    <t>9789864490400</t>
  </si>
  <si>
    <t>林德俊</t>
  </si>
  <si>
    <t>811.1</t>
  </si>
  <si>
    <t>奢侈稅實務判例研析</t>
  </si>
  <si>
    <t>9789868701595</t>
  </si>
  <si>
    <t>567.2</t>
  </si>
  <si>
    <t>種樹的男人</t>
  </si>
  <si>
    <t>9789869141505</t>
  </si>
  <si>
    <t>讓．紀沃諾 Jean Giono</t>
  </si>
  <si>
    <t>876.57</t>
  </si>
  <si>
    <t>沙郡年紀：像山一樣思考，荒野詩人寫給我們的自然之歌</t>
  </si>
  <si>
    <t>9789869141512</t>
  </si>
  <si>
    <t>奧爾多‧李奧帕德 Aldo Leopold</t>
  </si>
  <si>
    <t>300.852</t>
  </si>
  <si>
    <t>怪咖心理學：史上最搞怪的心理學實驗，讓你徹底看穿人心</t>
  </si>
  <si>
    <t>9789865956554</t>
  </si>
  <si>
    <t>李察‧韋斯曼 Richard Wiseman</t>
  </si>
  <si>
    <t>古典詩詞天空：一起飛翔在唐至清代九二首詩詞雲朵間</t>
  </si>
  <si>
    <t>9789869279017</t>
  </si>
  <si>
    <t>健康遠見特刊 遠離三高，從三低做起</t>
  </si>
  <si>
    <t>4711225316284_0001</t>
  </si>
  <si>
    <t>20160923</t>
  </si>
  <si>
    <t>遠見特刊 2017研究所指南</t>
  </si>
  <si>
    <t>4711225318929_0001</t>
  </si>
  <si>
    <t>地球還剩幾年？極端氣候下的關鍵時刻</t>
  </si>
  <si>
    <t>9789866152177</t>
  </si>
  <si>
    <t>蘇言</t>
  </si>
  <si>
    <t>328.8</t>
  </si>
  <si>
    <t>以小搏大：雲端時代 小情報與大數據運用</t>
  </si>
  <si>
    <t>9789865719036</t>
  </si>
  <si>
    <t>541.415</t>
  </si>
  <si>
    <t>人生中的減法</t>
  </si>
  <si>
    <t>9789865719173</t>
  </si>
  <si>
    <t>木木</t>
  </si>
  <si>
    <t>吃出美麗：聰明女人必讀的食療美妍書</t>
  </si>
  <si>
    <t>9789866152979</t>
  </si>
  <si>
    <t>百變素顏美人：基礎裸妝108 個祕訣</t>
  </si>
  <si>
    <t>9789865719265</t>
  </si>
  <si>
    <t>楊柳</t>
  </si>
  <si>
    <t>大明傳國玉璽</t>
  </si>
  <si>
    <t>9789866234736</t>
  </si>
  <si>
    <t>大旗出版社</t>
  </si>
  <si>
    <t>上官太白</t>
  </si>
  <si>
    <t>日本騎遇記</t>
  </si>
  <si>
    <t>9789866234835</t>
  </si>
  <si>
    <t>黃如雪</t>
  </si>
  <si>
    <t>731.9</t>
  </si>
  <si>
    <t>冰與火的國度</t>
  </si>
  <si>
    <t>9789866234910</t>
  </si>
  <si>
    <t>Wallace Woo</t>
  </si>
  <si>
    <t>747.79</t>
  </si>
  <si>
    <t>孩子們的南陽街與大人們的補習班</t>
  </si>
  <si>
    <t>9789866234873</t>
  </si>
  <si>
    <t>蔡世偉</t>
  </si>
  <si>
    <t>徒步環臺60天</t>
  </si>
  <si>
    <t>9789866234842</t>
  </si>
  <si>
    <t>黃智鋒</t>
  </si>
  <si>
    <t>733.69</t>
  </si>
  <si>
    <t>本草綱目中的100種常用的養生藥材</t>
  </si>
  <si>
    <t>9789865636531</t>
  </si>
  <si>
    <t>李興廣醫師</t>
  </si>
  <si>
    <t>414.121</t>
  </si>
  <si>
    <t>自卑與超越</t>
  </si>
  <si>
    <t>9789865636548</t>
  </si>
  <si>
    <t>阿弗雷德•阿德勒〈Alfred Adler〉</t>
  </si>
  <si>
    <t>我們都會老：如何照顧老年癡呆症</t>
  </si>
  <si>
    <t>9789865636562</t>
  </si>
  <si>
    <t>李英彥醫師</t>
  </si>
  <si>
    <t>415.9341</t>
  </si>
  <si>
    <t>不迷茫：找對人生方向的12堂心理課</t>
  </si>
  <si>
    <t>9789865636616</t>
  </si>
  <si>
    <t>何震</t>
  </si>
  <si>
    <t>餐飲英語：異國美食情緣【有聲】</t>
  </si>
  <si>
    <t>9789869285698</t>
  </si>
  <si>
    <t>陳怡歆</t>
  </si>
  <si>
    <t>幸福感！讓你戀上廚房の單人套餐2</t>
  </si>
  <si>
    <t>9789868933460</t>
  </si>
  <si>
    <t>Ruby 〈陳懿〉</t>
  </si>
  <si>
    <t>無黏液飲食療瘉法</t>
  </si>
  <si>
    <t>9789866191961</t>
  </si>
  <si>
    <t>阿諾‧埃雷特〈Amold Ehret〉</t>
  </si>
  <si>
    <t>背叛</t>
  </si>
  <si>
    <t>9789571515892</t>
  </si>
  <si>
    <t>彭鏡禧、陳芳</t>
  </si>
  <si>
    <t>854.5</t>
  </si>
  <si>
    <t>首爾時光：北國漫雪南國之境</t>
  </si>
  <si>
    <t>9789869010979</t>
  </si>
  <si>
    <t>趙溫妮</t>
  </si>
  <si>
    <t>732.7609</t>
  </si>
  <si>
    <t>The best short stories of O.Henry</t>
  </si>
  <si>
    <t>9789861849560</t>
  </si>
  <si>
    <t>O.Henry</t>
  </si>
  <si>
    <t>813</t>
  </si>
  <si>
    <t>老人與海〈原著雙語彩圖本〉〈The Old Man and the Sea〉</t>
  </si>
  <si>
    <t>9789863180708</t>
  </si>
  <si>
    <t>海明威〈Ernest Hemingway〉</t>
  </si>
  <si>
    <t>自然甜：食在安心低糖點心</t>
  </si>
  <si>
    <t>9789865813147</t>
  </si>
  <si>
    <t>廖敏雲</t>
  </si>
  <si>
    <t>空間凝視• 情感的構築—劇場與舞台設計工作歷程：以歌劇《波希米亞人》、戲劇《打狗傳奇》、戲劇《小土車》為例</t>
  </si>
  <si>
    <t>9789864371181</t>
  </si>
  <si>
    <t>李怡賡</t>
  </si>
  <si>
    <t>981</t>
  </si>
  <si>
    <t>智慧資本於工商圖書館經營管理之理論與實務</t>
  </si>
  <si>
    <t>9789864371167</t>
  </si>
  <si>
    <t>黃元鶴</t>
  </si>
  <si>
    <t>024.87</t>
  </si>
  <si>
    <t>館藏發展與管理</t>
  </si>
  <si>
    <t>9789864371198</t>
  </si>
  <si>
    <t>王梅玲，范豪英，林呈潢，張郁蔚</t>
  </si>
  <si>
    <t>023.07</t>
  </si>
  <si>
    <t>遠見特刊 聰明理財，亨利族來了</t>
  </si>
  <si>
    <t>4711225318929_0002</t>
  </si>
  <si>
    <t>20161028</t>
  </si>
  <si>
    <t>倫理領導與多構面組織公民行為：探討自我效能、尊重與LMX等中介效果</t>
  </si>
  <si>
    <t>9789869343558</t>
  </si>
  <si>
    <t>羅凱文 Kai-Wen Lo</t>
  </si>
  <si>
    <t>土地請站起來說話</t>
  </si>
  <si>
    <t>4712771029680</t>
  </si>
  <si>
    <t>博物學家的自然創世紀：亞歷山大‧馮‧洪堡德用旅行與科學丈量世界，重新定義自然</t>
  </si>
  <si>
    <t>9789869299459</t>
  </si>
  <si>
    <t>安德列雅‧沃爾芙〈Andrea Wulf〉</t>
  </si>
  <si>
    <t>784.38</t>
  </si>
  <si>
    <t>懷舊製造所：記憶、時間與老去的抒情三重奏</t>
  </si>
  <si>
    <t>9789869370905</t>
  </si>
  <si>
    <t>杜威‧德拉伊斯瑪 Douwe Draaisma</t>
  </si>
  <si>
    <t>愛的空間</t>
  </si>
  <si>
    <t>9789869084727</t>
  </si>
  <si>
    <t>880.57</t>
  </si>
  <si>
    <t>求職面試英語【有聲】</t>
  </si>
  <si>
    <t>9789865616014</t>
  </si>
  <si>
    <t>施孝昌</t>
  </si>
  <si>
    <t>愛‧英閱：擁抱英語文選／深度閱讀【合輯】</t>
  </si>
  <si>
    <t>9789861849775</t>
  </si>
  <si>
    <t>Michaeline Wu，Bai Yang</t>
  </si>
  <si>
    <t>一本漫畫學會旅遊日語會話【有聲】</t>
  </si>
  <si>
    <t>9789862485576</t>
  </si>
  <si>
    <t>吉原早季子</t>
  </si>
  <si>
    <t>謬論時代：看當代經濟理論如何毀了這世界</t>
  </si>
  <si>
    <t>9789862485583</t>
  </si>
  <si>
    <t>傑夫‧麥德瑞克〈Jeff Madrick〉</t>
  </si>
  <si>
    <t>552.52</t>
  </si>
  <si>
    <t>海魂：從鄭和的大航海時代到東瀛崛起</t>
  </si>
  <si>
    <t>9789866234361</t>
  </si>
  <si>
    <t>李峰，薩蘇</t>
  </si>
  <si>
    <t>597.92</t>
  </si>
  <si>
    <t>美國人天天說生活美語【有聲】</t>
  </si>
  <si>
    <t>9789865972974</t>
  </si>
  <si>
    <t>極限野外生存知識</t>
  </si>
  <si>
    <t>9789864110360</t>
  </si>
  <si>
    <t>李澍曄，劉燕華</t>
  </si>
  <si>
    <t>992.775</t>
  </si>
  <si>
    <t>顛覆厚黑心理學</t>
  </si>
  <si>
    <t>9789864530298</t>
  </si>
  <si>
    <t>李宗吾</t>
  </si>
  <si>
    <t>福爾摩斯推理事件2：密室殺人事件</t>
  </si>
  <si>
    <t>9789864530311</t>
  </si>
  <si>
    <t>抓住文法句型，翻譯寫作就通了</t>
  </si>
  <si>
    <t>9789865753658</t>
  </si>
  <si>
    <t>何維綺</t>
  </si>
  <si>
    <t>砍殺哈妮達！用單字學韓語會話【有聲】</t>
  </si>
  <si>
    <t>9789865753665</t>
  </si>
  <si>
    <t>如何傳銷邀約</t>
  </si>
  <si>
    <t>9789863690474</t>
  </si>
  <si>
    <t>李華康</t>
  </si>
  <si>
    <t>解決問題能力培訓遊戲</t>
  </si>
  <si>
    <t>9789863690382</t>
  </si>
  <si>
    <t>吳克禮</t>
  </si>
  <si>
    <t>情商管理培訓遊戲</t>
  </si>
  <si>
    <t>9789863690399</t>
  </si>
  <si>
    <t>江凱恩〈臺北北〉，呂承瑞〈武漢〉</t>
  </si>
  <si>
    <t>企業培訓遊戲大全〈增訂四版〉</t>
  </si>
  <si>
    <t>9789863690412</t>
  </si>
  <si>
    <t>李德凱，陳文武</t>
  </si>
  <si>
    <t>店長數據化管理技巧</t>
  </si>
  <si>
    <t>9789863690375</t>
  </si>
  <si>
    <t>任賢旺，江定遠</t>
  </si>
  <si>
    <t>開店創業手冊〈增訂四版〉</t>
  </si>
  <si>
    <t>9789863690436</t>
  </si>
  <si>
    <t>葉斯吾</t>
  </si>
  <si>
    <t>連鎖業商品開發與物流配送</t>
  </si>
  <si>
    <t>9789863690450</t>
  </si>
  <si>
    <t>黃憲仁，周明德</t>
  </si>
  <si>
    <t>連鎖業加盟招商與培訓作法</t>
  </si>
  <si>
    <t>9789863690467</t>
  </si>
  <si>
    <t>鄭志雄，黃憲仁</t>
  </si>
  <si>
    <t>新產品銷售一定成功</t>
  </si>
  <si>
    <t>9789863690504</t>
  </si>
  <si>
    <t>黃憲仁</t>
  </si>
  <si>
    <t>銷售獎勵辦法</t>
  </si>
  <si>
    <t>9789863690511</t>
  </si>
  <si>
    <t>何永祺</t>
  </si>
  <si>
    <t>鑽石切割師</t>
  </si>
  <si>
    <t>9789866191954</t>
  </si>
  <si>
    <t>麥克‧費屈曼〈Michael Fischman〉</t>
  </si>
  <si>
    <t>家庭中藥地圖：食療吃補一次就上手</t>
  </si>
  <si>
    <t>9789865756598</t>
  </si>
  <si>
    <t>辛茜庭</t>
  </si>
  <si>
    <t>藥食同源的本草綱目養生圖解</t>
  </si>
  <si>
    <t>9789865756581</t>
  </si>
  <si>
    <t>陳偉</t>
  </si>
  <si>
    <t>414</t>
  </si>
  <si>
    <t>離去？留下？：重新協商家庭關係</t>
  </si>
  <si>
    <t>9789576938795</t>
  </si>
  <si>
    <t>羅伯特‧艾莫利〈Robert E. Emery〉</t>
  </si>
  <si>
    <t>544.361</t>
  </si>
  <si>
    <t>信任，決定幸福的深度</t>
  </si>
  <si>
    <t>9789576938818</t>
  </si>
  <si>
    <t>約翰‧高特曼〈John Gottman〉，娜恩‧希爾維〈Nan Silver〉</t>
  </si>
  <si>
    <t>流：流動的生命力，浪潮中臺灣〈第一二屆移民工文學獎得獎作品集〉</t>
  </si>
  <si>
    <t>9789869238113</t>
  </si>
  <si>
    <t>四方文創股份有限公司</t>
  </si>
  <si>
    <t>東南亞移民工</t>
  </si>
  <si>
    <t>解密中英互譯技巧：翻譯+英文寫作能力一次躍進！</t>
  </si>
  <si>
    <t>9789869366410</t>
  </si>
  <si>
    <t>黃瀅瑄〈Sandra Huang〉</t>
  </si>
  <si>
    <t>做自己的勇氣：35歲以前，一定要成為的5種自己</t>
  </si>
  <si>
    <t>9789869025546</t>
  </si>
  <si>
    <t>航：破浪而來，逆風中的自由〈第三屆移民工文學獎作品集〉</t>
  </si>
  <si>
    <t>9789869238120</t>
  </si>
  <si>
    <t>56公車遊台中</t>
  </si>
  <si>
    <t>9789865892593</t>
  </si>
  <si>
    <t>全球新聞股份有限公司</t>
  </si>
  <si>
    <t>大台灣旅遊網新聞部‧‧‧</t>
  </si>
  <si>
    <t>台中冰品大作戰</t>
  </si>
  <si>
    <t>9789865892586</t>
  </si>
  <si>
    <t>柯岱昀，盧幸珠，劉家蓉，賴姵吟</t>
  </si>
  <si>
    <t>語言大師Master：日本語發音班</t>
  </si>
  <si>
    <t>EBK10200010620</t>
  </si>
  <si>
    <t>同文館</t>
  </si>
  <si>
    <t>同文館編輯部</t>
  </si>
  <si>
    <t>語言大師Master：日本語詞彙班</t>
  </si>
  <si>
    <t>EBK10200010621</t>
  </si>
  <si>
    <t>語言大師Master：日本語會話班</t>
  </si>
  <si>
    <t>EBK10200010622</t>
  </si>
  <si>
    <t>語言大師Master：印尼語發音班</t>
  </si>
  <si>
    <t>EBK10200010623</t>
  </si>
  <si>
    <t>語言大師Master：印尼語詞彙班</t>
  </si>
  <si>
    <t>EBK10200010624</t>
  </si>
  <si>
    <t>語言大師Master：印尼語會話班</t>
  </si>
  <si>
    <t>EBK10200010625</t>
  </si>
  <si>
    <t>語言大師Master：泰語發音班</t>
  </si>
  <si>
    <t>EBK10200010638</t>
  </si>
  <si>
    <t>語言大師Master：泰語詞彙班</t>
  </si>
  <si>
    <t>EBK10200010639</t>
  </si>
  <si>
    <t>語言大師Master：泰語會話班</t>
  </si>
  <si>
    <t>EBK10200010640</t>
  </si>
  <si>
    <t>語言大師Master：馬來語發音班</t>
  </si>
  <si>
    <t>EBK10200010641</t>
  </si>
  <si>
    <t>語言大師Master：馬來語詞彙班</t>
  </si>
  <si>
    <t>EBK10200010642</t>
  </si>
  <si>
    <t>語言大師Master：馬來語會話班</t>
  </si>
  <si>
    <t>EBK10200010643</t>
  </si>
  <si>
    <t>語言大師Master：越南語發音班</t>
  </si>
  <si>
    <t>EBK10200010647</t>
  </si>
  <si>
    <t>語言大師Master：越南語詞彙班</t>
  </si>
  <si>
    <t>EBK10200010648</t>
  </si>
  <si>
    <t>語言大師Master：越南語會話班</t>
  </si>
  <si>
    <t>EBK10200010649</t>
  </si>
  <si>
    <t>邊學邊玩的節慶韓國語〈上〉</t>
  </si>
  <si>
    <t>EBK10200010664_1</t>
  </si>
  <si>
    <t>邊學邊玩的節慶韓國語〈下〉</t>
  </si>
  <si>
    <t>EBK10200010664_2</t>
  </si>
  <si>
    <t>韓國明星365天都在用的生活韓語短句</t>
  </si>
  <si>
    <t>EBK10200010667</t>
  </si>
  <si>
    <t>「網路世代必備！」上網站學韓語！</t>
  </si>
  <si>
    <t>EBK10200010669</t>
  </si>
  <si>
    <t>用韓語介紹台灣：觀光韓語會話</t>
  </si>
  <si>
    <t>EBK10200010670</t>
  </si>
  <si>
    <t>喜怒哀樂韓國語</t>
  </si>
  <si>
    <t>EBK10200010673</t>
  </si>
  <si>
    <t>每天10分鐘寫韓語日記，檢定作文拿高分</t>
  </si>
  <si>
    <t>EBK10200010675</t>
  </si>
  <si>
    <t>韓語口語簡單到不行！最常用的口頭禪都在這</t>
  </si>
  <si>
    <t>EBK10200010676</t>
  </si>
  <si>
    <t>韓國人天天在用！韓語萬用會話</t>
  </si>
  <si>
    <t>EBK10200010678</t>
  </si>
  <si>
    <t>一次看懂韓文新聞：閱讀、聽力、語彙能力一次養成！〈第一冊〉</t>
  </si>
  <si>
    <t>EBK10200010679_01</t>
  </si>
  <si>
    <t>一次看懂韓文新聞：閱讀、聽力、語彙能力一次養成！〈第二冊〉</t>
  </si>
  <si>
    <t>EBK10200010679_02</t>
  </si>
  <si>
    <t>一次看懂韓文新聞：閱讀、聽力、語彙能力一次養成！〈第三冊〉</t>
  </si>
  <si>
    <t>EBK10200010679_03</t>
  </si>
  <si>
    <t>食尚韓語：開口吃遍大韓民國</t>
  </si>
  <si>
    <t>EBK10200010690</t>
  </si>
  <si>
    <t>和韓國男生交往的戀愛日記：談情說愛韓語書</t>
  </si>
  <si>
    <t>EBK10200010694</t>
  </si>
  <si>
    <t>跟著阿珠媽做韓國料理</t>
  </si>
  <si>
    <t>EBK10200010696</t>
  </si>
  <si>
    <t>原住民與漢族學童作文病句比較探討</t>
  </si>
  <si>
    <t>9789862216552</t>
  </si>
  <si>
    <t>曾振源</t>
  </si>
  <si>
    <t>遠見特刊 預見2017未來大趨勢，顛覆時代下的機會與風險</t>
  </si>
  <si>
    <t>4711225318929_0003</t>
  </si>
  <si>
    <t>20161216</t>
  </si>
  <si>
    <t>從地方知識觀點探討文化企業在社區形成的歷程：以台灣三個文化企業為例</t>
  </si>
  <si>
    <t>9789869343596</t>
  </si>
  <si>
    <t>余政龍</t>
  </si>
  <si>
    <t>Cross–Cultural E–mail Exchange between Non–Native English Speakers，EFL學習者跨文化電子郵件溝通之研究</t>
  </si>
  <si>
    <t>9789869427203</t>
  </si>
  <si>
    <t>翁裴昕 Weng Pei─shi</t>
  </si>
  <si>
    <t>一本漫畫學會日語擬聲擬態詞【有聲】</t>
  </si>
  <si>
    <t>9789862485767</t>
  </si>
  <si>
    <t>法學知識：中華民國憲法〈含概要〉</t>
  </si>
  <si>
    <t>9789863747383</t>
  </si>
  <si>
    <t>最新國文：測驗勝經</t>
  </si>
  <si>
    <t>9789863747642</t>
  </si>
  <si>
    <t>802.8022</t>
  </si>
  <si>
    <t>勞工行政與勞工立法〈含概要〉</t>
  </si>
  <si>
    <t>9789863747529</t>
  </si>
  <si>
    <t>職業安全管理甲級技術士術科總複習題庫</t>
  </si>
  <si>
    <t>9789863747536</t>
  </si>
  <si>
    <t>黃金銀，黃勝暉</t>
  </si>
  <si>
    <t>555</t>
  </si>
  <si>
    <t>門市服務乙級技能檢定學術科一本通</t>
  </si>
  <si>
    <t>9789863746874</t>
  </si>
  <si>
    <t>黃皇凱，賴慧萍</t>
  </si>
  <si>
    <t>498.6</t>
  </si>
  <si>
    <t>法學緒論大全〈包括法律常識〉</t>
  </si>
  <si>
    <t>9789863746942</t>
  </si>
  <si>
    <t>敦弘，羅格思，章庠</t>
  </si>
  <si>
    <t>中小企業財務人員測驗：火速焦點+題庫+歷屆試題合輯</t>
  </si>
  <si>
    <t>9789863747277</t>
  </si>
  <si>
    <t>陳忠孝，黃素慧</t>
  </si>
  <si>
    <t>494.7022</t>
  </si>
  <si>
    <t>9789863747253</t>
  </si>
  <si>
    <t>9789863746898</t>
  </si>
  <si>
    <t>9789863747086</t>
  </si>
  <si>
    <t>我要當A咖導遊〈一〉快樂出團起步走</t>
  </si>
  <si>
    <t>9789863746706</t>
  </si>
  <si>
    <t>李新猷 等</t>
  </si>
  <si>
    <t>我要當A咖導遊〈二〉輕鬆處理各種疑難雜症</t>
  </si>
  <si>
    <t>9789863746713</t>
  </si>
  <si>
    <t>我要當A咖導遊〈三〉特殊團與導購技巧大公開</t>
  </si>
  <si>
    <t>9789863746720</t>
  </si>
  <si>
    <t>9789863746928</t>
  </si>
  <si>
    <t>9789863747109</t>
  </si>
  <si>
    <t>一次考上地政士證照〈專業科目+國文〉</t>
  </si>
  <si>
    <t>9789863747307</t>
  </si>
  <si>
    <t>554.3</t>
  </si>
  <si>
    <t>商業概論﹝歷年試題+模擬考﹞</t>
  </si>
  <si>
    <t>9789863746737</t>
  </si>
  <si>
    <t>王志成</t>
  </si>
  <si>
    <t>521.8449</t>
  </si>
  <si>
    <t>經濟學﹝歷年試題+模擬考﹞</t>
  </si>
  <si>
    <t>9789863746904</t>
  </si>
  <si>
    <t>521</t>
  </si>
  <si>
    <t>會計學﹝歷年試題+模擬考﹞</t>
  </si>
  <si>
    <t>9789863746690</t>
  </si>
  <si>
    <t>餐旅概論﹝歷年試題+模擬考﹞</t>
  </si>
  <si>
    <t>9789863747550</t>
  </si>
  <si>
    <t>521.849</t>
  </si>
  <si>
    <t>英文閱讀與寫作﹝歷年試題+模擬考﹞</t>
  </si>
  <si>
    <t>9789863747192</t>
  </si>
  <si>
    <t>英文﹝歷年試題+模擬考﹞</t>
  </si>
  <si>
    <t>9789863747208</t>
  </si>
  <si>
    <t>搶救高中職教甄國文98~103年分章試題解析</t>
  </si>
  <si>
    <t>EBK10200010700</t>
  </si>
  <si>
    <t>國民教育新視野：借鑑、蛻變與創新</t>
  </si>
  <si>
    <t>9789860456103</t>
  </si>
  <si>
    <t>國家教育研究院</t>
  </si>
  <si>
    <t>黃乃熒 等</t>
  </si>
  <si>
    <t>526.8</t>
  </si>
  <si>
    <t>國語文非選擇題怎麼寫</t>
  </si>
  <si>
    <t>9789860435993</t>
  </si>
  <si>
    <t>江惜美 等</t>
  </si>
  <si>
    <t>524.313</t>
  </si>
  <si>
    <t>測驗之編製：命題技巧與測驗資料之分析</t>
  </si>
  <si>
    <t>9789860434965</t>
  </si>
  <si>
    <t>蕭儒棠 等</t>
  </si>
  <si>
    <t>521.307</t>
  </si>
  <si>
    <t>十二年國民基本教育課程發展建議書</t>
  </si>
  <si>
    <t>9789860408355</t>
  </si>
  <si>
    <t>潘文忠</t>
  </si>
  <si>
    <t>521.607</t>
  </si>
  <si>
    <t>各國教育行政組織與學制</t>
  </si>
  <si>
    <t>9789860349924</t>
  </si>
  <si>
    <t>林孟君 等</t>
  </si>
  <si>
    <t>526.9</t>
  </si>
  <si>
    <t>單騎慢遊宜花東</t>
  </si>
  <si>
    <t>9789863506734</t>
  </si>
  <si>
    <t>張顯洋</t>
  </si>
  <si>
    <t>FBI教你看穿人心〈I〉</t>
  </si>
  <si>
    <t>EBK10200010701_1</t>
  </si>
  <si>
    <t>FBI教你看穿人心〈II〉</t>
  </si>
  <si>
    <t>EBK10200010701_2</t>
  </si>
  <si>
    <t>FBI教你看穿人心〈III〉</t>
  </si>
  <si>
    <t>EBK10200010701_3</t>
  </si>
  <si>
    <t>FBI教你看穿人心〈IV〉</t>
  </si>
  <si>
    <t>EBK10200010701_4</t>
  </si>
  <si>
    <t>卡耐基分享給你的18種能量書〈上〉</t>
  </si>
  <si>
    <t>EBK10200010705_1</t>
  </si>
  <si>
    <t>卡耐基分享給你的18種能量書〈中〉</t>
  </si>
  <si>
    <t>EBK10200010705_2</t>
  </si>
  <si>
    <t>卡耐基分享給你的18種能量書〈下〉</t>
  </si>
  <si>
    <t>EBK10200010705_3</t>
  </si>
  <si>
    <t>名人為人處世智謀〈I〉</t>
  </si>
  <si>
    <t>EBK10200010707_1</t>
  </si>
  <si>
    <t>名人為人處世智謀〈II〉</t>
  </si>
  <si>
    <t>EBK10200010707_2</t>
  </si>
  <si>
    <t>名人為人處世智謀〈III〉</t>
  </si>
  <si>
    <t>EBK10200010707_3</t>
  </si>
  <si>
    <t>名人為人處世智謀〈IV〉</t>
  </si>
  <si>
    <t>EBK10200010707_4</t>
  </si>
  <si>
    <t>名人為人處世智謀〈V〉</t>
  </si>
  <si>
    <t>EBK10200010707_5</t>
  </si>
  <si>
    <t>為人處世的五道王牌〈上〉</t>
  </si>
  <si>
    <t>EBK10200010712_1</t>
  </si>
  <si>
    <t>為人處世的五道王牌〈中〉</t>
  </si>
  <si>
    <t>EBK10200010712_2</t>
  </si>
  <si>
    <t>為人處世的五道王牌〈下〉</t>
  </si>
  <si>
    <t>EBK10200010712_3</t>
  </si>
  <si>
    <t>溝通零失誤45妙招〈上〉</t>
  </si>
  <si>
    <t>EBK10200010714_1</t>
  </si>
  <si>
    <t>溝通零失誤45妙招〈中〉</t>
  </si>
  <si>
    <t>EBK10200010714_2</t>
  </si>
  <si>
    <t>溝通零失誤45妙招〈下〉</t>
  </si>
  <si>
    <t>EBK10200010714_3</t>
  </si>
  <si>
    <t>話要這樣說〈上〉</t>
  </si>
  <si>
    <t>EBK10200010716_1</t>
  </si>
  <si>
    <t>話要這樣說〈下〉</t>
  </si>
  <si>
    <t>EBK10200010716_2</t>
  </si>
  <si>
    <t>說話的藝術：不可不知的96則職場語言技巧〈I〉</t>
  </si>
  <si>
    <t>EBK10200010717_1</t>
  </si>
  <si>
    <t>說話的藝術：不可不知的96則職場語言技巧〈II〉</t>
  </si>
  <si>
    <t>EBK10200010717_2</t>
  </si>
  <si>
    <t>說話的藝術：不可不知的96則職場語言技巧〈III〉</t>
  </si>
  <si>
    <t>EBK10200010717_3</t>
  </si>
  <si>
    <t>說話的藝術：不可不知的96則職場語言技巧〈IV〉</t>
  </si>
  <si>
    <t>EBK10200010717_4</t>
  </si>
  <si>
    <t>讀心術：人際關係中的心理策略〈上〉</t>
  </si>
  <si>
    <t>EBK10200010719_1</t>
  </si>
  <si>
    <t>讀心術：人際關係中的心理策略〈中〉</t>
  </si>
  <si>
    <t>EBK10200010719_2</t>
  </si>
  <si>
    <t>讀心術：人際關係中的心理策略〈下〉</t>
  </si>
  <si>
    <t>EBK10200010719_3</t>
  </si>
  <si>
    <t>讀書會「共舞」樂</t>
  </si>
  <si>
    <t>9789576396083</t>
  </si>
  <si>
    <t>手機與西門慶：隱地書話選</t>
  </si>
  <si>
    <t>9789576396045</t>
  </si>
  <si>
    <t>820.7</t>
  </si>
  <si>
    <t>回到五○年代：五○年代的克難生活</t>
  </si>
  <si>
    <t>9789576396106</t>
  </si>
  <si>
    <t>回到七○年代：七○年代的文藝風</t>
  </si>
  <si>
    <t>9789576396069</t>
  </si>
  <si>
    <t>Ameba程式設計〈基礎篇〉</t>
  </si>
  <si>
    <t>9789865629557</t>
  </si>
  <si>
    <t>曹永忠，吳佳駿，許智誠，蔡英德</t>
  </si>
  <si>
    <t>1秒鐘，預見你的下一步：「我懂你」ICU潛意識溝通圖卡書：你不說的，我都知道</t>
  </si>
  <si>
    <t>9789869167048</t>
  </si>
  <si>
    <t>沈唐</t>
  </si>
  <si>
    <t>神祕的季節</t>
  </si>
  <si>
    <t>9789869167024</t>
  </si>
  <si>
    <t>莊瑞琳</t>
  </si>
  <si>
    <t>推浪的人：編輯與作家們共同締造的藝文副刊金色年代</t>
  </si>
  <si>
    <t>9789869167055</t>
  </si>
  <si>
    <t>林黛嫚</t>
  </si>
  <si>
    <t>2020</t>
  </si>
  <si>
    <t>野學：探索，在路上</t>
  </si>
  <si>
    <t>9789869167031</t>
  </si>
  <si>
    <t>徐匯野學</t>
  </si>
  <si>
    <t>521.54</t>
  </si>
  <si>
    <t>寂寞的熟齡日記</t>
  </si>
  <si>
    <t>9789869248112</t>
  </si>
  <si>
    <t>心晴出版社</t>
  </si>
  <si>
    <t>北川舞</t>
  </si>
  <si>
    <t>眾神的食物：食氣三部曲1</t>
  </si>
  <si>
    <t>9789865623494</t>
  </si>
  <si>
    <t>潔絲慕音〈Jasmuheen〉</t>
  </si>
  <si>
    <t>普拉納課程：食氣三部曲2【有聲】</t>
  </si>
  <si>
    <t>9789865623586</t>
  </si>
  <si>
    <t>與眾神共振：食氣三部曲3</t>
  </si>
  <si>
    <t>9789865623654</t>
  </si>
  <si>
    <t>量子觸療好簡單：能量養生新趨勢，療癒保健自己來！</t>
  </si>
  <si>
    <t>9789865623425</t>
  </si>
  <si>
    <t>理查‧葛登〈Richard Gordon〉</t>
  </si>
  <si>
    <t>魔法精油寶典：102種植物香氣的能量運用</t>
  </si>
  <si>
    <t>9789865623579</t>
  </si>
  <si>
    <t>史考特‧康寧罕〈Scott Cunningham〉</t>
  </si>
  <si>
    <t>九天九夜</t>
  </si>
  <si>
    <t>9789869360029</t>
  </si>
  <si>
    <t>跟大師莫雷諾上心理劇：關於心理劇、團體治療與自發性</t>
  </si>
  <si>
    <t>9789576938849</t>
  </si>
  <si>
    <t>莫雷諾〈J. L. Moreno〉</t>
  </si>
  <si>
    <t>管理要智慧而非知識：向古人借智慧</t>
  </si>
  <si>
    <t>9789861441559</t>
  </si>
  <si>
    <t>張威龍</t>
  </si>
  <si>
    <t>法學知識：法學緒論勝經﹝高普版﹞</t>
  </si>
  <si>
    <t>9789863747871</t>
  </si>
  <si>
    <t>高普考法學知識與英文〈包括中華民國憲法、法學緒論、英文〉</t>
  </si>
  <si>
    <t>9789863748090</t>
  </si>
  <si>
    <t>龍宜辰，許願，劉似蓉</t>
  </si>
  <si>
    <t>國考必勝的心智圖法</t>
  </si>
  <si>
    <t>9789863748625</t>
  </si>
  <si>
    <t>孫易新</t>
  </si>
  <si>
    <t>搶救國中小教甄國語文分類試題</t>
  </si>
  <si>
    <t>9789863747758</t>
  </si>
  <si>
    <t>國小教甄複試謀略</t>
  </si>
  <si>
    <t>9789863748175</t>
  </si>
  <si>
    <t>何元亨</t>
  </si>
  <si>
    <t>鐵路法〈含概要、大意〉</t>
  </si>
  <si>
    <t>9789863748083</t>
  </si>
  <si>
    <t>白崑成</t>
  </si>
  <si>
    <t>557.222</t>
  </si>
  <si>
    <t>逼真！電工機械〈電機機械〉模擬題庫+歷年試題</t>
  </si>
  <si>
    <t>9789863747956</t>
  </si>
  <si>
    <t>448.022</t>
  </si>
  <si>
    <t>東京，半日慢行：一日不足夠，半日也幸福。東京在地人深愛的生活風情散策</t>
  </si>
  <si>
    <t>9789865657239</t>
  </si>
  <si>
    <t>731.72609</t>
  </si>
  <si>
    <t>東京模樣：東京潛規則，那些生活裡微小卻重要的事</t>
  </si>
  <si>
    <t>9789865657857</t>
  </si>
  <si>
    <t>731.72603</t>
  </si>
  <si>
    <t>全球區域治理方略</t>
  </si>
  <si>
    <t>9789881486530</t>
  </si>
  <si>
    <t>王洪波</t>
  </si>
  <si>
    <t>成功和失敗的差異：就是積極或消極的心態</t>
  </si>
  <si>
    <t>9789865756604</t>
  </si>
  <si>
    <t>羅偉明</t>
  </si>
  <si>
    <t>潛意識：挖掘潛在力量，好運接著就來</t>
  </si>
  <si>
    <t>9789865756611</t>
  </si>
  <si>
    <t>馮麗莎</t>
  </si>
  <si>
    <t>絕色奇觀清新遊Easy GO！：首爾周邊</t>
  </si>
  <si>
    <t>9789881660237</t>
  </si>
  <si>
    <t>陳瑋詩，跨版生活編輯部</t>
  </si>
  <si>
    <t>藍天碧海琉球風情Easy Go！：沖繩</t>
  </si>
  <si>
    <t>9789881473936</t>
  </si>
  <si>
    <t>Li，嚴潔盈，跨版生活編輯部</t>
  </si>
  <si>
    <t>731</t>
  </si>
  <si>
    <t>異國滋味獨家風情Easy GO！：澳門</t>
  </si>
  <si>
    <t>9789881473844</t>
  </si>
  <si>
    <t>高俊權，宋維哲，跨版生活編輯部</t>
  </si>
  <si>
    <t>673.969</t>
  </si>
  <si>
    <t>人氣美味飯糰壽司</t>
  </si>
  <si>
    <t>4715443032223</t>
  </si>
  <si>
    <t>150道家常晚餐菜</t>
  </si>
  <si>
    <t>4715443032247</t>
  </si>
  <si>
    <t>飲食宜忌大百科：100種健康食材搭配黃金組合 VS 150道美味營養家常菜</t>
  </si>
  <si>
    <t>9789863732754</t>
  </si>
  <si>
    <t>鄭金寶</t>
  </si>
  <si>
    <t>418.91</t>
  </si>
  <si>
    <t>輕鬆教你寫英文日記</t>
  </si>
  <si>
    <t>4715443033312</t>
  </si>
  <si>
    <t>陳幸琦，黎天曌</t>
  </si>
  <si>
    <t>輕鬆教你寫英文書信</t>
  </si>
  <si>
    <t>4715443033305</t>
  </si>
  <si>
    <t>潘思延，梁永芳</t>
  </si>
  <si>
    <t>吃對食物好孕養胎：營養師＋中醫師聯合調理，孕期3階段飲食全指南</t>
  </si>
  <si>
    <t>9789863732204</t>
  </si>
  <si>
    <t>429.12</t>
  </si>
  <si>
    <t>7天瘦小腹神奇蔬果汁：豐富植化素&amp;酵素，吃出鹼性體質</t>
  </si>
  <si>
    <t>4715443032612</t>
  </si>
  <si>
    <t>涼拌瘦身美食：營養師教你吃出輕瘦美的健康身材</t>
  </si>
  <si>
    <t>4715443032582</t>
  </si>
  <si>
    <t>最健康食物排行榜：世界衛生組織最新公布，5大類36種健康食物＋108道美味料理</t>
  </si>
  <si>
    <t>4715443032599</t>
  </si>
  <si>
    <t>陳彥甫，康鑑文化編輯部</t>
  </si>
  <si>
    <t>蔬果汁蔬菜湯，超級健康瘦身</t>
  </si>
  <si>
    <t>4715443032575</t>
  </si>
  <si>
    <t>輕鬆快炒家常菜</t>
  </si>
  <si>
    <t>4715443032308</t>
  </si>
  <si>
    <t>陳鴻源，康鑑文化編輯部</t>
  </si>
  <si>
    <t>台灣10大名醫解答腎臟病：中西醫合併防治，生活逆轉「腎」！</t>
  </si>
  <si>
    <t>4715443032667</t>
  </si>
  <si>
    <t>方昱偉，江守山，吳志仁 等</t>
  </si>
  <si>
    <t>55種腸道排毒好食材：8大類清腸排毒好食材＋100道營養師健康調理餐</t>
  </si>
  <si>
    <t>4715443032605</t>
  </si>
  <si>
    <t>建設公司老闆教你如何買對房子</t>
  </si>
  <si>
    <t>9789863732839</t>
  </si>
  <si>
    <t>楊雅婷</t>
  </si>
  <si>
    <t>瘦身蔬果汁輕斷食：每週2天蔬果汁輕斷食，美容養瘦提升免疫力</t>
  </si>
  <si>
    <t>9789863733317</t>
  </si>
  <si>
    <t>林郁茹</t>
  </si>
  <si>
    <t>生病看中醫好，還是西醫好？</t>
  </si>
  <si>
    <t>9789863733140</t>
  </si>
  <si>
    <t>黃宗瀚，索承美</t>
  </si>
  <si>
    <t>對錯遊戲書：小心啊！危險！</t>
  </si>
  <si>
    <t>9789864138883</t>
  </si>
  <si>
    <t>人類文化編輯部</t>
  </si>
  <si>
    <t>對錯遊戲書：這樣做不可以！</t>
  </si>
  <si>
    <t>9789864138890</t>
  </si>
  <si>
    <t>撞遊美國火柴青年╳五千哩路</t>
  </si>
  <si>
    <t>9789863733027</t>
  </si>
  <si>
    <t>黃博駿，余茂愷 等</t>
  </si>
  <si>
    <t>動物大圖鑑：自然探險隊</t>
  </si>
  <si>
    <t>9789864138913</t>
  </si>
  <si>
    <t>385.9</t>
  </si>
  <si>
    <t>中國節日故事〈新版〉：故事小百科</t>
  </si>
  <si>
    <t>9789864138906</t>
  </si>
  <si>
    <t>538.52</t>
  </si>
  <si>
    <t>認知圖鑑：動植物認知百科</t>
  </si>
  <si>
    <t>4715443032896</t>
  </si>
  <si>
    <t>輕斷食排毒瘦身餐：高纖低卡輕斷食餐，淨化排毒輕瘦美</t>
  </si>
  <si>
    <t>9789863733324</t>
  </si>
  <si>
    <t>歐陽鍾美</t>
  </si>
  <si>
    <t>這些食物絕對清腸排毒：體內環保大掃毒，腸道健康不生病</t>
  </si>
  <si>
    <t>4715443033947</t>
  </si>
  <si>
    <t>蔬果這樣吃排毒又享瘦：無毒生活，食在安心不生病</t>
  </si>
  <si>
    <t>4715443033923</t>
  </si>
  <si>
    <t>超可愛水草盆栽：辦公室的夢想花園</t>
  </si>
  <si>
    <t>4715443034173</t>
  </si>
  <si>
    <t>郭毓仁，王勝弘</t>
  </si>
  <si>
    <t>435.481</t>
  </si>
  <si>
    <t>人生何必太計較</t>
  </si>
  <si>
    <t>9789866152399</t>
  </si>
  <si>
    <t>不可不防的13種人〈全新修訂版〉</t>
  </si>
  <si>
    <t>9789865719364</t>
  </si>
  <si>
    <t>孫大為</t>
  </si>
  <si>
    <t>沒有改變，哪有未來！</t>
  </si>
  <si>
    <t>9789865719425</t>
  </si>
  <si>
    <t>張文杰</t>
  </si>
  <si>
    <t>望聞問切，鄭集誠醫師帶你認識真正的中醫</t>
  </si>
  <si>
    <t>9789865719456</t>
  </si>
  <si>
    <t>鄭集誠</t>
  </si>
  <si>
    <t>吃粗健康：首席營養師教你吃對五穀雜糧不生病</t>
  </si>
  <si>
    <t>9789865719449</t>
  </si>
  <si>
    <t>劉桂榮</t>
  </si>
  <si>
    <t>對症滋補養生湯</t>
  </si>
  <si>
    <t>9789865719630</t>
  </si>
  <si>
    <t>楊力</t>
  </si>
  <si>
    <t>五榖雜糧養生粥</t>
  </si>
  <si>
    <t>9789865719654</t>
  </si>
  <si>
    <t>427.34</t>
  </si>
  <si>
    <t>大明亡國史：崇禎皇帝傳</t>
  </si>
  <si>
    <t>9789866234798</t>
  </si>
  <si>
    <t>苗棣</t>
  </si>
  <si>
    <t>626.8</t>
  </si>
  <si>
    <t>宮花寂寞紅：細說中國後宮</t>
  </si>
  <si>
    <t>9789866234811</t>
  </si>
  <si>
    <t>虞雲國</t>
  </si>
  <si>
    <t>573.513</t>
  </si>
  <si>
    <t>大明王朝家裡事兒</t>
  </si>
  <si>
    <t>9789866234903</t>
  </si>
  <si>
    <t>胡丹</t>
  </si>
  <si>
    <t>先做人，後做事〈全集〉</t>
  </si>
  <si>
    <t>9789865719432</t>
  </si>
  <si>
    <t>零的溝通</t>
  </si>
  <si>
    <t>9789865719661</t>
  </si>
  <si>
    <t>人身保險經營與實務</t>
  </si>
  <si>
    <t>9789869306522</t>
  </si>
  <si>
    <t>賀冠群，廖勇誠</t>
  </si>
  <si>
    <t>2017</t>
  </si>
  <si>
    <t>財產風險管理概要與考題解析</t>
  </si>
  <si>
    <t>9789868867994</t>
  </si>
  <si>
    <t>563.75</t>
  </si>
  <si>
    <t>挑戰人生，夢想不設限</t>
  </si>
  <si>
    <t>9789865719401</t>
  </si>
  <si>
    <t>慈悲與殘忍：告別人間的困境</t>
  </si>
  <si>
    <t>9789869379595</t>
  </si>
  <si>
    <t>醫療財團法人辜公亮基金會和信治癌中心醫院</t>
  </si>
  <si>
    <t>和信治癌中心醫院文教部</t>
  </si>
  <si>
    <t>417.807</t>
  </si>
  <si>
    <t>健康遠見特刊 護眼20招遠離惡視力</t>
  </si>
  <si>
    <t>4711225316284_0002</t>
  </si>
  <si>
    <t>20170120</t>
  </si>
  <si>
    <t>健康遠見特刊 健檢，這樣做才對！2015健檢指南</t>
  </si>
  <si>
    <t>4711225316284_0003</t>
  </si>
  <si>
    <t>20150509</t>
  </si>
  <si>
    <t>健康遠見特刊 10大心法遠離壓力症候群，找到你的快樂日記</t>
  </si>
  <si>
    <t>4711225316284_0004</t>
  </si>
  <si>
    <t>20150713</t>
  </si>
  <si>
    <t>健康遠見特刊 聰明吃，才能對身體好</t>
  </si>
  <si>
    <t>4711225316284_0005</t>
  </si>
  <si>
    <t>20150921</t>
  </si>
  <si>
    <t>健康遠見特刊 儲備你的長照存摺</t>
  </si>
  <si>
    <t>4711225316284_0006</t>
  </si>
  <si>
    <t>20151120</t>
  </si>
  <si>
    <t>健康遠見特刊 10位名醫教你預防失智</t>
  </si>
  <si>
    <t>4711225316284_0007</t>
  </si>
  <si>
    <t>20160318</t>
  </si>
  <si>
    <t>健康遠見特刊 七位名醫教你這樣做，健檢沒紅字！2016健檢指南</t>
  </si>
  <si>
    <t>4711225316284_0008</t>
  </si>
  <si>
    <t>20160623</t>
  </si>
  <si>
    <t>遠見特刊 一帶一路啓動東協新商機</t>
  </si>
  <si>
    <t>4711225318929_0004</t>
  </si>
  <si>
    <t>20150618</t>
  </si>
  <si>
    <t>遠見特刊 2017大學暨技職入學指南</t>
  </si>
  <si>
    <t>4711225318929_0005</t>
  </si>
  <si>
    <t>20170210</t>
  </si>
  <si>
    <t>你哭過嗎？：哭泣與眼淚的文化觀察</t>
  </si>
  <si>
    <t>9789869379588</t>
  </si>
  <si>
    <t>台灣社會工作專業繼續教育之生態與社會工作專業勝任能力之研究：以台灣兒童暨家庭扶助基金會為例</t>
  </si>
  <si>
    <t>9789869427210</t>
  </si>
  <si>
    <t>林秉賢</t>
  </si>
  <si>
    <t>545</t>
  </si>
  <si>
    <t>547</t>
  </si>
  <si>
    <t>用法語接待朋友遊台灣：全台趴趴走，吃喝玩樂溝通這樣說</t>
  </si>
  <si>
    <t>EBK10200010722</t>
  </si>
  <si>
    <t>法語村</t>
  </si>
  <si>
    <t>法語村編輯部</t>
  </si>
  <si>
    <t>服務業法語：第一線從業人員的教戰手冊</t>
  </si>
  <si>
    <t>EBK10200010723</t>
  </si>
  <si>
    <t>看電影學法語口語</t>
  </si>
  <si>
    <t>EBK10200010724</t>
  </si>
  <si>
    <t>喜怒哀樂現學現賣心情法語</t>
  </si>
  <si>
    <t>EBK10200010725</t>
  </si>
  <si>
    <t>跟著法國人的節慶祭典學法文</t>
  </si>
  <si>
    <t>EBK10200010726</t>
  </si>
  <si>
    <t>談情說愛法語書：法國男生交往的戀愛日記</t>
  </si>
  <si>
    <t>EBK10200010727</t>
  </si>
  <si>
    <t>CYNTHIA美宅讀本</t>
  </si>
  <si>
    <t>9789869157650</t>
  </si>
  <si>
    <t>家の18種溫度</t>
  </si>
  <si>
    <t>9789869157643</t>
  </si>
  <si>
    <t>俞佳宏</t>
  </si>
  <si>
    <t>Ameba程式設計〈顯示介面篇〉</t>
  </si>
  <si>
    <t>9789865629571</t>
  </si>
  <si>
    <t>切入中東市場商機</t>
  </si>
  <si>
    <t>9789574953615</t>
  </si>
  <si>
    <t>巴爾幹經濟圈商機揭密：塞爾維亞、克羅埃西亞與斯洛維尼亞</t>
  </si>
  <si>
    <t>9789574953677</t>
  </si>
  <si>
    <t>徐裕軒</t>
  </si>
  <si>
    <t>數位角色行銷秘訣：香蕉人談角色經濟</t>
  </si>
  <si>
    <t>9789574953608</t>
  </si>
  <si>
    <t>楊劍雄</t>
  </si>
  <si>
    <t>550.16</t>
  </si>
  <si>
    <t>Ameba程式設計〈物聯網基礎篇〉</t>
  </si>
  <si>
    <t>9789865629595</t>
  </si>
  <si>
    <t>471</t>
  </si>
  <si>
    <t>生物概念與教學</t>
  </si>
  <si>
    <t>9789868635012</t>
  </si>
  <si>
    <t>顏瓊芬 等</t>
  </si>
  <si>
    <t>524.36</t>
  </si>
  <si>
    <t>基本能源法制研究：比較法的省思</t>
  </si>
  <si>
    <t>9789864371280</t>
  </si>
  <si>
    <t>蔡岳勳</t>
  </si>
  <si>
    <t>400.15023</t>
  </si>
  <si>
    <t>國內高階半導體檢測設備市場切入之機會研究</t>
  </si>
  <si>
    <t>9789865662585</t>
  </si>
  <si>
    <t>財團法人金屬工業研究發展中心</t>
  </si>
  <si>
    <t>陳慧娟</t>
  </si>
  <si>
    <t>484.51</t>
  </si>
  <si>
    <t>有一個藏族女孩叫阿塔</t>
  </si>
  <si>
    <t>9789868479951</t>
  </si>
  <si>
    <t>自由文化出版社</t>
  </si>
  <si>
    <t>張樸</t>
  </si>
  <si>
    <t>職業衛生管理：甲級技術士歷次學、術科試題及解析彙編</t>
  </si>
  <si>
    <t>9789863749318</t>
  </si>
  <si>
    <t>陳淨修</t>
  </si>
  <si>
    <t>412.53022</t>
  </si>
  <si>
    <t>主題式行銷學〈含行銷管理學〉高分題庫</t>
  </si>
  <si>
    <t>9789863748847</t>
  </si>
  <si>
    <t>496.022</t>
  </si>
  <si>
    <t>傾聽生命故事與敘說的療癒力：阿德勒學派心理治療</t>
  </si>
  <si>
    <t>9789576938863</t>
  </si>
  <si>
    <t>曾端真</t>
  </si>
  <si>
    <t>賺取生命靈魂的快樂</t>
  </si>
  <si>
    <t>9789577274540</t>
  </si>
  <si>
    <t>財團法人基督教宇宙光全人關懷機構</t>
  </si>
  <si>
    <t>林治平</t>
  </si>
  <si>
    <t>240.7</t>
  </si>
  <si>
    <t>摩拉維亞每日箴言2017</t>
  </si>
  <si>
    <t>9789577274946</t>
  </si>
  <si>
    <t>德國合一弟兄會</t>
  </si>
  <si>
    <t>244.93</t>
  </si>
  <si>
    <t>改變世界的100張草圖：從革新醫學的人體解剖圖到顛覆音樂產業的iPod原型</t>
  </si>
  <si>
    <t>9789865695712</t>
  </si>
  <si>
    <t>大寫出版</t>
  </si>
  <si>
    <t>史考特‧克里斯汀生〈Scott Christianson〉</t>
  </si>
  <si>
    <t>711</t>
  </si>
  <si>
    <t>殺死小甜甜</t>
  </si>
  <si>
    <t>9789869408301</t>
  </si>
  <si>
    <t>蔡燦得</t>
  </si>
  <si>
    <t>855.486</t>
  </si>
  <si>
    <t>保險經理人管理錦囊</t>
  </si>
  <si>
    <t>9789867516886</t>
  </si>
  <si>
    <t>呂廣盛 等</t>
  </si>
  <si>
    <t>貪玩美：莫莉的享瘦塑身書</t>
  </si>
  <si>
    <t>9789869336536</t>
  </si>
  <si>
    <t>莫莉</t>
  </si>
  <si>
    <t>425.2</t>
  </si>
  <si>
    <t>手繪香川日和：瀨戶內海的人情旅居手帖</t>
  </si>
  <si>
    <t>9789869336598</t>
  </si>
  <si>
    <t>Fanyu〈林凡瑜〉</t>
  </si>
  <si>
    <t>731.7709</t>
  </si>
  <si>
    <t>行動小廚房6：小朋友的不挑食指南</t>
  </si>
  <si>
    <t>9789869336550</t>
  </si>
  <si>
    <t>香蕉哥哥林掄元，致！美好生活促進會</t>
  </si>
  <si>
    <t>台北捌玖零</t>
  </si>
  <si>
    <t>9789869336543</t>
  </si>
  <si>
    <t>米果</t>
  </si>
  <si>
    <t>挪威人教我，比競爭力更重要的事：重新定義「成功人生」的學習之路</t>
  </si>
  <si>
    <t>9789869336567</t>
  </si>
  <si>
    <t>李濠仲</t>
  </si>
  <si>
    <t>747.43</t>
  </si>
  <si>
    <t>臺灣山林野趣</t>
  </si>
  <si>
    <t>9789864490585</t>
  </si>
  <si>
    <t>劉伯樂</t>
  </si>
  <si>
    <t>859.7</t>
  </si>
  <si>
    <t>美魔女月子餐</t>
  </si>
  <si>
    <t>9789864490622</t>
  </si>
  <si>
    <t>翻動書頁的聲音</t>
  </si>
  <si>
    <t>9789864490592</t>
  </si>
  <si>
    <t>回憶契約</t>
  </si>
  <si>
    <t>9789864490646</t>
  </si>
  <si>
    <t>梁永佳</t>
  </si>
  <si>
    <t>青春，好行！</t>
  </si>
  <si>
    <t>9789864490691</t>
  </si>
  <si>
    <t>江連君</t>
  </si>
  <si>
    <t>午夜場電影筆記</t>
  </si>
  <si>
    <t>9789862219317</t>
  </si>
  <si>
    <t>路鵑</t>
  </si>
  <si>
    <t>紙上的王冠：誰是下一位諾貝爾文學獎得主</t>
  </si>
  <si>
    <t>9789862219683</t>
  </si>
  <si>
    <t>路鵑，曹亞瑟</t>
  </si>
  <si>
    <t>民眾教育館與中國社會變遷</t>
  </si>
  <si>
    <t>9789863260059</t>
  </si>
  <si>
    <t>周慧梅</t>
  </si>
  <si>
    <t>528.4161</t>
  </si>
  <si>
    <t>文壇遺蹤尋訪錄：待漏軒文集</t>
  </si>
  <si>
    <t>9789863261308</t>
  </si>
  <si>
    <t>吳心海</t>
  </si>
  <si>
    <t>有一種智慧叫寬心</t>
  </si>
  <si>
    <t>9789864110346</t>
  </si>
  <si>
    <t>無慮</t>
  </si>
  <si>
    <t>大偵探識破騙局遊戲：故布疑陣</t>
  </si>
  <si>
    <t>9789864110452</t>
  </si>
  <si>
    <t>喬伊休斯頓</t>
  </si>
  <si>
    <t>548.6</t>
  </si>
  <si>
    <t>驚悚遊戲：不只是恐怖故事！</t>
  </si>
  <si>
    <t>9789864530434</t>
  </si>
  <si>
    <t>閻育傑</t>
  </si>
  <si>
    <t>大偵探識破騙局遊戲：誰是兇手</t>
  </si>
  <si>
    <t>9789864110469</t>
  </si>
  <si>
    <t>說話訓練班：說對話的影響力</t>
  </si>
  <si>
    <t>9789864110476</t>
  </si>
  <si>
    <t>徐振遠</t>
  </si>
  <si>
    <t>機會只會留給勇於冒險的人</t>
  </si>
  <si>
    <t>9789864110483</t>
  </si>
  <si>
    <t>洪廣誼</t>
  </si>
  <si>
    <t>大偵探聰明推理遊戲：破案契機</t>
  </si>
  <si>
    <t>9789864110490</t>
  </si>
  <si>
    <t>沈家任</t>
  </si>
  <si>
    <t>噩夢驚魂：暗黑推理五部曲</t>
  </si>
  <si>
    <t>9789864530441</t>
  </si>
  <si>
    <t>每日一大笑，勝過吃補藥</t>
  </si>
  <si>
    <t>9789864530465</t>
  </si>
  <si>
    <t>審桂仁</t>
  </si>
  <si>
    <t>菜韓文單字速查手冊【有聲】</t>
  </si>
  <si>
    <t>9789865753740</t>
  </si>
  <si>
    <t>孩子的成長只有一次：別錯過孩子成長的34件事</t>
  </si>
  <si>
    <t>9789865753757</t>
  </si>
  <si>
    <t>李蓓恩</t>
  </si>
  <si>
    <t>生活英語萬用手冊【有聲】</t>
  </si>
  <si>
    <t>9789865753764</t>
  </si>
  <si>
    <t>旅遊英語萬用手冊【有聲】</t>
  </si>
  <si>
    <t>9789865753771</t>
  </si>
  <si>
    <t>累到爆炸：全職媽媽不簡單</t>
  </si>
  <si>
    <t>9789865753788</t>
  </si>
  <si>
    <t>544.141</t>
  </si>
  <si>
    <t>35歲起，預約退休存摺</t>
  </si>
  <si>
    <t>9789869057059</t>
  </si>
  <si>
    <t>遠見編輯部</t>
  </si>
  <si>
    <t>再難纏的客人都不怕！：蘇國垚教你90招對策，破解奧客的疑難雜症</t>
  </si>
  <si>
    <t>9789869211239</t>
  </si>
  <si>
    <t>蘇國垚，王一芝</t>
  </si>
  <si>
    <t>客人教會我的100個心法：服務，這樣做就對了</t>
  </si>
  <si>
    <t>9789868707498</t>
  </si>
  <si>
    <t>王一芝</t>
  </si>
  <si>
    <t>489.1</t>
  </si>
  <si>
    <t>教孩子，別人搶不走的優勢：以色列教育就是不一樣</t>
  </si>
  <si>
    <t>9789869057011</t>
  </si>
  <si>
    <t>張德齡，林琮盛</t>
  </si>
  <si>
    <t>520.9353</t>
  </si>
  <si>
    <t>理出孩子大未來</t>
  </si>
  <si>
    <t>9789868707436</t>
  </si>
  <si>
    <t>新台灣之光100：超越自我的夢想家〈增訂版〉</t>
  </si>
  <si>
    <t>9789869211277</t>
  </si>
  <si>
    <t>《遠見雜誌》編輯部</t>
  </si>
  <si>
    <t>783.32</t>
  </si>
  <si>
    <t>跟著台達蓋出綠建築</t>
  </si>
  <si>
    <t>9789869211260</t>
  </si>
  <si>
    <t>台達電子文教基金會</t>
  </si>
  <si>
    <t>441.577</t>
  </si>
  <si>
    <t>鼎泰豐，你學不會：台灣國際化最成功的餐飲品牌</t>
  </si>
  <si>
    <t>9789869057004</t>
  </si>
  <si>
    <t>Show出職場好英文</t>
  </si>
  <si>
    <t>9789861848723</t>
  </si>
  <si>
    <t>Michelle Witte</t>
  </si>
  <si>
    <t>第二屆全球泛華青年劇本創作競賽得獎作品集</t>
  </si>
  <si>
    <t>9789860526684</t>
  </si>
  <si>
    <t>胡璇藝 等</t>
  </si>
  <si>
    <t>就算被討厭， 也要勇敢說NO：不拒絕，你就等著看自己受傷！</t>
  </si>
  <si>
    <t>9789869222976</t>
  </si>
  <si>
    <t>風動工作室</t>
  </si>
  <si>
    <t>感覺累了就冥想吧：冥想10分鐘等於熟睡二小時</t>
  </si>
  <si>
    <t>9789865636678</t>
  </si>
  <si>
    <t>李上卿</t>
  </si>
  <si>
    <t>中小學校長培訓與評鑑制度之跨國研究：以臺灣、新加坡、韓國為例</t>
  </si>
  <si>
    <t>9789860318685</t>
  </si>
  <si>
    <t>國立屏東教育大學（經銷）</t>
  </si>
  <si>
    <t>孫敏芝，吳宗立，林官蓓</t>
  </si>
  <si>
    <t>526.49</t>
  </si>
  <si>
    <t>亞太數位資訊藝術的跨國性比較研究</t>
  </si>
  <si>
    <t>9789860330489</t>
  </si>
  <si>
    <t>李堅萍 等</t>
  </si>
  <si>
    <t>956</t>
  </si>
  <si>
    <t>遠見特刊 新南向起跑，18國商機滾滾來</t>
  </si>
  <si>
    <t>4711225318929_0006</t>
  </si>
  <si>
    <t>20170421</t>
  </si>
  <si>
    <t>健康遠見特刊 食農教育動起來，認真學吃飯</t>
  </si>
  <si>
    <t>4711225316284_0009</t>
  </si>
  <si>
    <t>意義的追尋：族群、文化、語言教育</t>
  </si>
  <si>
    <t>9789860419467</t>
  </si>
  <si>
    <t>顏淑惠</t>
  </si>
  <si>
    <t>529.47</t>
  </si>
  <si>
    <t>馬勒音樂中的世界觀意象</t>
  </si>
  <si>
    <t>9789860416930</t>
  </si>
  <si>
    <t>盧文雅</t>
  </si>
  <si>
    <t>912.31</t>
  </si>
  <si>
    <t>茫霧島嶼：臺灣戲劇三種</t>
  </si>
  <si>
    <t>9789860435672</t>
  </si>
  <si>
    <t>863.54</t>
  </si>
  <si>
    <t>臺灣當代劇場的評論與詮釋</t>
  </si>
  <si>
    <t>9789860433418</t>
  </si>
  <si>
    <t>于善祿</t>
  </si>
  <si>
    <t>981.07</t>
  </si>
  <si>
    <t>柬埔寨：吳哥文明的繼承者</t>
  </si>
  <si>
    <t>9789860466164</t>
  </si>
  <si>
    <t>國立臺北藝術大學文化資源學院，張蘊之</t>
  </si>
  <si>
    <t>718.1</t>
  </si>
  <si>
    <t>烏茲別克：千年古國</t>
  </si>
  <si>
    <t>9789860467130</t>
  </si>
  <si>
    <t>國立臺北藝術大學文化資源學院，周英戀</t>
  </si>
  <si>
    <t>734</t>
  </si>
  <si>
    <t>蒙古：蒼狼與白鹿的後裔</t>
  </si>
  <si>
    <t>9789860467123</t>
  </si>
  <si>
    <t>國立臺北藝術大學文化資源學院，王悅蓉，朱筱琪</t>
  </si>
  <si>
    <t>734.99</t>
  </si>
  <si>
    <t>2017經典大宅</t>
  </si>
  <si>
    <t>4712918810188</t>
  </si>
  <si>
    <t>人工智慧文字辨識技術：ABBYY FineReader 1X應用</t>
  </si>
  <si>
    <t>9789869198011</t>
  </si>
  <si>
    <t>郃譯翻譯社</t>
  </si>
  <si>
    <t>黃敦義</t>
  </si>
  <si>
    <t>312.8424</t>
  </si>
  <si>
    <t>更年期就要這樣過</t>
  </si>
  <si>
    <t>9789869322379</t>
  </si>
  <si>
    <t>高政南</t>
  </si>
  <si>
    <t>417.7</t>
  </si>
  <si>
    <t>更年期養得好，百病消、人不老</t>
  </si>
  <si>
    <t>9789869288316</t>
  </si>
  <si>
    <t>董豔麗</t>
  </si>
  <si>
    <t>圖解腦中風</t>
  </si>
  <si>
    <t>9789869322324</t>
  </si>
  <si>
    <t>繆中榮</t>
  </si>
  <si>
    <t>415.922</t>
  </si>
  <si>
    <t>睡眠好，勝過藥</t>
  </si>
  <si>
    <t>9789869322362</t>
  </si>
  <si>
    <t>沙維偉</t>
  </si>
  <si>
    <t>411.77</t>
  </si>
  <si>
    <t>9789865936746</t>
  </si>
  <si>
    <t>威廉‧沃克‧阿特金森</t>
  </si>
  <si>
    <t>大師的智慧：成功者應具備的偉大思考</t>
  </si>
  <si>
    <t>9789865636807</t>
  </si>
  <si>
    <t>奧里森‧馬登〈Orison Marden〉</t>
  </si>
  <si>
    <t>活用心理學：99％的人絕對會改變現況</t>
  </si>
  <si>
    <t>9789865636760</t>
  </si>
  <si>
    <t>林建華</t>
  </si>
  <si>
    <t>了凡四訓</t>
  </si>
  <si>
    <t>9789865636692</t>
  </si>
  <si>
    <t>袁了凡，鍾茂森</t>
  </si>
  <si>
    <t>養肝護肝原來可以這麼簡單</t>
  </si>
  <si>
    <t>9789865756628</t>
  </si>
  <si>
    <t>易磊</t>
  </si>
  <si>
    <t>413.344</t>
  </si>
  <si>
    <t>增強免疫力絕對讓人不生病</t>
  </si>
  <si>
    <t>9789865756642</t>
  </si>
  <si>
    <t>謝英彪醫師</t>
  </si>
  <si>
    <t>FBI教你反間藏心術</t>
  </si>
  <si>
    <t>9789866152597</t>
  </si>
  <si>
    <t>博鋒</t>
  </si>
  <si>
    <t>人生要耐得住寂寞</t>
  </si>
  <si>
    <t>9789866152528</t>
  </si>
  <si>
    <t>於是，游泳：全球第一本游泳詩集〈中法雙語版〉</t>
  </si>
  <si>
    <t>9789869381796</t>
  </si>
  <si>
    <t>陳秋玲〈Vivi Chen〉</t>
  </si>
  <si>
    <t>素食這樣吃最健康：營養師特調素食＋健康烹調法＝食在好安心</t>
  </si>
  <si>
    <t>9789863733164</t>
  </si>
  <si>
    <t>貓咪生活疑問</t>
  </si>
  <si>
    <t>4715443032315</t>
  </si>
  <si>
    <t>黃淑賢</t>
  </si>
  <si>
    <t>384</t>
  </si>
  <si>
    <t>狗狗生活疑問</t>
  </si>
  <si>
    <t>4715443032322</t>
  </si>
  <si>
    <t>蔣慧芬</t>
  </si>
  <si>
    <t>新多益500、700、900分全攻略【有聲】</t>
  </si>
  <si>
    <t>9789863733348</t>
  </si>
  <si>
    <t>人類智庫編輯部</t>
  </si>
  <si>
    <t>李建軍風水常識100問解答</t>
  </si>
  <si>
    <t>4715443036474</t>
  </si>
  <si>
    <t>李建軍</t>
  </si>
  <si>
    <t>294</t>
  </si>
  <si>
    <t>數位影像處理與應用</t>
  </si>
  <si>
    <t>9789862016329</t>
  </si>
  <si>
    <t>王旭正，翁麒耀，林家禎</t>
  </si>
  <si>
    <t>活學活用PhotoImpact X3：全方位快速搞定相片編修X個性名片X網頁製作應用</t>
  </si>
  <si>
    <t>9789862017203</t>
  </si>
  <si>
    <t>勁樺科技</t>
  </si>
  <si>
    <t>嗯！Excel 2013我也會：超實用的財務帳簿x統計分析x調查問卷x雲端協同x強效技巧範例即上手</t>
  </si>
  <si>
    <t>9789862018040</t>
  </si>
  <si>
    <t>陳冠宇</t>
  </si>
  <si>
    <t>活學活用會聲會影X6：全方位快速搞定視訊剪輯X轉場濾鏡XHTML5動態影音應用</t>
  </si>
  <si>
    <t>9789862018392</t>
  </si>
  <si>
    <t>現代軟體工程</t>
  </si>
  <si>
    <t>9789862019979</t>
  </si>
  <si>
    <t>郭忠義，薛念林，馬尚彬，黃為德</t>
  </si>
  <si>
    <t>312.2</t>
  </si>
  <si>
    <t>怎麼賺比較快</t>
  </si>
  <si>
    <t>EBK10200010821</t>
  </si>
  <si>
    <t>改變歷史的地圖與製圖師：藏在地圖裡的智識美學與權力遊戲</t>
  </si>
  <si>
    <t>9789865695811</t>
  </si>
  <si>
    <t>約翰‧克拉克〈John O.E. Clark〉</t>
  </si>
  <si>
    <t>609.2</t>
  </si>
  <si>
    <t>活著，就有好事發生</t>
  </si>
  <si>
    <t>9789869494175</t>
  </si>
  <si>
    <t>颶風與癌症</t>
  </si>
  <si>
    <t>9789869494182</t>
  </si>
  <si>
    <t>國考大師教您看圖學會成本與管理會計〈含概要〉</t>
  </si>
  <si>
    <t>9789863748816</t>
  </si>
  <si>
    <t>賦誠</t>
  </si>
  <si>
    <t>495.71</t>
  </si>
  <si>
    <t>9789863747888</t>
  </si>
  <si>
    <t>564.7</t>
  </si>
  <si>
    <t>行政學口訣</t>
  </si>
  <si>
    <t>9789863748205</t>
  </si>
  <si>
    <t>蔡先容</t>
  </si>
  <si>
    <t>國貿業務乙級技術士學術科技能檢定考照秘笈</t>
  </si>
  <si>
    <t>9789863749110</t>
  </si>
  <si>
    <t>558.7022</t>
  </si>
  <si>
    <t>勝出！國文主題式題庫＋歷年試題</t>
  </si>
  <si>
    <t>9789863748922</t>
  </si>
  <si>
    <t>802.022</t>
  </si>
  <si>
    <t>勝出！企業管理〈含大意〉主題式題庫＋歷年試題大解碼</t>
  </si>
  <si>
    <t>9789863748700</t>
  </si>
  <si>
    <t>勝出！內勤郵政三法大意條文對照式題庫</t>
  </si>
  <si>
    <t>9789863749042</t>
  </si>
  <si>
    <t>勝出！外勤郵政法大意及交通安全常識條文對照式題庫</t>
  </si>
  <si>
    <t>9789863749011</t>
  </si>
  <si>
    <t>數理邏輯〈邏輯推理〉</t>
  </si>
  <si>
    <t>9789863748823</t>
  </si>
  <si>
    <t>156</t>
  </si>
  <si>
    <t>捷運常識〈含捷運系統概述〉</t>
  </si>
  <si>
    <t>9789863749059</t>
  </si>
  <si>
    <t>557.85</t>
  </si>
  <si>
    <t>主題式機械製造〈含識圖〉高分題庫</t>
  </si>
  <si>
    <t>9789863747932</t>
  </si>
  <si>
    <t>何曜辰</t>
  </si>
  <si>
    <t>446.89022</t>
  </si>
  <si>
    <t>逼真！機械製造學〈含概要大意〉模擬題庫+歷年試題</t>
  </si>
  <si>
    <t>9789863747925</t>
  </si>
  <si>
    <t>信託業務人員專業測驗一次過關</t>
  </si>
  <si>
    <t>9789863748762</t>
  </si>
  <si>
    <t>蔡季霖</t>
  </si>
  <si>
    <t>563.3</t>
  </si>
  <si>
    <t>犯罪偵查</t>
  </si>
  <si>
    <t>9789863749158</t>
  </si>
  <si>
    <t>劉偉祥</t>
  </si>
  <si>
    <t>586.51</t>
  </si>
  <si>
    <t>民法概要﹝題庫＋歷年試題﹞</t>
  </si>
  <si>
    <t>9789863749219</t>
  </si>
  <si>
    <t>大家來破案Ⅳ</t>
  </si>
  <si>
    <t>9789864490721</t>
  </si>
  <si>
    <t>陳偉民</t>
  </si>
  <si>
    <t>307.9</t>
  </si>
  <si>
    <t>中文實用寫作二十講</t>
  </si>
  <si>
    <t>9789577399861</t>
  </si>
  <si>
    <t>張高評</t>
  </si>
  <si>
    <t>802.707</t>
  </si>
  <si>
    <t>多元新文化，跨域創新機：臺灣新銳學者的人文新視界</t>
  </si>
  <si>
    <t>9789577399977</t>
  </si>
  <si>
    <t>孫劍秋</t>
  </si>
  <si>
    <t>733.407</t>
  </si>
  <si>
    <t>好花祇向美人開</t>
  </si>
  <si>
    <t>9789577399939</t>
  </si>
  <si>
    <t>胡爾泰</t>
  </si>
  <si>
    <t>聽我說易經</t>
  </si>
  <si>
    <t>9789864780143</t>
  </si>
  <si>
    <t>廖慶六</t>
  </si>
  <si>
    <t>黃帝內經中和思想研究</t>
  </si>
  <si>
    <t>9789864780174</t>
  </si>
  <si>
    <t>方滿錦</t>
  </si>
  <si>
    <t>413.11</t>
  </si>
  <si>
    <t>唐宋題畫詩及其流韻</t>
  </si>
  <si>
    <t>9789577399335</t>
  </si>
  <si>
    <t>國文語法教學的理論與實務</t>
  </si>
  <si>
    <t>9789864780181</t>
  </si>
  <si>
    <t>楊如雪</t>
  </si>
  <si>
    <t>國語文學習新思考</t>
  </si>
  <si>
    <t>9789864780273</t>
  </si>
  <si>
    <t>余崇生</t>
  </si>
  <si>
    <t>翻轉吧！國文正青春</t>
  </si>
  <si>
    <t>9789864780235</t>
  </si>
  <si>
    <t>邱淑琴</t>
  </si>
  <si>
    <t>司馬遷的經濟史與經濟思想：中國的自由經濟主義者</t>
  </si>
  <si>
    <t>9789864780303</t>
  </si>
  <si>
    <t>趙善軒</t>
  </si>
  <si>
    <t>610.11</t>
  </si>
  <si>
    <t>易經領導思維與學校領導</t>
  </si>
  <si>
    <t>9789864780341</t>
  </si>
  <si>
    <t>毛金素</t>
  </si>
  <si>
    <t>禮學思想的新探索</t>
  </si>
  <si>
    <t>9789864780617</t>
  </si>
  <si>
    <t>謝淑熙</t>
  </si>
  <si>
    <t>531.807</t>
  </si>
  <si>
    <t>臺灣國小語文教材與兒童文學關係之研究</t>
  </si>
  <si>
    <t>9789864780624</t>
  </si>
  <si>
    <t>林文寶 等</t>
  </si>
  <si>
    <t>815.9</t>
  </si>
  <si>
    <t>研閱以窮照：閱讀教學的新意義</t>
  </si>
  <si>
    <t>9789864780587</t>
  </si>
  <si>
    <t>經世與安身：中國近世思想史論衡</t>
  </si>
  <si>
    <t>9789864780662</t>
  </si>
  <si>
    <t>劉芝慶</t>
  </si>
  <si>
    <t>112</t>
  </si>
  <si>
    <t>古音之旅〈修訂再版〉</t>
  </si>
  <si>
    <t>9789864780563</t>
  </si>
  <si>
    <t>竺家寧</t>
  </si>
  <si>
    <t>802.4</t>
  </si>
  <si>
    <t>上海人帶你遊上海</t>
  </si>
  <si>
    <t>9789888179558</t>
  </si>
  <si>
    <t>香港中國旅遊出版社</t>
  </si>
  <si>
    <t>張詩晨</t>
  </si>
  <si>
    <t>992</t>
  </si>
  <si>
    <t>健康遠見特刊 搞懂長照ABC，17大服務報你知</t>
  </si>
  <si>
    <t>4711225316284_0010</t>
  </si>
  <si>
    <t>20170629</t>
  </si>
  <si>
    <t>健康遠見特刊 懶得動，如何健康瘦？</t>
  </si>
  <si>
    <t>4711225316284_0011</t>
  </si>
  <si>
    <t>20170920</t>
  </si>
  <si>
    <t>遠見特刊 大學考招、108課綱</t>
  </si>
  <si>
    <t>4711225318929_0007</t>
  </si>
  <si>
    <t>20170620</t>
  </si>
  <si>
    <t>遠見特刊 雄心vs.良心，贏在CSR！</t>
  </si>
  <si>
    <t>4711225318929_0008</t>
  </si>
  <si>
    <t>20170821</t>
  </si>
  <si>
    <t>遠見特刊 2018研究所指南</t>
  </si>
  <si>
    <t>4711225318929_0009</t>
  </si>
  <si>
    <t>20170922</t>
  </si>
  <si>
    <t>遠見特刊 南投特刊：仰投，在台灣中心找自己</t>
  </si>
  <si>
    <t>4711225318929_0010</t>
  </si>
  <si>
    <t>遠見特刊 退休特刊：暖退休不是夢</t>
  </si>
  <si>
    <t>4711225318929_0011</t>
  </si>
  <si>
    <t>20171002</t>
  </si>
  <si>
    <t>遠見特刊 新農業特刊：50大黃金青農</t>
  </si>
  <si>
    <t>4711225318929_0012</t>
  </si>
  <si>
    <t>20171016</t>
  </si>
  <si>
    <t>遠見特刊 新金融特刊：滑App理財，存到100萬</t>
  </si>
  <si>
    <t>4711225318929_0013</t>
  </si>
  <si>
    <t>20171113</t>
  </si>
  <si>
    <t>遠見特刊 趨勢特刊：預見2018未來大趨勢</t>
  </si>
  <si>
    <t>4711225318929_0014</t>
  </si>
  <si>
    <t>20171215</t>
  </si>
  <si>
    <t>遠見特刊 大學特刊：2018大學暨技職入學指南</t>
  </si>
  <si>
    <t>4711225318929_0015</t>
  </si>
  <si>
    <t>20180223</t>
  </si>
  <si>
    <t>遠見特刊 屏東特刊：城鄉，風起</t>
  </si>
  <si>
    <t>4711225318929_0016</t>
  </si>
  <si>
    <t>20180228</t>
  </si>
  <si>
    <t>遠見特刊 趨勢特刊：莫迪經濟學搶賺印度紅利</t>
  </si>
  <si>
    <t>4711225318929_0017</t>
  </si>
  <si>
    <t>20180803</t>
  </si>
  <si>
    <t>遠見特刊 農業特刊：前進荷蘭小國也有大農業</t>
  </si>
  <si>
    <t>4711225318929_0018</t>
  </si>
  <si>
    <t>20180820</t>
  </si>
  <si>
    <t>遠見特刊 教育特刊：2019研究所指南</t>
  </si>
  <si>
    <t>4711225318929_0019</t>
  </si>
  <si>
    <t>20180920</t>
  </si>
  <si>
    <t>遠見特刊 退休特刊：人生下半場的優雅哲學－情感、健康、財富、自我實現</t>
  </si>
  <si>
    <t>4711225318929_0020</t>
  </si>
  <si>
    <t>20180925</t>
  </si>
  <si>
    <t>遠見特刊 運動特刊：運動企業－打造健康職場</t>
  </si>
  <si>
    <t>4711225318929_0021</t>
  </si>
  <si>
    <t>20181024</t>
  </si>
  <si>
    <t>遠見特刊 趨勢特刊：77位華人領袖的關鍵對話</t>
  </si>
  <si>
    <t>4711225318929_0022</t>
  </si>
  <si>
    <t>20181214</t>
  </si>
  <si>
    <t>遠見特刊 大學特刊：2019大學暨技職入學指南</t>
  </si>
  <si>
    <t>4711225318929_0023</t>
  </si>
  <si>
    <t>20190222</t>
  </si>
  <si>
    <t>遠見特刊 2019台灣最佳大學排行榜</t>
  </si>
  <si>
    <t>4711225318929_0024</t>
  </si>
  <si>
    <t>遠見特刊 台灣珍奶傳奇</t>
  </si>
  <si>
    <t>4711225318929_0025</t>
  </si>
  <si>
    <t>遠見特刊 教育特刊：2020研究所指南</t>
  </si>
  <si>
    <t>4711225318929_0026</t>
  </si>
  <si>
    <t>20190925</t>
  </si>
  <si>
    <t>遠見特刊 退休特刊：完美人生CEO養成術</t>
  </si>
  <si>
    <t>4711225318929_0027</t>
  </si>
  <si>
    <t>20191002</t>
  </si>
  <si>
    <t>遠見特刊 蔬食特刊：新蔬食主義，吃貨養成日記</t>
  </si>
  <si>
    <t>4711225318929_0030</t>
  </si>
  <si>
    <t>20191101</t>
  </si>
  <si>
    <t>遠見特刊 台北南西商圈，赤峰老街巡禮</t>
  </si>
  <si>
    <t>4711225318929_0031</t>
  </si>
  <si>
    <t>遠見特刊 趨勢特刊：華人領袖的30堂趨勢課</t>
  </si>
  <si>
    <t>4711225318929_0032</t>
  </si>
  <si>
    <t>20191201</t>
  </si>
  <si>
    <t>遠見特刊：年假不無聊 玩樂閱讀過好年</t>
  </si>
  <si>
    <t>4711225318929_0033</t>
  </si>
  <si>
    <t>20200101</t>
  </si>
  <si>
    <t>遠見特刊：愛護地球 跟你很有關係</t>
  </si>
  <si>
    <t>4711225318929_0034</t>
  </si>
  <si>
    <t>20200401</t>
  </si>
  <si>
    <t>遠見特刊 教育特刊：2021大學暨技職入學指南</t>
  </si>
  <si>
    <t>4711225318929_0041</t>
  </si>
  <si>
    <t>中國道教文化常識問答</t>
  </si>
  <si>
    <t>9789863900832</t>
  </si>
  <si>
    <t>郭帥</t>
  </si>
  <si>
    <t>541.26208</t>
  </si>
  <si>
    <t>中國禪修文化常識問答</t>
  </si>
  <si>
    <t>9789863900825</t>
  </si>
  <si>
    <t>黃聰穎</t>
  </si>
  <si>
    <t>中國佛教文化常識問答</t>
  </si>
  <si>
    <t>9789863900818</t>
  </si>
  <si>
    <t>熊明通</t>
  </si>
  <si>
    <t>名山名水名茶</t>
  </si>
  <si>
    <t>9789863970828</t>
  </si>
  <si>
    <t>黃山國際出版社有限公司</t>
  </si>
  <si>
    <t>姚國坤，張莉穎</t>
  </si>
  <si>
    <t>439.408</t>
  </si>
  <si>
    <t>青城山道茶</t>
  </si>
  <si>
    <t>9789863970835</t>
  </si>
  <si>
    <t>徐金華</t>
  </si>
  <si>
    <t>武夷岩茶</t>
  </si>
  <si>
    <t>9789863970842</t>
  </si>
  <si>
    <t>孫威江，陳泉賓</t>
  </si>
  <si>
    <t>中國綠茶</t>
  </si>
  <si>
    <t>9789863970583</t>
  </si>
  <si>
    <t>夏濤</t>
  </si>
  <si>
    <t>普洱茶</t>
  </si>
  <si>
    <t>9789863970415</t>
  </si>
  <si>
    <t>木霽弘，胡皓明，胡波</t>
  </si>
  <si>
    <t>徽州茶</t>
  </si>
  <si>
    <t>9789863970590</t>
  </si>
  <si>
    <t>鄭建新，鄭毅</t>
  </si>
  <si>
    <t>黃山毛峰</t>
  </si>
  <si>
    <t>9789863970811</t>
  </si>
  <si>
    <t>鐵觀音</t>
  </si>
  <si>
    <t>9789863970422</t>
  </si>
  <si>
    <t>李啟厚</t>
  </si>
  <si>
    <t>碧螺春</t>
  </si>
  <si>
    <t>9789863970408</t>
  </si>
  <si>
    <t>唐鎖海</t>
  </si>
  <si>
    <t>龍井茶</t>
  </si>
  <si>
    <t>9789863970439</t>
  </si>
  <si>
    <t>姚國坤</t>
  </si>
  <si>
    <t>中國紅茶</t>
  </si>
  <si>
    <t>9789863970569</t>
  </si>
  <si>
    <t>鄭建新，鄭媛</t>
  </si>
  <si>
    <t>潮州功夫茶</t>
  </si>
  <si>
    <t>9789863970576</t>
  </si>
  <si>
    <t>陳香白，陳叔麟</t>
  </si>
  <si>
    <t>細說江南園林</t>
  </si>
  <si>
    <t>9789863970460</t>
  </si>
  <si>
    <t>孫旭</t>
  </si>
  <si>
    <t>920.8</t>
  </si>
  <si>
    <t>中國古典建築常識問答</t>
  </si>
  <si>
    <t>9789863970361</t>
  </si>
  <si>
    <t>嘉禾</t>
  </si>
  <si>
    <t>超簡單自助旅行韓語【有聲】</t>
  </si>
  <si>
    <t>9789865616595</t>
  </si>
  <si>
    <t>生活物理SHOW！2‧0：木星上的炸薯條最好吃？</t>
  </si>
  <si>
    <t>9789864490745</t>
  </si>
  <si>
    <t>簡麗賢</t>
  </si>
  <si>
    <t>我們明天再說話</t>
  </si>
  <si>
    <t>9789869360067</t>
  </si>
  <si>
    <t>安全用藥快問快答600題</t>
  </si>
  <si>
    <t>9789868233676</t>
  </si>
  <si>
    <t>財團法人中華景康藥學基金會</t>
  </si>
  <si>
    <t>418.74</t>
  </si>
  <si>
    <t>告別腰酸背痛【增訂版】</t>
  </si>
  <si>
    <t>9789869123860</t>
  </si>
  <si>
    <t>健康世界有限公司</t>
  </si>
  <si>
    <t>謝霖芬</t>
  </si>
  <si>
    <t>416.616</t>
  </si>
  <si>
    <t>我家的阿嬤：失智照顧者手記</t>
  </si>
  <si>
    <t>9789869123891</t>
  </si>
  <si>
    <t>林靜靜</t>
  </si>
  <si>
    <t>415.934</t>
  </si>
  <si>
    <t>病人不受安慰，怎麼辦？</t>
  </si>
  <si>
    <t>9789869444569</t>
  </si>
  <si>
    <t>記者採訪寫作職能轉化學習歷程之研究：新聞戲劇化觀點</t>
  </si>
  <si>
    <t>9789869427289</t>
  </si>
  <si>
    <t>張天雄</t>
  </si>
  <si>
    <t>895</t>
  </si>
  <si>
    <t>薑黃的神奇力量</t>
  </si>
  <si>
    <t>9789869123884</t>
  </si>
  <si>
    <t>數位學習導論與實務</t>
  </si>
  <si>
    <t>9789864340620</t>
  </si>
  <si>
    <t>黃國禎，蘇俊銘，陳年興</t>
  </si>
  <si>
    <t>521.539</t>
  </si>
  <si>
    <t>Google For Education認證教育家指南：翻轉自主學習ｘ協作分享的雲端教室</t>
  </si>
  <si>
    <t>9789864341733</t>
  </si>
  <si>
    <t>何宇薇，王若馨，鄧婷今，盧承璿</t>
  </si>
  <si>
    <t>應用統計學〈第三版〉</t>
  </si>
  <si>
    <t>9789864342020</t>
  </si>
  <si>
    <t>李德治</t>
  </si>
  <si>
    <t>518</t>
  </si>
  <si>
    <t>讓免費網路資源幫你賺大錢：最完整的網路資源資訊，就看這一本！</t>
  </si>
  <si>
    <t>9789864341931</t>
  </si>
  <si>
    <t>創意眼資訊</t>
  </si>
  <si>
    <t>Keynote大師班：簡報滿分的關鍵8堂課</t>
  </si>
  <si>
    <t>9789864340385</t>
  </si>
  <si>
    <t>494.6029</t>
  </si>
  <si>
    <t>Windows10破天驚：看不懂不用買的200招以上Windows無痛轉移術</t>
  </si>
  <si>
    <t>9789864340750</t>
  </si>
  <si>
    <t>吳燦銘</t>
  </si>
  <si>
    <t>Windows10極速上手：全面啟動雲端新視界</t>
  </si>
  <si>
    <t>9789864340651</t>
  </si>
  <si>
    <t>江明樵</t>
  </si>
  <si>
    <t>超實用！人資‧行政‧總務的辦公室Excel必備50招省時技〈2016版〉</t>
  </si>
  <si>
    <t>9789864340866</t>
  </si>
  <si>
    <t>EVERNOTE最強活用術：你Never Know的147個實用筆記</t>
  </si>
  <si>
    <t>9789864341139</t>
  </si>
  <si>
    <t>Excel 2016商務應用必學的16堂課</t>
  </si>
  <si>
    <t>9789864341498</t>
  </si>
  <si>
    <t>我的第一台口袋VR眼鏡：看影片ｘ玩遊戲一機搞定</t>
  </si>
  <si>
    <t>9789864341115</t>
  </si>
  <si>
    <t>博碩文化</t>
  </si>
  <si>
    <t>484.5</t>
  </si>
  <si>
    <t>改變世界的力量：臺灣物聯網大商機</t>
  </si>
  <si>
    <t>9789864341061</t>
  </si>
  <si>
    <t>裴有恆，陳冠伶</t>
  </si>
  <si>
    <t>484.6</t>
  </si>
  <si>
    <t>InDesign Tricks：專家愛用的速效技法</t>
  </si>
  <si>
    <t>9789864341368</t>
  </si>
  <si>
    <t>陳吉清</t>
  </si>
  <si>
    <t>477.22029</t>
  </si>
  <si>
    <t>超實用！會計‧生管‧財務的辦公室EXCEL必備50招省時技〈2016版〉</t>
  </si>
  <si>
    <t>9789864341290</t>
  </si>
  <si>
    <t>Office 2016商務應用必學的16堂課</t>
  </si>
  <si>
    <t>9789864341504</t>
  </si>
  <si>
    <t>超實用！Word‧Excel‧PowerPoint辦公室Office必備50招省時技〈2016版〉</t>
  </si>
  <si>
    <t>9789864341917</t>
  </si>
  <si>
    <t>Google G Suite For Education上課趣：文件、試算表、簡報、雲端教室完全活用</t>
  </si>
  <si>
    <t>9789864341870</t>
  </si>
  <si>
    <t>江軍，葉俞佛</t>
  </si>
  <si>
    <t>Final Cut Pro X活用萬事通：Mac影音剪輯一本就學會！</t>
  </si>
  <si>
    <t>9789864340323</t>
  </si>
  <si>
    <t>自己的貼圖自己賣：Line原創貼圖的角色經濟學！</t>
  </si>
  <si>
    <t>9789864341221</t>
  </si>
  <si>
    <t>吳宜瑾</t>
  </si>
  <si>
    <t>947.45</t>
  </si>
  <si>
    <t>Word／Excel／PowerPoint超效率500招速成技</t>
  </si>
  <si>
    <t>9789864341337</t>
  </si>
  <si>
    <t>史上最強！LINE 動態貼圖：設計、行銷、經營必殺技：掌握月入30萬的經營行銷手法SO EASY！</t>
  </si>
  <si>
    <t>9789864341696</t>
  </si>
  <si>
    <t>3ds Max 2016建模技巧與動畫設計實務</t>
  </si>
  <si>
    <t>9789864340828</t>
  </si>
  <si>
    <t>Blender 3D 基礎建模：3D 設計新手超入門</t>
  </si>
  <si>
    <t>9789864341825</t>
  </si>
  <si>
    <t>游峰碩，侯宜汝</t>
  </si>
  <si>
    <t>這樣做網路行銷才賺錢！：中小企業網路行銷的八堂課＋五步驟</t>
  </si>
  <si>
    <t>9789862019863</t>
  </si>
  <si>
    <t>K大俠</t>
  </si>
  <si>
    <t>Unity Asset Store 資源商店：免費物件、套件、模板應用開發教學</t>
  </si>
  <si>
    <t>9789864340521</t>
  </si>
  <si>
    <t>Kieec</t>
  </si>
  <si>
    <t>R語言 : 數學計算、統計模型與金融大數據分析</t>
  </si>
  <si>
    <t>9789864340965</t>
  </si>
  <si>
    <t>312.74</t>
  </si>
  <si>
    <t>打造成功UI／UX 的50 個關鍵：用魔鬼的細節創造極致使用者體驗</t>
  </si>
  <si>
    <t>9789864341436</t>
  </si>
  <si>
    <t>HTML5＋CSS3＋jQuery Mobile ： 輕鬆打造App 與行動網站</t>
  </si>
  <si>
    <t>9789864340774</t>
  </si>
  <si>
    <t>數位新知，陳婉凌</t>
  </si>
  <si>
    <t>Microsoft Azure 雲端程式設計：使用ASP‧NET MVC 開發</t>
  </si>
  <si>
    <t>9789864341481</t>
  </si>
  <si>
    <t>蔡燕如 等</t>
  </si>
  <si>
    <t>培養與鍛鍊程式設計的邏輯腦 ： 程式設計大賽的解題策略基礎入門</t>
  </si>
  <si>
    <t>9789864340897</t>
  </si>
  <si>
    <t>江任捷</t>
  </si>
  <si>
    <t>絕對無料：MIS 網管達人的工具箱</t>
  </si>
  <si>
    <t>9789864340972</t>
  </si>
  <si>
    <t>ASP‧NET 4‧6 動態網頁程式設計技術實作：使用C＃</t>
  </si>
  <si>
    <t>9789864341610</t>
  </si>
  <si>
    <t>榮欽科技</t>
  </si>
  <si>
    <t>圖解資料結構：使用C語言</t>
  </si>
  <si>
    <t>9789864341160</t>
  </si>
  <si>
    <t>胡昭民</t>
  </si>
  <si>
    <t>312.73</t>
  </si>
  <si>
    <t>Python新手使用Django架站的16堂課</t>
  </si>
  <si>
    <t>9789864341658</t>
  </si>
  <si>
    <t>何敏煌</t>
  </si>
  <si>
    <t>數位神探：現代福爾摩斯的科技辦案：10 個犯罪現場偵蒐事件簿</t>
  </si>
  <si>
    <t>9789864341306</t>
  </si>
  <si>
    <t>王旭正，吳欣儒，張淯閎</t>
  </si>
  <si>
    <t>MIS 的安全防禦：Linux 系統與網路安全</t>
  </si>
  <si>
    <t>9789864341863</t>
  </si>
  <si>
    <t>312.76</t>
  </si>
  <si>
    <t>從範例學MINITAB 統計分析與應用</t>
  </si>
  <si>
    <t>9789864341672</t>
  </si>
  <si>
    <t>唐麗英，王春和</t>
  </si>
  <si>
    <t>輕鬆學Android 應用程式設計</t>
  </si>
  <si>
    <t>9789864341740</t>
  </si>
  <si>
    <t>吳卓俊，洪旭嘉</t>
  </si>
  <si>
    <t>WordPress＋AWS 架設企業級雲端網站</t>
  </si>
  <si>
    <t>9789864341900</t>
  </si>
  <si>
    <t>Sebastian Hsu</t>
  </si>
  <si>
    <t>漫話PHP：史上最易懂的PHP手冊</t>
  </si>
  <si>
    <t>9789864342105</t>
  </si>
  <si>
    <t>陳琨和</t>
  </si>
  <si>
    <t>資訊安全與智慧、行動網路安全應用實務</t>
  </si>
  <si>
    <t>9789864340330</t>
  </si>
  <si>
    <t>王旭正，李榮三，許富皓</t>
  </si>
  <si>
    <t>多旋翼式無人飛機：專業軟硬體調校</t>
  </si>
  <si>
    <t>9789864340248</t>
  </si>
  <si>
    <t>MKTsai</t>
  </si>
  <si>
    <t>447.6</t>
  </si>
  <si>
    <t>資料結構初學指引：入門精要版</t>
  </si>
  <si>
    <t>9789864340361</t>
  </si>
  <si>
    <t>陳錦輝</t>
  </si>
  <si>
    <t>掌握Java SE8程式設計：Lambda的逆襲</t>
  </si>
  <si>
    <t>9789864340187</t>
  </si>
  <si>
    <t>UML 物件導向系統分析與設計</t>
  </si>
  <si>
    <t>9789864341818</t>
  </si>
  <si>
    <t>Android 高效入門＞＞深度學習：使用Android Studio 2 開發Android 6‧0 APP</t>
  </si>
  <si>
    <t>9789864341207</t>
  </si>
  <si>
    <t>數位資訊＠多媒體安全與應用</t>
  </si>
  <si>
    <t>9789864340736</t>
  </si>
  <si>
    <t>王旭正，翁麒耀，黃正達</t>
  </si>
  <si>
    <t>312.98</t>
  </si>
  <si>
    <t>從零開始學Visual C＃2015 程式設計</t>
  </si>
  <si>
    <t>9789864341955</t>
  </si>
  <si>
    <t>李馨</t>
  </si>
  <si>
    <t>Python程式設計入門</t>
  </si>
  <si>
    <t>9789864340057</t>
  </si>
  <si>
    <t>葉難</t>
  </si>
  <si>
    <t>在畫裡流轉的詩光：Mina’s 隨彩印象</t>
  </si>
  <si>
    <t>9789862101452</t>
  </si>
  <si>
    <t>黃照敏</t>
  </si>
  <si>
    <t>雲林經濟發展藍皮書</t>
  </si>
  <si>
    <t>9789862101292</t>
  </si>
  <si>
    <t>張嘉郡，童振源</t>
  </si>
  <si>
    <t>552.33</t>
  </si>
  <si>
    <t>銀髮爸媽第一次玩Windows 10 就上手－手機╳平板╳筆電一次就搞定</t>
  </si>
  <si>
    <t>9789862101469</t>
  </si>
  <si>
    <t>儲昭芳</t>
  </si>
  <si>
    <t>312.1163</t>
  </si>
  <si>
    <t>Apple TV 好好玩：蘋果達人暗藏的Apple TV 進擊攻略</t>
  </si>
  <si>
    <t>9789862101490</t>
  </si>
  <si>
    <t>448.88</t>
  </si>
  <si>
    <t>兩岸政策藍皮書</t>
  </si>
  <si>
    <t>9789862101520</t>
  </si>
  <si>
    <t>童振源</t>
  </si>
  <si>
    <t>女性私身體：全方位生理週期照護手冊〈20 週年增訂版〉</t>
  </si>
  <si>
    <t>9789576938887</t>
  </si>
  <si>
    <t>東妮‧魏斯區勒〈Toni Weschler〉</t>
  </si>
  <si>
    <t>417.12</t>
  </si>
  <si>
    <t>共享自然，珍愛世界：適用全年齡層的自然覺察活動</t>
  </si>
  <si>
    <t>9789576938894</t>
  </si>
  <si>
    <t>約瑟夫‧柯內爾（Joseph Cornell）</t>
  </si>
  <si>
    <t>303</t>
  </si>
  <si>
    <t>穩步‧慢行：自閉症孩子的生活、溝通、學習</t>
  </si>
  <si>
    <t>9789576938801</t>
  </si>
  <si>
    <t>莎莉‧羅傑斯（Sally J. Rogers, PhD），潔拉汀‧道森（Geraldine Dawson, PhD），羅莉‧維斯瑪拉（Laurie A. Vismara, PhD）</t>
  </si>
  <si>
    <t>主題分析</t>
  </si>
  <si>
    <t>9789864371204</t>
  </si>
  <si>
    <t>張慧銖 等</t>
  </si>
  <si>
    <t>023.4707</t>
  </si>
  <si>
    <t>看懂關係，療癒心靈：關係治療理論與實務</t>
  </si>
  <si>
    <t>9789576938924</t>
  </si>
  <si>
    <t>江垂南，蔡明娟</t>
  </si>
  <si>
    <t>獻給地獄廚房的情書</t>
  </si>
  <si>
    <t>9789865813918</t>
  </si>
  <si>
    <t>Yen〈劉宴瑜〉</t>
  </si>
  <si>
    <t>中國建築文化遺產圖鑑</t>
  </si>
  <si>
    <t>9789863970453</t>
  </si>
  <si>
    <t>吳亦凡</t>
  </si>
  <si>
    <t>中國古典建築吉祥圖案識別圖鑒</t>
  </si>
  <si>
    <t>9789863970354</t>
  </si>
  <si>
    <t>商子莊</t>
  </si>
  <si>
    <t>病人對醫師與醫院之信任、滿意與忠誠關係</t>
  </si>
  <si>
    <t>9789869509114</t>
  </si>
  <si>
    <t>張維容Wei─Jung Chang</t>
  </si>
  <si>
    <t>419.47</t>
  </si>
  <si>
    <t>走走日本：川越，遇見小江戶</t>
  </si>
  <si>
    <t>EBK10200010874</t>
  </si>
  <si>
    <t>欣傳媒股份有限公司</t>
  </si>
  <si>
    <t>楊詠文</t>
  </si>
  <si>
    <t>活著為了見證</t>
  </si>
  <si>
    <t>9789869360081</t>
  </si>
  <si>
    <t>野夫</t>
  </si>
  <si>
    <t>驗光生滿分題庫合輯</t>
  </si>
  <si>
    <t>9789864870035</t>
  </si>
  <si>
    <t>東岳，許瑋怡，陳詹之，黃榤，龍羽薇</t>
  </si>
  <si>
    <t>416</t>
  </si>
  <si>
    <t>主題式財務管理高分題庫</t>
  </si>
  <si>
    <t>9789863749400</t>
  </si>
  <si>
    <t>卓凡</t>
  </si>
  <si>
    <t>2017一次考上銀行：銀行專業科題庫（四）重點精要＋試題詳解</t>
  </si>
  <si>
    <t>9789864870240</t>
  </si>
  <si>
    <t>賦誠，黃鶯，亭宣</t>
  </si>
  <si>
    <t>絕對上榜：導遊證照輕鬆考（含導遊實務一、二、觀光資源概要）</t>
  </si>
  <si>
    <t>9789864870370</t>
  </si>
  <si>
    <t>吳瑞峰，林俐，陳祥</t>
  </si>
  <si>
    <t>790</t>
  </si>
  <si>
    <t>領隊導遊英文（包含閱讀文選及一般選擇題）</t>
  </si>
  <si>
    <t>9789864870233</t>
  </si>
  <si>
    <t>絕對上榜：領隊證照輕鬆考（含領隊實務一、二、觀光資源概要）</t>
  </si>
  <si>
    <t>9789864870264</t>
  </si>
  <si>
    <t>850</t>
  </si>
  <si>
    <t>餐旅概論〔歷年試題＋模擬考〕</t>
  </si>
  <si>
    <t>9789864870714</t>
  </si>
  <si>
    <t>看懂面相讀透人心：人生一帆風順</t>
  </si>
  <si>
    <t>4715443036634</t>
  </si>
  <si>
    <t>293</t>
  </si>
  <si>
    <t>曲黎敏速效對症按摩</t>
  </si>
  <si>
    <t>9789866055447</t>
  </si>
  <si>
    <t>源樺文化</t>
  </si>
  <si>
    <t>我的第一本日文課本：圖像聯想記憶法【有聲】</t>
  </si>
  <si>
    <t>9789866055508</t>
  </si>
  <si>
    <t>坂野治，朴世利，金志珉</t>
  </si>
  <si>
    <t>降血壓飲食宜忌大百科</t>
  </si>
  <si>
    <t>9789866055881</t>
  </si>
  <si>
    <t>師任堂：光的日記〈上冊〉</t>
  </si>
  <si>
    <t>9789863733706</t>
  </si>
  <si>
    <t>朴垠玲</t>
  </si>
  <si>
    <t>862.57</t>
  </si>
  <si>
    <t>師任堂：光的日記〈下冊〉</t>
  </si>
  <si>
    <t>9789863733713</t>
  </si>
  <si>
    <t>咖啡專題</t>
  </si>
  <si>
    <t>EBK10200010876</t>
  </si>
  <si>
    <t>韓語村企業社</t>
  </si>
  <si>
    <t>服務業韓國語</t>
  </si>
  <si>
    <t>EBK10200010877</t>
  </si>
  <si>
    <t>帶著韓國好友遊香港</t>
  </si>
  <si>
    <t>EBK10200010879</t>
  </si>
  <si>
    <t>購物韓國語</t>
  </si>
  <si>
    <t>EBK10200010880</t>
  </si>
  <si>
    <t>韓國人都這樣過</t>
  </si>
  <si>
    <t>EBK10200010881</t>
  </si>
  <si>
    <t>Best of year：觀眾最愛設計師3</t>
  </si>
  <si>
    <t>9789869157667</t>
  </si>
  <si>
    <t>語文桌遊自造課</t>
  </si>
  <si>
    <t>9789864490851</t>
  </si>
  <si>
    <t>賴秋江</t>
  </si>
  <si>
    <t>523.31</t>
  </si>
  <si>
    <t>大腦先生的一天：從起床開始的思緒與工作，腦力如何幫助我們做好（或搞砸）每件事？</t>
  </si>
  <si>
    <t>9789865695804</t>
  </si>
  <si>
    <t>健腦商店，嘉斯•桑頓</t>
  </si>
  <si>
    <t>金牌教練告訴你負面思考的正向力量：做好最壞打算，你就可以樂觀</t>
  </si>
  <si>
    <t>9789869359900</t>
  </si>
  <si>
    <t>本事出版</t>
  </si>
  <si>
    <t>鮑伯‧奈特（Bob Knight）</t>
  </si>
  <si>
    <t>528.952</t>
  </si>
  <si>
    <t>看韓劇學韓語：DOCTORS</t>
  </si>
  <si>
    <t>EBK10200010905</t>
  </si>
  <si>
    <t>看韓劇學韓語：鬼怪</t>
  </si>
  <si>
    <t>EBK10200010906</t>
  </si>
  <si>
    <t>看韓劇學韓語：雲畫的月光</t>
  </si>
  <si>
    <t>EBK10200010907</t>
  </si>
  <si>
    <t>韓國大學生都這樣過：校園韓國語</t>
  </si>
  <si>
    <t>EBK10200010910</t>
  </si>
  <si>
    <t>大人的戀愛</t>
  </si>
  <si>
    <t>9789869147613</t>
  </si>
  <si>
    <t>膝關節</t>
  </si>
  <si>
    <t>色彩的履歷書：從科學到風俗，75種令人神魂顛倒的色彩故事</t>
  </si>
  <si>
    <t>9789869450485</t>
  </si>
  <si>
    <t>卡西亞‧聖‧克萊兒（Kassia St Clair）</t>
  </si>
  <si>
    <t>963.09</t>
  </si>
  <si>
    <t>讀畫搞懂世界經濟史：22個主題，看見全球貿易是如何進化的？</t>
  </si>
  <si>
    <t>9789869493925</t>
  </si>
  <si>
    <t>宋炳建</t>
  </si>
  <si>
    <t>550.9</t>
  </si>
  <si>
    <t>創意思考的祕密在聯想力：點子源源不絕！歐洲最具未來競爭力的訓練課程</t>
  </si>
  <si>
    <t>9789869450478</t>
  </si>
  <si>
    <t>朵特‧尼爾森（Dorte Nielsen）＆莎拉‧瑟伯（Sarah Thurber）</t>
  </si>
  <si>
    <t>告別痠痛麻：改掉爛姿勢，日日養脊椎，肩頸腰背好輕鬆</t>
  </si>
  <si>
    <t>9789864930647</t>
  </si>
  <si>
    <t>溫建民，葉建新</t>
  </si>
  <si>
    <t>轉個彎就到了：給新手的20條台灣登山路線</t>
  </si>
  <si>
    <t>9789869463140</t>
  </si>
  <si>
    <t>段慧琳</t>
  </si>
  <si>
    <t>992.77</t>
  </si>
  <si>
    <t>與地共生、給雞唱歌</t>
  </si>
  <si>
    <t>9789869424387</t>
  </si>
  <si>
    <t>李盈瑩</t>
  </si>
  <si>
    <t>431.4</t>
  </si>
  <si>
    <t>一個人的粗茶淡飯2：偏執食堂</t>
  </si>
  <si>
    <t>9789869463102</t>
  </si>
  <si>
    <t>427.07</t>
  </si>
  <si>
    <t>無界之地</t>
  </si>
  <si>
    <t>9789869428729</t>
  </si>
  <si>
    <t>瑪麗・奧斯汀（Mary Austin）</t>
  </si>
  <si>
    <t>種樹的詩人：吳晟的呼喚，和你預約一片綠蔭，一座未來森林</t>
  </si>
  <si>
    <t>9789869428705</t>
  </si>
  <si>
    <t>吳晟</t>
  </si>
  <si>
    <t>聖經的故事</t>
  </si>
  <si>
    <t>9789869427364</t>
  </si>
  <si>
    <t>亨德里克‧威廉‧房龍（Hendrik Willem Van Loon）</t>
  </si>
  <si>
    <t>拖延心理學【暢銷35週年增修新版】：為什麼我老是愛拖延？是與生俱來的壞習慣，還是身不由己？</t>
  </si>
  <si>
    <t>9789869436250</t>
  </si>
  <si>
    <t>珍‧博克（Jane B. Burka），萊諾拉‧袁（Lenora M. Yuen）</t>
  </si>
  <si>
    <t>食療聖經：【最新科學實證】用全食物蔬食逆轉15大致死疾病</t>
  </si>
  <si>
    <t>9789864890668</t>
  </si>
  <si>
    <t>麥克‧葛雷格醫師（Michael Greger, MD），金‧史東（Gene Stone）</t>
  </si>
  <si>
    <t>我願成為山的侍者</t>
  </si>
  <si>
    <t>9789869299480</t>
  </si>
  <si>
    <t>劉崇鳳</t>
  </si>
  <si>
    <t>悲傷是這樣誕生的</t>
  </si>
  <si>
    <t>9789869370974</t>
  </si>
  <si>
    <t>約翰‧休斯（John Hughes）</t>
  </si>
  <si>
    <t>887.157</t>
  </si>
  <si>
    <t>邏輯謬誤鑑識班（增修新版）：訓練偵錯神經的24堂邏輯課</t>
  </si>
  <si>
    <t>9789869324335</t>
  </si>
  <si>
    <t>冀劍制</t>
  </si>
  <si>
    <t>159.5</t>
  </si>
  <si>
    <t>為什麼青少年都衝動（全新修訂版）</t>
  </si>
  <si>
    <t>9789576938931</t>
  </si>
  <si>
    <t>大衛‧華許（David Walsh）</t>
  </si>
  <si>
    <t>173.6</t>
  </si>
  <si>
    <t>吵架吧！我倆明天會更好：深入內心，挖出渴望，讓親密關係再進化</t>
  </si>
  <si>
    <t>9789869359948</t>
  </si>
  <si>
    <t>茱蒂‧萊特（Judith Wright EdD），鮑伯‧萊特（Bob Wright EdD）</t>
  </si>
  <si>
    <t>留味行：她的流亡是我的流浪，以及奶奶的十一道菜</t>
  </si>
  <si>
    <t>9789869483643</t>
  </si>
  <si>
    <t>瞿筱葳</t>
  </si>
  <si>
    <t>電腦e學園2：Windows 10</t>
  </si>
  <si>
    <t>9789868948099</t>
  </si>
  <si>
    <t>7天教妳讀懂的哲學書</t>
  </si>
  <si>
    <t>9789864920778</t>
  </si>
  <si>
    <t>崧博出版事業有限公司</t>
  </si>
  <si>
    <t>陳晨</t>
  </si>
  <si>
    <t>8種成功習慣</t>
  </si>
  <si>
    <t>9789864920808</t>
  </si>
  <si>
    <t>賈伯生，尹彥品</t>
  </si>
  <si>
    <t>20～30歲，妳拿這十年做什麽</t>
  </si>
  <si>
    <t>9789864920822</t>
  </si>
  <si>
    <t>李曉林</t>
  </si>
  <si>
    <t>20幾歲決定男人是否有錢</t>
  </si>
  <si>
    <t>EBK10200010920</t>
  </si>
  <si>
    <t>陳泰先</t>
  </si>
  <si>
    <t>習慣是生活的基石</t>
  </si>
  <si>
    <t>EBK10200010922</t>
  </si>
  <si>
    <t>林自勇</t>
  </si>
  <si>
    <t>173</t>
  </si>
  <si>
    <t>大學生心理健康</t>
  </si>
  <si>
    <t>9789864927944</t>
  </si>
  <si>
    <t>林靜</t>
  </si>
  <si>
    <t>工作中的心理學“詭計”</t>
  </si>
  <si>
    <t>EBK10200010925</t>
  </si>
  <si>
    <t>柯君</t>
  </si>
  <si>
    <t>世界名人成功啟示錄（上）</t>
  </si>
  <si>
    <t>9789864920792</t>
  </si>
  <si>
    <t>畢尚，風華</t>
  </si>
  <si>
    <t>世界名人成功啟示錄（下）</t>
  </si>
  <si>
    <t>9789864920761</t>
  </si>
  <si>
    <t>發展經濟學</t>
  </si>
  <si>
    <t>9789864927050</t>
  </si>
  <si>
    <t>林樂芬</t>
  </si>
  <si>
    <t>生活中必知的130個心理常識</t>
  </si>
  <si>
    <t>EBK10200010930</t>
  </si>
  <si>
    <t>袁婉楠</t>
  </si>
  <si>
    <t>328</t>
  </si>
  <si>
    <t>生活心理醫生</t>
  </si>
  <si>
    <t>EBK10200010931</t>
  </si>
  <si>
    <t>田偉</t>
  </si>
  <si>
    <t>176</t>
  </si>
  <si>
    <t>當代普通心理學</t>
  </si>
  <si>
    <t>EBK10200010936</t>
  </si>
  <si>
    <t>張道祥</t>
  </si>
  <si>
    <t>百姓經濟學</t>
  </si>
  <si>
    <t>9789864920921</t>
  </si>
  <si>
    <t>劉燁</t>
  </si>
  <si>
    <t>改變一生的14堂心理課</t>
  </si>
  <si>
    <t>9789864920914</t>
  </si>
  <si>
    <t>中石</t>
  </si>
  <si>
    <t>現代心理學理論與實踐</t>
  </si>
  <si>
    <t>EBK10200010939</t>
  </si>
  <si>
    <t>宗文舉，石鳳妍，詹啟生</t>
  </si>
  <si>
    <t>青少年成長必知的經濟學定律</t>
  </si>
  <si>
    <t>EBK10200010942</t>
  </si>
  <si>
    <t>羅渝民</t>
  </si>
  <si>
    <t>活學活用心理學</t>
  </si>
  <si>
    <t>9789864921010</t>
  </si>
  <si>
    <t>陳鈺</t>
  </si>
  <si>
    <t>落葉：徐志摩作品精選</t>
  </si>
  <si>
    <t>EBK10200010950</t>
  </si>
  <si>
    <t>蕭楓</t>
  </si>
  <si>
    <t>增長：企業高速發展的新引擎</t>
  </si>
  <si>
    <t>EBK10200010951</t>
  </si>
  <si>
    <t>姜嵐昕</t>
  </si>
  <si>
    <t>德國社會市場經濟：理論、發展與比較</t>
  </si>
  <si>
    <t>9789864921089</t>
  </si>
  <si>
    <t>劉光耀</t>
  </si>
  <si>
    <t>藝千的繪畫魔法書：可愛貓咪系列</t>
  </si>
  <si>
    <t>9789862100974</t>
  </si>
  <si>
    <t>博誌文化股份有限公司</t>
  </si>
  <si>
    <t>藝千</t>
  </si>
  <si>
    <t>312.866</t>
  </si>
  <si>
    <t>青少年成長必知的心理學定律</t>
  </si>
  <si>
    <t>EBK10200010953</t>
  </si>
  <si>
    <t>輕鬆考證照：銀行內部控制及內部稽核規範要點</t>
  </si>
  <si>
    <t>9789869306539</t>
  </si>
  <si>
    <t>賀冠群</t>
  </si>
  <si>
    <t>人文學，翻轉企業未來！：Google、Apple、Intel正在找的人才</t>
  </si>
  <si>
    <t>9789869493970</t>
  </si>
  <si>
    <t>牟起龍</t>
  </si>
  <si>
    <t>心的煉金術：愛的教導之書—如何接受愛、給予愛，並與更高的愛相遇。</t>
  </si>
  <si>
    <t>9789869420952</t>
  </si>
  <si>
    <t>新星球出版</t>
  </si>
  <si>
    <t>依麗莎白‧克雷爾‧普弗特（Elizabeth Clare Prophet），派翠西亞‧R‧斯巴達羅（Patricia R. Spadaro）</t>
  </si>
  <si>
    <t>這裡讓愛不流浪：中途咖啡店「浪浪別哭」的暖心故事</t>
  </si>
  <si>
    <t>9789869424394</t>
  </si>
  <si>
    <t>譚柔</t>
  </si>
  <si>
    <t>文案大師教你精準勸敗術（文案寫作聖經30週年典藏版）：在注意力稀缺年代，如何找出熱賣語感與動人用字？</t>
  </si>
  <si>
    <t>9789865695842</t>
  </si>
  <si>
    <t>羅伯特‧布萊（Robert W. Bly）</t>
  </si>
  <si>
    <t>497.5</t>
  </si>
  <si>
    <t>拒絕生病：無病生活從65件日常小事開始</t>
  </si>
  <si>
    <t>9789869484602</t>
  </si>
  <si>
    <t>地平線文化</t>
  </si>
  <si>
    <t>大衛‧阿格斯（Dr. David B. Agus）</t>
  </si>
  <si>
    <t>農村，你好嗎？寫在農村的24則鄉野求生筆記</t>
  </si>
  <si>
    <t>9789869299473</t>
  </si>
  <si>
    <t>李慧宜</t>
  </si>
  <si>
    <t>545.5</t>
  </si>
  <si>
    <t>昨日世界：一個歐洲人的回憶【75週年典藏‧導讀修訂版】</t>
  </si>
  <si>
    <t>9789869436212</t>
  </si>
  <si>
    <t>史蒂芬‧茨威格（Stefan Zweig）</t>
  </si>
  <si>
    <t>784.418</t>
  </si>
  <si>
    <t>神與狗的賭注</t>
  </si>
  <si>
    <t>9789869310499</t>
  </si>
  <si>
    <t>安德列‧亞歷克斯（Andre Alexis）</t>
  </si>
  <si>
    <t>885.357</t>
  </si>
  <si>
    <t>當幸福來請款</t>
  </si>
  <si>
    <t>9789869436267</t>
  </si>
  <si>
    <t>約拿斯‧卡爾松（Jonas Karlsson）</t>
  </si>
  <si>
    <t>881.357</t>
  </si>
  <si>
    <t>遇見26個自己：認識內在的26種人格，喜歡上不完美的自己</t>
  </si>
  <si>
    <t>9789869436243</t>
  </si>
  <si>
    <t>席薇雅‧恩格爾（Silvia Maria Engl）</t>
  </si>
  <si>
    <t>請帶我穿越這片海洋：記敘利亞、伊拉克、阿富汗、北非難民，以及跨地中海的悲劇航程</t>
  </si>
  <si>
    <t>9789869405904</t>
  </si>
  <si>
    <t>卡里姆‧埃爾—高哈利（Karim El-Gawhary），瑪蒂爾德‧施瓦本德（Mathilde Schwabeneder）</t>
  </si>
  <si>
    <t>542.277</t>
  </si>
  <si>
    <t>你該殺死那個胖子嗎？為了多數人幸福而犧牲少數人權益是對的嗎？我們今日該如何看待道德哲學的經典難題</t>
  </si>
  <si>
    <t>9789869436205</t>
  </si>
  <si>
    <t>大衛‧愛德蒙茲（David Edmonds）</t>
  </si>
  <si>
    <t>身體的智慧</t>
  </si>
  <si>
    <t>9789576938948</t>
  </si>
  <si>
    <t>摩謝‧費登奎斯（Moshé Feldenkrais）</t>
  </si>
  <si>
    <t>172.9</t>
  </si>
  <si>
    <t>一次一點，反轉憂鬱</t>
  </si>
  <si>
    <t>9789576938955</t>
  </si>
  <si>
    <t>柯亞力（Alex Korb）</t>
  </si>
  <si>
    <t>12歲那天，我賠光了老爸的帳戶</t>
  </si>
  <si>
    <t>9789865695910</t>
  </si>
  <si>
    <t>艾莉莎‧布蘭特‧懷絲曼（Elissa Brent Weissman）</t>
  </si>
  <si>
    <t>越傭會話一指通【有聲】</t>
  </si>
  <si>
    <t>9789869301237</t>
  </si>
  <si>
    <t>布可屋</t>
  </si>
  <si>
    <t>莫菲</t>
  </si>
  <si>
    <t>印尼人輕鬆學中文‧單字篇【有聲】</t>
  </si>
  <si>
    <t>9789865616762</t>
  </si>
  <si>
    <t>802.86</t>
  </si>
  <si>
    <t>突破900分：NEW TOEIC必考單字文法【有聲】</t>
  </si>
  <si>
    <t>9789869436304</t>
  </si>
  <si>
    <t>張小怡，Johnson Mo</t>
  </si>
  <si>
    <t>泰國人輕鬆學中文‧單字篇【有聲】</t>
  </si>
  <si>
    <t>9789865616755</t>
  </si>
  <si>
    <t>旅遊英語開口說</t>
  </si>
  <si>
    <t>9789864929214</t>
  </si>
  <si>
    <t>金利</t>
  </si>
  <si>
    <t>商務英語開口說</t>
  </si>
  <si>
    <t>9789864929320</t>
  </si>
  <si>
    <t>新聞英語關鍵句</t>
  </si>
  <si>
    <t>9789864929221</t>
  </si>
  <si>
    <t>新聞英語高頻詞</t>
  </si>
  <si>
    <t>9789864929207</t>
  </si>
  <si>
    <t>裡柯克短篇小說精選</t>
  </si>
  <si>
    <t>9789864929146</t>
  </si>
  <si>
    <t>［加拿大］裡柯克</t>
  </si>
  <si>
    <t>885</t>
  </si>
  <si>
    <t>總統來信：美國總統書信精選</t>
  </si>
  <si>
    <t>9789864929023</t>
  </si>
  <si>
    <t>王瑞澤</t>
  </si>
  <si>
    <t>菊與刀</t>
  </si>
  <si>
    <t>9789864929030</t>
  </si>
  <si>
    <t>［美］本尼迪克特</t>
  </si>
  <si>
    <t>535</t>
  </si>
  <si>
    <t>一學就會的家常主食288例</t>
  </si>
  <si>
    <t>9789864929795</t>
  </si>
  <si>
    <t>青豆傳媒有限公司（崧博）</t>
  </si>
  <si>
    <t>何利</t>
  </si>
  <si>
    <t>不打不罵教孩子60招</t>
  </si>
  <si>
    <t>9789864929504</t>
  </si>
  <si>
    <t>成墨初</t>
  </si>
  <si>
    <t>528</t>
  </si>
  <si>
    <t>風味小吃在家做</t>
  </si>
  <si>
    <t>9789864929771</t>
  </si>
  <si>
    <t>陳盈舟</t>
  </si>
  <si>
    <t>北京小吃：京汁京味說講究</t>
  </si>
  <si>
    <t>9789864929528</t>
  </si>
  <si>
    <t>陳連生，肖正剛</t>
  </si>
  <si>
    <t>地中海風情美食</t>
  </si>
  <si>
    <t>9789864929665</t>
  </si>
  <si>
    <t>李偉</t>
  </si>
  <si>
    <t>多彩的物理世界</t>
  </si>
  <si>
    <t>9789864929863</t>
  </si>
  <si>
    <t>劉文光</t>
  </si>
  <si>
    <t>川菜辣過癮2888例</t>
  </si>
  <si>
    <t>9789864929481</t>
  </si>
  <si>
    <t>石玉發</t>
  </si>
  <si>
    <t>簡單易做家常菜2888例</t>
  </si>
  <si>
    <t>9789864929597</t>
  </si>
  <si>
    <t>許振剛</t>
  </si>
  <si>
    <t>百變袖珍盆栽</t>
  </si>
  <si>
    <t>9789864929559</t>
  </si>
  <si>
    <t>林雨澤</t>
  </si>
  <si>
    <t>和孩子一起成長：《西遊記》中的家教智慧</t>
  </si>
  <si>
    <t>9789864929719</t>
  </si>
  <si>
    <t>李奇</t>
  </si>
  <si>
    <t>法式甜點全書</t>
  </si>
  <si>
    <t>9789864929764</t>
  </si>
  <si>
    <t>［法］伊莎貝爾•布蘭克•勒巴</t>
  </si>
  <si>
    <t>法式糕點制作基礎</t>
  </si>
  <si>
    <t>9789864929733</t>
  </si>
  <si>
    <t>法國藍帶廚藝學院</t>
  </si>
  <si>
    <t>出境旅遊領隊實務</t>
  </si>
  <si>
    <t>9789864929351</t>
  </si>
  <si>
    <t>王健民</t>
  </si>
  <si>
    <t>飯店危機服務：從冷漠、抱怨、投訴到訴訟</t>
  </si>
  <si>
    <t>9789864929337</t>
  </si>
  <si>
    <t>王偉</t>
  </si>
  <si>
    <t>489</t>
  </si>
  <si>
    <t>旅行社產品經營智慧</t>
  </si>
  <si>
    <t>9789864929368</t>
  </si>
  <si>
    <t>不生氣地工作：一本情緒問題的解決指南</t>
  </si>
  <si>
    <t>9789864928859</t>
  </si>
  <si>
    <t>邱永林</t>
  </si>
  <si>
    <t>從QC到總經理</t>
  </si>
  <si>
    <t>9789864928972</t>
  </si>
  <si>
    <t>晨暮</t>
  </si>
  <si>
    <t>無限的探索</t>
  </si>
  <si>
    <t>9789864928989</t>
  </si>
  <si>
    <t>沈宏梁</t>
  </si>
  <si>
    <t>讓生命悄悄告訴你</t>
  </si>
  <si>
    <t>9789864928743</t>
  </si>
  <si>
    <t>黃萬華</t>
  </si>
  <si>
    <t>851</t>
  </si>
  <si>
    <t>守衛財富：調整你的理財思路</t>
  </si>
  <si>
    <t>9789864928941</t>
  </si>
  <si>
    <t>世紀藍海理財中心</t>
  </si>
  <si>
    <t>421</t>
  </si>
  <si>
    <t>尋找未知的自己：心理學讓你一輩子受益</t>
  </si>
  <si>
    <t>9789577350084</t>
  </si>
  <si>
    <t>何吳明，鄒國靜</t>
  </si>
  <si>
    <t>2018</t>
  </si>
  <si>
    <t>行走•閱讀：關於歐洲的筆記</t>
  </si>
  <si>
    <t>9789864929382</t>
  </si>
  <si>
    <t>顧功堯</t>
  </si>
  <si>
    <t>740</t>
  </si>
  <si>
    <t>醫改，醫管：贏策略</t>
  </si>
  <si>
    <t>9789864928965</t>
  </si>
  <si>
    <t>黃燕</t>
  </si>
  <si>
    <t>419</t>
  </si>
  <si>
    <t>員工修行日記：一年之內成為傑出員工</t>
  </si>
  <si>
    <t>9789864928804</t>
  </si>
  <si>
    <t>吳一平</t>
  </si>
  <si>
    <t>我的鑽石人生</t>
  </si>
  <si>
    <t>9789864928835</t>
  </si>
  <si>
    <t>笑非</t>
  </si>
  <si>
    <t>藝術、科學與文化創新</t>
  </si>
  <si>
    <t>9789864928903</t>
  </si>
  <si>
    <t>胡顯章，曹莉</t>
  </si>
  <si>
    <t>811</t>
  </si>
  <si>
    <t>財富靈感</t>
  </si>
  <si>
    <t>9789864928767</t>
  </si>
  <si>
    <t>陳亞輝</t>
  </si>
  <si>
    <t>856</t>
  </si>
  <si>
    <t>忠誠的報酬</t>
  </si>
  <si>
    <t>9789864928934</t>
  </si>
  <si>
    <t>孫科炎，武義龍</t>
  </si>
  <si>
    <t>責任的力量</t>
  </si>
  <si>
    <t>9789864928927</t>
  </si>
  <si>
    <t>面試</t>
  </si>
  <si>
    <t>9789864928729</t>
  </si>
  <si>
    <t>公務員考試一本通編委會</t>
  </si>
  <si>
    <t>542</t>
  </si>
  <si>
    <t>拿什麼超越自己：工作那些事兒</t>
  </si>
  <si>
    <t>9789864928828</t>
  </si>
  <si>
    <t>周俊宏</t>
  </si>
  <si>
    <t>馴字的人：寒冬未盡的紙本書出版紀事</t>
  </si>
  <si>
    <t>9789869131346</t>
  </si>
  <si>
    <t>小寫出版</t>
  </si>
  <si>
    <t>李偉麟，陳安弦，游任道，劉虹風</t>
  </si>
  <si>
    <t>487.78933</t>
  </si>
  <si>
    <t>互聯網＋大金融：新常態下的互聯網金融革命</t>
  </si>
  <si>
    <t>9789865989446</t>
  </si>
  <si>
    <t>紀海，蔡余傑</t>
  </si>
  <si>
    <t>互聯網＋大數據：精準營銷的利器</t>
  </si>
  <si>
    <t>9789865989262</t>
  </si>
  <si>
    <t>陳建英，黃演紅</t>
  </si>
  <si>
    <t>互聯網＋教育：移動互聯網時代的教育大變革</t>
  </si>
  <si>
    <t>9789865989224</t>
  </si>
  <si>
    <t>王晨，劉男</t>
  </si>
  <si>
    <t>互聯網＋頂層商業系統：企業利潤增長10倍的商業模式與架構設計</t>
  </si>
  <si>
    <t>9789865603540</t>
  </si>
  <si>
    <t>胡華成</t>
  </si>
  <si>
    <t>互聯網＋新媒體：全方位解讀新媒體運營模式</t>
  </si>
  <si>
    <t>9789865603502</t>
  </si>
  <si>
    <t>劉小華，黃洪</t>
  </si>
  <si>
    <t>576</t>
  </si>
  <si>
    <t>890</t>
  </si>
  <si>
    <t>互聯網＋醫療：移動互聯網時代的醫療健康革命</t>
  </si>
  <si>
    <t>9789865603526</t>
  </si>
  <si>
    <t>文丹楓，韋紹鋒</t>
  </si>
  <si>
    <t>互聯網金融：大數據時代的金融革命</t>
  </si>
  <si>
    <t>9789865989316</t>
  </si>
  <si>
    <t>劉偉毅</t>
  </si>
  <si>
    <t>打造超級網紅：個人網紅和企業網紅的進階必修課</t>
  </si>
  <si>
    <t>9789865989637</t>
  </si>
  <si>
    <t>沈宇庭</t>
  </si>
  <si>
    <t>目標正能量：我的第壹本目標實現手冊</t>
  </si>
  <si>
    <t>9789865989927</t>
  </si>
  <si>
    <t>肖鳳德，王兵圍</t>
  </si>
  <si>
    <t>向上管理：如何正確彙報工作？</t>
  </si>
  <si>
    <t>9789865603755</t>
  </si>
  <si>
    <t>蔣巍巍</t>
  </si>
  <si>
    <t>別扛著：做自己的減壓教練</t>
  </si>
  <si>
    <t>9789865603229</t>
  </si>
  <si>
    <t>李世源</t>
  </si>
  <si>
    <t>妳壹定要知道的美國錢規則：赴美生活指南</t>
  </si>
  <si>
    <t>9789865603458</t>
  </si>
  <si>
    <t>俞心怡，張洪</t>
  </si>
  <si>
    <t>752</t>
  </si>
  <si>
    <t>青少年最想問的66個人生不等式</t>
  </si>
  <si>
    <t>9789865603304</t>
  </si>
  <si>
    <t>李石華</t>
  </si>
  <si>
    <t>商業模式創新：探索商業模式的未來之路</t>
  </si>
  <si>
    <t>9789865989972</t>
  </si>
  <si>
    <t>陳華平</t>
  </si>
  <si>
    <t>教練式管理：用NLP技術喚醒員工潛能</t>
  </si>
  <si>
    <t>9789865989408</t>
  </si>
  <si>
    <t>範博仲</t>
  </si>
  <si>
    <t>微演說：讓每句話直指人心</t>
  </si>
  <si>
    <t>9789865603007</t>
  </si>
  <si>
    <t>王風範</t>
  </si>
  <si>
    <t>811.9</t>
  </si>
  <si>
    <t>領導力：卓越領導者如何在組織中管理與創新</t>
  </si>
  <si>
    <t>9789865989620</t>
  </si>
  <si>
    <t>世界經營之神：松下幸之助</t>
  </si>
  <si>
    <t>9789865603687</t>
  </si>
  <si>
    <t>李樂</t>
  </si>
  <si>
    <t>783</t>
  </si>
  <si>
    <t>世界金融大鰐：索羅斯</t>
  </si>
  <si>
    <t>9789865603656</t>
  </si>
  <si>
    <t>劉力</t>
  </si>
  <si>
    <t>785</t>
  </si>
  <si>
    <t>世界計算機之父：小托馬斯‧沃森</t>
  </si>
  <si>
    <t>9789865603632</t>
  </si>
  <si>
    <t>趙壹帆</t>
  </si>
  <si>
    <t>傳奇的投資之神：巴菲特</t>
  </si>
  <si>
    <t>9789865603625</t>
  </si>
  <si>
    <t>信自力</t>
  </si>
  <si>
    <t>從米店小老板到塑膠大王：王永慶</t>
  </si>
  <si>
    <t>9789865603618</t>
  </si>
  <si>
    <t>張恩台</t>
  </si>
  <si>
    <t>美國汽車大王：福特</t>
  </si>
  <si>
    <t>9789865603564</t>
  </si>
  <si>
    <t>烏日克</t>
  </si>
  <si>
    <t>汽車王國裏的愚公：鄭周永</t>
  </si>
  <si>
    <t>9789865603557</t>
  </si>
  <si>
    <t>顧文州</t>
  </si>
  <si>
    <t>顧客為什麼買：原來零售業還可以這樣經營</t>
  </si>
  <si>
    <t>9789869466608</t>
  </si>
  <si>
    <t>陳望</t>
  </si>
  <si>
    <t>30歲以後，養活自己必備的9種能力</t>
  </si>
  <si>
    <t>9789864920648</t>
  </si>
  <si>
    <t>馬曉鑫</t>
  </si>
  <si>
    <t>二十幾歲要懂的100條人生經驗</t>
  </si>
  <si>
    <t>9789864922444</t>
  </si>
  <si>
    <t>馬銀文</t>
  </si>
  <si>
    <t>女性最佳保健讀本</t>
  </si>
  <si>
    <t>9789864925117</t>
  </si>
  <si>
    <t>嚴鍇</t>
  </si>
  <si>
    <t>417</t>
  </si>
  <si>
    <t>中老年養生保健指南</t>
  </si>
  <si>
    <t>9789864925100</t>
  </si>
  <si>
    <t>化學：看不見的大變化</t>
  </si>
  <si>
    <t>9789864920020</t>
  </si>
  <si>
    <t>臺運真</t>
  </si>
  <si>
    <t>110</t>
  </si>
  <si>
    <t>先調理心情，後處理事情</t>
  </si>
  <si>
    <t>9789864921867</t>
  </si>
  <si>
    <t>吳學剛</t>
  </si>
  <si>
    <t>在20歲懂得9件事</t>
  </si>
  <si>
    <t>9789864925094</t>
  </si>
  <si>
    <t>一帆</t>
  </si>
  <si>
    <t>如何煉就職場達人</t>
  </si>
  <si>
    <t>9789864920556</t>
  </si>
  <si>
    <t>改變一生的10堂口才課</t>
  </si>
  <si>
    <t>9789864920488</t>
  </si>
  <si>
    <t>受益一生的10堂處世課</t>
  </si>
  <si>
    <t>9789864920679</t>
  </si>
  <si>
    <t>性教育從“零”開始：如何跟孩子談“性”</t>
  </si>
  <si>
    <t>9789865603960</t>
  </si>
  <si>
    <t>金雪蓮</t>
  </si>
  <si>
    <t>易經中的謀略之道</t>
  </si>
  <si>
    <t>9789864920044</t>
  </si>
  <si>
    <t>田由申</t>
  </si>
  <si>
    <t>121</t>
  </si>
  <si>
    <t>思路廣一點，出路多一點</t>
  </si>
  <si>
    <t>9789864920419</t>
  </si>
  <si>
    <t>席海燕</t>
  </si>
  <si>
    <t>孫子兵法智慧全集</t>
  </si>
  <si>
    <t>9789864920662</t>
  </si>
  <si>
    <t>592</t>
  </si>
  <si>
    <t>讀懂婚姻</t>
  </si>
  <si>
    <t>9789864921195</t>
  </si>
  <si>
    <t>袁麗萍</t>
  </si>
  <si>
    <t>高貴的個性</t>
  </si>
  <si>
    <t>9789864920068</t>
  </si>
  <si>
    <t>［美］奧裏森‧馬登</t>
  </si>
  <si>
    <t>做人做事進退智慧全集</t>
  </si>
  <si>
    <t>9789864920693</t>
  </si>
  <si>
    <t>當下的修行：要經得起誘惑</t>
  </si>
  <si>
    <t>9789864922451</t>
  </si>
  <si>
    <t>當下的修行：要學會淡定</t>
  </si>
  <si>
    <t>9789864920440</t>
  </si>
  <si>
    <t>當下的修行：要學會寬容</t>
  </si>
  <si>
    <t>9789864920457</t>
  </si>
  <si>
    <t>經濟學經典名言的智慧</t>
  </si>
  <si>
    <t>9789864924820</t>
  </si>
  <si>
    <t>牧之，趙凡禹</t>
  </si>
  <si>
    <t>稻盛和夫寫給年輕人的工作秘笈</t>
  </si>
  <si>
    <t>9789864920716</t>
  </si>
  <si>
    <t>讚美的力量</t>
  </si>
  <si>
    <t>9789864920174</t>
  </si>
  <si>
    <t>馬銀春</t>
  </si>
  <si>
    <t>了不起的朋友圈</t>
  </si>
  <si>
    <t>9789864922772</t>
  </si>
  <si>
    <t>劉子婧</t>
  </si>
  <si>
    <t>用故事說晚安：每天陪你3分鐘</t>
  </si>
  <si>
    <t>9789864921898</t>
  </si>
  <si>
    <t>休克護理</t>
  </si>
  <si>
    <t>9789864925063</t>
  </si>
  <si>
    <t>世界圖書出版上海有限公司編輯部</t>
  </si>
  <si>
    <t>415</t>
  </si>
  <si>
    <t>懵懂歲月</t>
  </si>
  <si>
    <t>9789864925018</t>
  </si>
  <si>
    <t>石可遇</t>
  </si>
  <si>
    <t>成為聊天主角的訓練法</t>
  </si>
  <si>
    <t>9789864922499</t>
  </si>
  <si>
    <t>石地</t>
  </si>
  <si>
    <t>二戰後的中歐紀實</t>
  </si>
  <si>
    <t>EBK10200010962</t>
  </si>
  <si>
    <t>從身體語言察人心</t>
  </si>
  <si>
    <t>9789864921690</t>
  </si>
  <si>
    <t>創造商機</t>
  </si>
  <si>
    <t>9789864921652</t>
  </si>
  <si>
    <t>高層管理的任務和組織</t>
  </si>
  <si>
    <t>9789864923168</t>
  </si>
  <si>
    <t>古代商戰攻略</t>
  </si>
  <si>
    <t>9789864921423</t>
  </si>
  <si>
    <t>哈佛經理時間管理</t>
  </si>
  <si>
    <t>9789864922840</t>
  </si>
  <si>
    <t>好習慣助成功</t>
  </si>
  <si>
    <t>9789864921621</t>
  </si>
  <si>
    <t>好習慣改變命運</t>
  </si>
  <si>
    <t>9789864921638</t>
  </si>
  <si>
    <t>狐貍的智慧管理</t>
  </si>
  <si>
    <t>9789864923212</t>
  </si>
  <si>
    <t>極品女人修煉術</t>
  </si>
  <si>
    <t>9789864921584</t>
  </si>
  <si>
    <t>經營管理典型案例</t>
  </si>
  <si>
    <t>9789864924226</t>
  </si>
  <si>
    <t>慢性胃炎不求人</t>
  </si>
  <si>
    <t>9789864922352</t>
  </si>
  <si>
    <t>領導的權威品質</t>
  </si>
  <si>
    <t>9789864921553</t>
  </si>
  <si>
    <t>領導者決策學</t>
  </si>
  <si>
    <t>9789864921515</t>
  </si>
  <si>
    <t>領導者的協調藝術</t>
  </si>
  <si>
    <t>9789864921546</t>
  </si>
  <si>
    <t>領導者的社會責任</t>
  </si>
  <si>
    <t>9789864921539</t>
  </si>
  <si>
    <t>1分鐘看透對方心理</t>
  </si>
  <si>
    <t>9789864921706</t>
  </si>
  <si>
    <t>大清孤兒：清末傳統士人的宿命解讀</t>
  </si>
  <si>
    <t>9789864923328</t>
  </si>
  <si>
    <t>紮不棱</t>
  </si>
  <si>
    <t>巴菲特正傳：在恐懼中前行</t>
  </si>
  <si>
    <t>9789864924622</t>
  </si>
  <si>
    <t>趙建</t>
  </si>
  <si>
    <t>卡耐基KANAIJI成功之道</t>
  </si>
  <si>
    <t>9789864922598</t>
  </si>
  <si>
    <t>張新國</t>
  </si>
  <si>
    <t>外公是個老中醫：全家煩惱一掃光的經典老偏方</t>
  </si>
  <si>
    <t>9789864924738</t>
  </si>
  <si>
    <t>朱惠東</t>
  </si>
  <si>
    <t>因為健康，所以幸福</t>
  </si>
  <si>
    <t>9789864924837</t>
  </si>
  <si>
    <t>因為夢想，我的青春更美好：偶像給我們的正能量</t>
  </si>
  <si>
    <t>9789864922116</t>
  </si>
  <si>
    <t>黃興</t>
  </si>
  <si>
    <t>成就最好的自己</t>
  </si>
  <si>
    <t>9789864922642</t>
  </si>
  <si>
    <t>陶紅亮</t>
  </si>
  <si>
    <t>你的職業我的經</t>
  </si>
  <si>
    <t>9789864922079</t>
  </si>
  <si>
    <t>我把時光郵寄給你</t>
  </si>
  <si>
    <t>9789864922093</t>
  </si>
  <si>
    <t>餘言</t>
  </si>
  <si>
    <t>我和這個世界不一樣</t>
  </si>
  <si>
    <t>9789864922109</t>
  </si>
  <si>
    <t>張小權</t>
  </si>
  <si>
    <t>我的上位寶典：一位服務員的逆襲人生</t>
  </si>
  <si>
    <t>9789864922086</t>
  </si>
  <si>
    <t>孟德永</t>
  </si>
  <si>
    <t>找對方法做對事</t>
  </si>
  <si>
    <t>9789864923731</t>
  </si>
  <si>
    <t>改革大佬王安石：史上最受爭議的改革者</t>
  </si>
  <si>
    <t>9789864924851</t>
  </si>
  <si>
    <t>蓑笠翁</t>
  </si>
  <si>
    <t>走出困境：如何應對人生中的挫折與壓力</t>
  </si>
  <si>
    <t>9789864923434</t>
  </si>
  <si>
    <t>鄭一群</t>
  </si>
  <si>
    <t>空穴來風：中國歷史中的造謠往事</t>
  </si>
  <si>
    <t>9789864923489</t>
  </si>
  <si>
    <t>何木風</t>
  </si>
  <si>
    <t>孩子，我對你有信心</t>
  </si>
  <si>
    <t>9789864922123</t>
  </si>
  <si>
    <t>廖平女</t>
  </si>
  <si>
    <t>星光照耀我青春：偶像給我們的正能量</t>
  </si>
  <si>
    <t>9789864922291</t>
  </si>
  <si>
    <t>這樣說話辦事最給力</t>
  </si>
  <si>
    <t>9789864925247</t>
  </si>
  <si>
    <t>創業有道</t>
  </si>
  <si>
    <t>9789864922246</t>
  </si>
  <si>
    <t>給你的生活減減肥</t>
  </si>
  <si>
    <t>9789864922154</t>
  </si>
  <si>
    <t>越簡單，越成功：凡事看得簡單些</t>
  </si>
  <si>
    <t>9789864922659</t>
  </si>
  <si>
    <t>沈嶽明</t>
  </si>
  <si>
    <t>亂五代：五代史的另類解讀</t>
  </si>
  <si>
    <t>9789864924844</t>
  </si>
  <si>
    <t>624</t>
  </si>
  <si>
    <t>溫柔的血腥：剖解帝制時代的十一位太上皇</t>
  </si>
  <si>
    <t>9789864922048</t>
  </si>
  <si>
    <t>銷售勝經：銷售精英的10項修煉</t>
  </si>
  <si>
    <t>9789864923595</t>
  </si>
  <si>
    <t>靠自己拯救自己</t>
  </si>
  <si>
    <t>9789864924943</t>
  </si>
  <si>
    <t>侯清恒</t>
  </si>
  <si>
    <t>總有一種寧靜，讓你聽到生命的盛放</t>
  </si>
  <si>
    <t>9789864922192</t>
  </si>
  <si>
    <t>陳志宏</t>
  </si>
  <si>
    <t>聰明愛，幸福的女人不較真</t>
  </si>
  <si>
    <t>9789864922796</t>
  </si>
  <si>
    <t>周洲</t>
  </si>
  <si>
    <t>贏在第一年</t>
  </si>
  <si>
    <t>9789864921973</t>
  </si>
  <si>
    <t>李現梅</t>
  </si>
  <si>
    <t>讓未來的你，喜歡現在勇敢的自己</t>
  </si>
  <si>
    <t>9789864922055</t>
  </si>
  <si>
    <t>黃志堅</t>
  </si>
  <si>
    <t>中國女人在美國</t>
  </si>
  <si>
    <t>9789864921560</t>
  </si>
  <si>
    <t>木蘭</t>
  </si>
  <si>
    <t>李覯政治思想研究：儒家功利學派在宋代的發展</t>
  </si>
  <si>
    <t>9789864923380</t>
  </si>
  <si>
    <t>張春貴</t>
  </si>
  <si>
    <t>品牌視域下的文化產業發展：基於低碳轉型的思考</t>
  </si>
  <si>
    <t>9789864923496</t>
  </si>
  <si>
    <t>陸小成</t>
  </si>
  <si>
    <t>城市管理公眾參與研究</t>
  </si>
  <si>
    <t>9789864925193</t>
  </si>
  <si>
    <t>馮剛</t>
  </si>
  <si>
    <t>區域低碳創新繫統理論與實踐研究：基於全球氣候變化的思考</t>
  </si>
  <si>
    <t>9789864921669</t>
  </si>
  <si>
    <t>從藝術的忠臣到人民的忠臣：聞一多論稿</t>
  </si>
  <si>
    <t>9789864922024</t>
  </si>
  <si>
    <t>李樂平</t>
  </si>
  <si>
    <t>路過青春的愛情</t>
  </si>
  <si>
    <t>9789864923601</t>
  </si>
  <si>
    <t>雷華鋒</t>
  </si>
  <si>
    <t>電影是一種鄉愁</t>
  </si>
  <si>
    <t>9789864921966</t>
  </si>
  <si>
    <t>薑博瀚</t>
  </si>
  <si>
    <t>石濤合集—石濤書畫＋看懂石濤：張大千vs.石濤</t>
  </si>
  <si>
    <t>9789576723940</t>
  </si>
  <si>
    <t>945.5</t>
  </si>
  <si>
    <t>梅莉‧史翠普：永遠的最佳女主角 Her Again：Becoming Meryl Streep</t>
  </si>
  <si>
    <t>9789865813925</t>
  </si>
  <si>
    <t>麥可‧舒曼 Michael Schulman</t>
  </si>
  <si>
    <t>紐約慢慢玩，你不知道的大蘋果</t>
  </si>
  <si>
    <t>9789862485835</t>
  </si>
  <si>
    <t>高齡心理諮商實務</t>
  </si>
  <si>
    <t>9789577325211</t>
  </si>
  <si>
    <t>秦秀蘭</t>
  </si>
  <si>
    <t>178.4</t>
  </si>
  <si>
    <t>當你失去親愛的人：走過悲傷的幽谷</t>
  </si>
  <si>
    <t>9789865813055</t>
  </si>
  <si>
    <t>別讓平庸埋沒了你：自媒體奇才告訴你，600位頂尖創意人如何找回獨特的自己</t>
  </si>
  <si>
    <t>9789869519748</t>
  </si>
  <si>
    <t>斯里尼瓦思‧勞（Srinivas Rao）</t>
  </si>
  <si>
    <t>醒了，就轉身：錯過早療的亞斯兒，也能看見曙光</t>
  </si>
  <si>
    <t>9789577275158</t>
  </si>
  <si>
    <t>呂熙莉</t>
  </si>
  <si>
    <t>529.6</t>
  </si>
  <si>
    <t>樂齡休閒學</t>
  </si>
  <si>
    <t>9789577486356</t>
  </si>
  <si>
    <t>丁文祺，鄭建民，郭常勝</t>
  </si>
  <si>
    <t>2015年度風險分析到告：臺灣風險十堂課—食安、科技與環境</t>
  </si>
  <si>
    <t>9789860448870</t>
  </si>
  <si>
    <t>國立臺灣大學社會科學院風險社會與政策研究中心（巨流</t>
  </si>
  <si>
    <t>周桂田</t>
  </si>
  <si>
    <t>540.933</t>
  </si>
  <si>
    <t>救命療法‧生酮飲食：德國最新的癌症研究與實證，即使已被宣判不治的病人，都還有重獲新生的機會</t>
  </si>
  <si>
    <t>9789866006982</t>
  </si>
  <si>
    <t>如果出版</t>
  </si>
  <si>
    <t>徐拉特樂博士（Dr. Christina Schlatterer），柯諾博士（Dr. Gerd Knoll），康美樂教授（Prof. Ulrike Kämmerer）</t>
  </si>
  <si>
    <t>焦渴者</t>
  </si>
  <si>
    <t>9789864892181</t>
  </si>
  <si>
    <t>尤‧奈斯博（Jo Nesbø）</t>
  </si>
  <si>
    <t>2018摩拉維亞每日箴言</t>
  </si>
  <si>
    <t>9789577275189</t>
  </si>
  <si>
    <t>沒有辜負自己的一生，沒有白活一世：人生中最該知道的49件事</t>
  </si>
  <si>
    <t>9789864110568</t>
  </si>
  <si>
    <t>徐玄羽</t>
  </si>
  <si>
    <t>識破不點破：透視謊言的假面</t>
  </si>
  <si>
    <t>9789864110575</t>
  </si>
  <si>
    <t>周儀軒</t>
  </si>
  <si>
    <t>一口刀子嘴，就算豆腐心也沒人愛：用舌頭代替拳頭的話語掌控術</t>
  </si>
  <si>
    <t>9789864110582</t>
  </si>
  <si>
    <t>陳瑋順</t>
  </si>
  <si>
    <t>說話不能太白癡：語言大師速成班招生中</t>
  </si>
  <si>
    <t>9789864110599</t>
  </si>
  <si>
    <t>李子凡</t>
  </si>
  <si>
    <t>都是別人的錯？：56個做人最容易犯的錯誤</t>
  </si>
  <si>
    <t>9789864110605</t>
  </si>
  <si>
    <t>吳承州</t>
  </si>
  <si>
    <t>十二星座、血型、生肖神祕密碼</t>
  </si>
  <si>
    <t>9789864110629</t>
  </si>
  <si>
    <t>水炎君</t>
  </si>
  <si>
    <t>現代妖怪檔案：見鬼實錄</t>
  </si>
  <si>
    <t>9789864530571</t>
  </si>
  <si>
    <t>雪原雪，夏懸</t>
  </si>
  <si>
    <t>一分鐘破案心理學</t>
  </si>
  <si>
    <t>9789864530588</t>
  </si>
  <si>
    <t>王亞姍</t>
  </si>
  <si>
    <t>公司絕不會告訴你的祕密</t>
  </si>
  <si>
    <t>9789864530595</t>
  </si>
  <si>
    <t>黃新愷</t>
  </si>
  <si>
    <t>人在職場飄，哪能不挨刀：讓你趨吉避凶的職場生存法則</t>
  </si>
  <si>
    <t>9789864530601</t>
  </si>
  <si>
    <t>余承浩</t>
  </si>
  <si>
    <t>總經理手冊：菁英培訓版</t>
  </si>
  <si>
    <t>9789864530618</t>
  </si>
  <si>
    <t>讀品企研所</t>
  </si>
  <si>
    <t>每日一句生活英語【有聲】</t>
  </si>
  <si>
    <t>9789865753856</t>
  </si>
  <si>
    <t>雅典英研所</t>
  </si>
  <si>
    <t>菜英文：生活應用篇【有聲】</t>
  </si>
  <si>
    <t>9789865753863</t>
  </si>
  <si>
    <t>出差英語一把罩【有聲】</t>
  </si>
  <si>
    <t>9789865753870</t>
  </si>
  <si>
    <t>菜英文：旅遊實用篇【有聲】</t>
  </si>
  <si>
    <t>9789865753887</t>
  </si>
  <si>
    <t>菜英文：基礎實用篇【有聲】</t>
  </si>
  <si>
    <t>9789865753894</t>
  </si>
  <si>
    <t>菜韓文追韓劇：你最想學的經典韓語對話【有聲】</t>
  </si>
  <si>
    <t>9789865753900</t>
  </si>
  <si>
    <t>第一次日本自由行【有聲】</t>
  </si>
  <si>
    <t>9789865753917</t>
  </si>
  <si>
    <t>潘彥芸</t>
  </si>
  <si>
    <t>英語會話只要會這些就夠【有聲】</t>
  </si>
  <si>
    <t>9789865753924</t>
  </si>
  <si>
    <t>許純華</t>
  </si>
  <si>
    <t>9789865862978</t>
  </si>
  <si>
    <t>知識盲裝會指南：你不知道的超有趣問答</t>
  </si>
  <si>
    <t>9789865862985</t>
  </si>
  <si>
    <t>韋品哲</t>
  </si>
  <si>
    <t>302.2</t>
  </si>
  <si>
    <t>9789865862992</t>
  </si>
  <si>
    <t>奇跡之後：東亞世紀的挑戰</t>
  </si>
  <si>
    <t>9789629372323</t>
  </si>
  <si>
    <t>香港城市大學出版社</t>
  </si>
  <si>
    <t>羅金義</t>
  </si>
  <si>
    <t>730</t>
  </si>
  <si>
    <t>基督宗教與中國：歷史•哲學篇</t>
  </si>
  <si>
    <t>9789629372422</t>
  </si>
  <si>
    <t>馮志弘</t>
  </si>
  <si>
    <t>248</t>
  </si>
  <si>
    <t>基督宗教與中國：文化•藝術篇</t>
  </si>
  <si>
    <t>9789629372644</t>
  </si>
  <si>
    <t>馮志弘，徐麗莎</t>
  </si>
  <si>
    <t>兩岸三地公司法主要詞彙</t>
  </si>
  <si>
    <t>9789629372859</t>
  </si>
  <si>
    <t>陳可欣</t>
  </si>
  <si>
    <t>587</t>
  </si>
  <si>
    <t>人類文明簡史：從中國看世界（上冊）</t>
  </si>
  <si>
    <t>9789629373023_1</t>
  </si>
  <si>
    <t>馮以浤</t>
  </si>
  <si>
    <t>中英對照</t>
  </si>
  <si>
    <t>人類文明簡史：從中國看世界（下冊）</t>
  </si>
  <si>
    <t>9789629373023_2</t>
  </si>
  <si>
    <t>看電影與拍電影</t>
  </si>
  <si>
    <t>9789629373153</t>
  </si>
  <si>
    <t>趙崇基</t>
  </si>
  <si>
    <t>987</t>
  </si>
  <si>
    <t>20世紀中國知識分子精神史三部曲—1948：天地玄黃</t>
  </si>
  <si>
    <t>9789629373238</t>
  </si>
  <si>
    <t>錢理群</t>
  </si>
  <si>
    <t>820</t>
  </si>
  <si>
    <t>20世紀中國知識分子精神史三部曲—1949–1976：歲月滄桑</t>
  </si>
  <si>
    <t>9789629373245</t>
  </si>
  <si>
    <t>795</t>
  </si>
  <si>
    <t>20世紀中國知識分子精神史三部曲—1977–2005：絕地守望</t>
  </si>
  <si>
    <t>9789629373252</t>
  </si>
  <si>
    <t>我的第一本日語旅遊書：5分鐘開口說旅遊日語【有聲】</t>
  </si>
  <si>
    <t>9789865616359</t>
  </si>
  <si>
    <t>我的第一本韓語旅遊書：5分鐘開口說旅遊韓語【有聲】</t>
  </si>
  <si>
    <t>9789865616342</t>
  </si>
  <si>
    <t>我的第一本西班牙語旅遊書：5分鐘開口說旅遊西班牙語【有聲】</t>
  </si>
  <si>
    <t>9789865616373</t>
  </si>
  <si>
    <t>陳依僑，Felipe Gei</t>
  </si>
  <si>
    <t>全民英檢GEPT最完整的單字應試策略：中級【有聲】</t>
  </si>
  <si>
    <t>9789869207638</t>
  </si>
  <si>
    <t>孫敏華，Johnson Mo</t>
  </si>
  <si>
    <t>全民英檢GEPT最完整的單字合格攻略：初級【有聲】</t>
  </si>
  <si>
    <t>9789869207645</t>
  </si>
  <si>
    <t>我的第一本印尼語學習書：中文拼音輔助，6天學會說印尼語【有聲】</t>
  </si>
  <si>
    <t>9789869207669</t>
  </si>
  <si>
    <t>803.9118</t>
  </si>
  <si>
    <t>Easy食衣住行英語會話：說流利英語，只要300個字就夠了【有聲】</t>
  </si>
  <si>
    <t>9789865616410</t>
  </si>
  <si>
    <t>NEW TOEIC900分核心單字：神來助！9大神功記憶法【有聲】</t>
  </si>
  <si>
    <t>9789869207690</t>
  </si>
  <si>
    <t>3分鐘學會道地英語：用最短的時間，學最道地的英語【有聲】</t>
  </si>
  <si>
    <t>9789865616618</t>
  </si>
  <si>
    <t>張瑪麗</t>
  </si>
  <si>
    <t>3分鐘立即說法語：3大秘法5大保證→法語小神通【有聲】</t>
  </si>
  <si>
    <t>9789865972158</t>
  </si>
  <si>
    <t>林曉葳，Marie Garrigues</t>
  </si>
  <si>
    <t>804.588</t>
  </si>
  <si>
    <t>3分鐘立即說泰語：我把毛毛蟲泰語變簡單了【有聲】</t>
  </si>
  <si>
    <t>9789865972103</t>
  </si>
  <si>
    <t>用心機應付NEW TOEIC：新多益一定考單字（730～855得分金典）【有聲】</t>
  </si>
  <si>
    <t>9789865972035</t>
  </si>
  <si>
    <t>張瑪麗，Rose White</t>
  </si>
  <si>
    <t>3分鐘立即說日語【有聲】</t>
  </si>
  <si>
    <t>9789865972059</t>
  </si>
  <si>
    <t>3分鐘立即說越南語：我把越南語變簡單了【有聲】</t>
  </si>
  <si>
    <t>9789865972172</t>
  </si>
  <si>
    <t>IELTS 9分必考單字：一般訓練組【有聲】</t>
  </si>
  <si>
    <t>9789868790230</t>
  </si>
  <si>
    <t>張瑪麗，Steve Klein</t>
  </si>
  <si>
    <t>用哈佛名師的方法，輕鬆背單字2【有聲】</t>
  </si>
  <si>
    <t>9789865972288</t>
  </si>
  <si>
    <t>Gloria Shih</t>
  </si>
  <si>
    <t>3分鐘立即說上海話【有聲】</t>
  </si>
  <si>
    <t>9789865972448</t>
  </si>
  <si>
    <t>哈福編輯部</t>
  </si>
  <si>
    <t>802.522388</t>
  </si>
  <si>
    <t>印傭會話一指通：家有印傭好幫手，主雇雙方好溝通【有聲】</t>
  </si>
  <si>
    <t>9789865972431</t>
  </si>
  <si>
    <t>用手機學韓語：韓國人天天說會話900句【有聲】</t>
  </si>
  <si>
    <t>9789865972530</t>
  </si>
  <si>
    <t>用中文溜德語：世界第一簡單中文注音學習法</t>
  </si>
  <si>
    <t>9789865972646</t>
  </si>
  <si>
    <t>用中文溜法語：世界第一簡單中文注音學習法</t>
  </si>
  <si>
    <t>9789865972653</t>
  </si>
  <si>
    <t>西班牙語發音快速入門：圖文式自然記憶法，6天學會西班牙語發音【有聲】</t>
  </si>
  <si>
    <t>9789865616007</t>
  </si>
  <si>
    <t>Felipe Gei</t>
  </si>
  <si>
    <t>804.741</t>
  </si>
  <si>
    <t>9789865616212</t>
  </si>
  <si>
    <t>施孝昌，Ester B. Dumapi</t>
  </si>
  <si>
    <t>用中文學韓語單字：圖文式自然記憶法，韓語單字，30秒全部記住【有聲】</t>
  </si>
  <si>
    <t>9789865616717</t>
  </si>
  <si>
    <t>這個單字會考：NEW TOEIC800分必背單字【有聲】</t>
  </si>
  <si>
    <t>9789869493116</t>
  </si>
  <si>
    <t>用中文輕鬆學泰文：單字篇【有聲】</t>
  </si>
  <si>
    <t>9789865616816</t>
  </si>
  <si>
    <t>803.752</t>
  </si>
  <si>
    <t>用中文學英語單字：親愛的，我把英語變容易了！【有聲】</t>
  </si>
  <si>
    <t>9789865616847</t>
  </si>
  <si>
    <t>用中文學法語單字：親愛的，我把法語變容易了！【有聲】</t>
  </si>
  <si>
    <t>9789865616724</t>
  </si>
  <si>
    <t>804.52</t>
  </si>
  <si>
    <t>Go吧！用簡易英語遊世界【有聲】</t>
  </si>
  <si>
    <t>9789865616892</t>
  </si>
  <si>
    <t>Go吧！用簡易日語遊日本【有聲】</t>
  </si>
  <si>
    <t>9789865616885</t>
  </si>
  <si>
    <t>Go吧！用簡易韓語遊韓國【有聲】</t>
  </si>
  <si>
    <t>9789865616878</t>
  </si>
  <si>
    <t>林大君</t>
  </si>
  <si>
    <t>第一次學日語超簡單！【有聲】</t>
  </si>
  <si>
    <t>9789865616854</t>
  </si>
  <si>
    <t>渡邊由里</t>
  </si>
  <si>
    <t>第一次學韓語超簡單！【有聲】</t>
  </si>
  <si>
    <t>9789865616861</t>
  </si>
  <si>
    <t>秒會！秒說！日語常用單字：羅馬拼音對照，會ABC就會說日語【有聲】</t>
  </si>
  <si>
    <t>9789865616939</t>
  </si>
  <si>
    <t>蘇珊，渡邊由里</t>
  </si>
  <si>
    <t>隨翻！隨說！生活英語會話【有聲】</t>
  </si>
  <si>
    <t>9789865616946</t>
  </si>
  <si>
    <t>第一次學越南語超簡單！【有聲】</t>
  </si>
  <si>
    <t>9789869496629</t>
  </si>
  <si>
    <t>用中文學泰語：史上最簡單，中文注音學習法【有聲】</t>
  </si>
  <si>
    <t>9789865972394</t>
  </si>
  <si>
    <t>用中文說印尼語：簡易中文注音學習法【有聲】</t>
  </si>
  <si>
    <t>9789865972370</t>
  </si>
  <si>
    <t>施明威，Sari Lasmini</t>
  </si>
  <si>
    <t>3分鐘立即說德語【有聲】</t>
  </si>
  <si>
    <t>9789865972424</t>
  </si>
  <si>
    <t>用中文說越南語【有聲】</t>
  </si>
  <si>
    <t>9789865972547</t>
  </si>
  <si>
    <t>Nguyen Kim Nga，陳依僑</t>
  </si>
  <si>
    <t>印尼人輕鬆學中文‧台語：中文‧台語‧英文‧印尼文四語對照【有聲】</t>
  </si>
  <si>
    <t>9789865972622</t>
  </si>
  <si>
    <t>我的第一本印尼語單字：圖文式自然記憶法‧中文拼音，開口就會說【有聲】</t>
  </si>
  <si>
    <t>9789865616120</t>
  </si>
  <si>
    <t>我的第一本泰語單字：圖文式自然記憶法‧中文拼音，開口就會說【有聲】</t>
  </si>
  <si>
    <t>9789865616113</t>
  </si>
  <si>
    <t>我的第一本越南語單字：越南語迷你字典，中文拼音，開口就會說【有聲】</t>
  </si>
  <si>
    <t>9789865616243</t>
  </si>
  <si>
    <t>803.792</t>
  </si>
  <si>
    <t>用中文說泰語：史上最簡單中文注音學習法【有聲】</t>
  </si>
  <si>
    <t>9789865616281</t>
  </si>
  <si>
    <t>最新公關英語：1分鐘征服老外，用最簡單英語，做最好的公關【有聲】</t>
  </si>
  <si>
    <t>9789869337083</t>
  </si>
  <si>
    <t>施孝昌，Willy Roberts</t>
  </si>
  <si>
    <t>10000單字搞定新多益【有聲】</t>
  </si>
  <si>
    <t>9789869436311</t>
  </si>
  <si>
    <t>我的第一本廣東話學習書：旅遊經商、遊學留學必備寶典【有聲】</t>
  </si>
  <si>
    <t>9789869337007</t>
  </si>
  <si>
    <t>施銘瑋，何美玲</t>
  </si>
  <si>
    <t>802.523388</t>
  </si>
  <si>
    <t>突破900分NEW TOEIC必考單字聽力【有聲】</t>
  </si>
  <si>
    <t>9789869436366</t>
  </si>
  <si>
    <t>新日檢一回合格のコツ：N3文字‧語彙題庫解析本【有聲】</t>
  </si>
  <si>
    <t>9789869436373</t>
  </si>
  <si>
    <t>田中紀子，杉本愛子</t>
  </si>
  <si>
    <t>突破900分NEW TOEIC必考單字閱讀【有聲】</t>
  </si>
  <si>
    <t>9789869436397</t>
  </si>
  <si>
    <t>新日檢一回合格のコツ：N4文字‧語彙題庫解析本【有聲】</t>
  </si>
  <si>
    <t>9789869493109</t>
  </si>
  <si>
    <t>新日檢一回合格のコツ：N5文字‧語彙題庫解析本【有聲】</t>
  </si>
  <si>
    <t>9789869493123</t>
  </si>
  <si>
    <t>我的第一本德語學習書：旅遊經商、遊學留學必備寶典【有聲】</t>
  </si>
  <si>
    <t>9789869436359</t>
  </si>
  <si>
    <t>黃廷翰</t>
  </si>
  <si>
    <t>805.28</t>
  </si>
  <si>
    <t>用中文輕鬆學日文：單字篇【有聲】</t>
  </si>
  <si>
    <t>9789865616809</t>
  </si>
  <si>
    <t>渡邊由里，林小瑜</t>
  </si>
  <si>
    <t>805.22</t>
  </si>
  <si>
    <t>商務談判英語，看這本就夠了：全國第一本商務談判英語學習書【有聲】</t>
  </si>
  <si>
    <t>9789865616953</t>
  </si>
  <si>
    <t>湯姆斯，張瑪麗</t>
  </si>
  <si>
    <t>工作簡報英語，看這本就夠了：1秒勾住人心，用最簡單英語，做最好的簡報【有聲】</t>
  </si>
  <si>
    <t>9789865616960</t>
  </si>
  <si>
    <t>一生必去的世界都市：EZ TALK總編嚴選特刊【有聲】</t>
  </si>
  <si>
    <t>9789862484036</t>
  </si>
  <si>
    <t>不瞎掰流行語：EZ TALK總編嚴選特刊【有聲】</t>
  </si>
  <si>
    <t>9789862486252</t>
  </si>
  <si>
    <t>英文流利大師English Guru：EZ TALK總編嚴選特刊【有聲】</t>
  </si>
  <si>
    <t>9789862484159</t>
  </si>
  <si>
    <t>電影台都嘛有教的電視英文 Watch TV, Learn to Speak：EZ TALK總編嚴選俚語特刊【有聲】</t>
  </si>
  <si>
    <t>9789862484319</t>
  </si>
  <si>
    <t>跟著米其林名廚尋味巴黎：從隱藏版美食、星級餐廳到私房食譜，一趟法式頂級味蕾的深度之旅</t>
  </si>
  <si>
    <t>9789862486184</t>
  </si>
  <si>
    <t>文森‧科林克（Vincent Klink）</t>
  </si>
  <si>
    <t>巴塞隆納HOLIDAY：高第建築、狂熱慶典、現代藝術、平價時尚、地中海美食，一本就GO！</t>
  </si>
  <si>
    <t>9789862486146</t>
  </si>
  <si>
    <t>孟智娜</t>
  </si>
  <si>
    <t>高雄巷弄日和：文創聚落、朝氣小舖、輕食咖啡，暢遊陽光海港城新亮點</t>
  </si>
  <si>
    <t>9789862485941</t>
  </si>
  <si>
    <t>陳婷芳</t>
  </si>
  <si>
    <t>3天搞懂基金買賣：3000元起，累積你的第一桶金（最新增訂版）</t>
  </si>
  <si>
    <t>9789862486306</t>
  </si>
  <si>
    <t>痛風看這本就夠了！</t>
  </si>
  <si>
    <t>9789865636777</t>
  </si>
  <si>
    <t>415.595</t>
  </si>
  <si>
    <t>大藍海洋</t>
  </si>
  <si>
    <t>9789869506731</t>
  </si>
  <si>
    <t>瑞秋‧卡森（Rachel L. Carson）</t>
  </si>
  <si>
    <t>351.9</t>
  </si>
  <si>
    <t>豆腐百味</t>
  </si>
  <si>
    <t>9789575986162</t>
  </si>
  <si>
    <t>蔡斌翰，潘瑋翔</t>
  </si>
  <si>
    <t>我的師父：聖嚴法師智慧小故事</t>
  </si>
  <si>
    <t>9789575986322</t>
  </si>
  <si>
    <t>釋果祥</t>
  </si>
  <si>
    <t>逆天的騷動</t>
  </si>
  <si>
    <t>9789864490950</t>
  </si>
  <si>
    <t>黃秋芳</t>
  </si>
  <si>
    <t>企業動態決策能力與獨特性資源：策略性決策迴路觀點</t>
  </si>
  <si>
    <t>9789869554305</t>
  </si>
  <si>
    <t>陳志昕 CHEN CHIH－HIS</t>
  </si>
  <si>
    <t>我這樣告訴我女兒：寫給女孩們的信，關於勇氣、覺察、自信的能量與幸福未來</t>
  </si>
  <si>
    <t>9789862486337</t>
  </si>
  <si>
    <t>妮娜‧泰絲樂（Nina Tassler），辛希雅‧利特爾頓（Cynthia Littleton）</t>
  </si>
  <si>
    <t>173.31</t>
  </si>
  <si>
    <t>搞笑的教養科學：透過最不科學的解釋，讓你輕鬆面對欲哭無淚的教養實境</t>
  </si>
  <si>
    <t>9789862486375</t>
  </si>
  <si>
    <t>諾琳‧朵金—麥克丹尼爾（Norine Dworkin-McDaniel），潔西卡‧齊格勒（Jessica Ziegler）</t>
  </si>
  <si>
    <t>日本越境跳島小旅行！走訪瀨戶內、越後妻有大地藝術祭：50位巨匠╳70件作品，看見國際名家的設計風景</t>
  </si>
  <si>
    <t>9789862485446</t>
  </si>
  <si>
    <t>Claire</t>
  </si>
  <si>
    <t>行路遠方，與貓相愛的練習曲：一個貓痴攝影師橫跨歐、亞、非，繞地球兩圈半的追貓紀行</t>
  </si>
  <si>
    <t>9789862486047</t>
  </si>
  <si>
    <t>李龍漢（이용한）</t>
  </si>
  <si>
    <t>437.3607</t>
  </si>
  <si>
    <t>向上思考的祕密：奇蹟製造者的困境突破術</t>
  </si>
  <si>
    <t>9789572803233</t>
  </si>
  <si>
    <t>諾曼‧文生‧皮爾（Norman Vincent Peale）</t>
  </si>
  <si>
    <t>244.9</t>
  </si>
  <si>
    <t>小數據獵人：發現大數據看不見的小細節，從消費欲望到行為分析，創造品牌商機</t>
  </si>
  <si>
    <t>9789862486177</t>
  </si>
  <si>
    <t>馬汀‧林斯壯（Martin Lindstrom）</t>
  </si>
  <si>
    <t>496.34</t>
  </si>
  <si>
    <t>北歐銀色新動力：重拾個人價值的高齡者照顧</t>
  </si>
  <si>
    <t>9789577325181</t>
  </si>
  <si>
    <t>周傳久</t>
  </si>
  <si>
    <t>544.8947</t>
  </si>
  <si>
    <t>做自己生命中的貴人：堅持為夢想買單</t>
  </si>
  <si>
    <t>9789865962449</t>
  </si>
  <si>
    <t>李康瑞</t>
  </si>
  <si>
    <t>脊療：90％的痠痛都會消失</t>
  </si>
  <si>
    <t>9789865962463</t>
  </si>
  <si>
    <t>高海波</t>
  </si>
  <si>
    <t>水果健康祕密</t>
  </si>
  <si>
    <t>9789863733720</t>
  </si>
  <si>
    <t>燉補湯養生祕密：百大健康食物＆滋補藥材全公開</t>
  </si>
  <si>
    <t>9789863733966</t>
  </si>
  <si>
    <t>112種超人氣手作麵包</t>
  </si>
  <si>
    <t>9789865962524</t>
  </si>
  <si>
    <t>米開朗基羅</t>
  </si>
  <si>
    <t>9789864490905</t>
  </si>
  <si>
    <t>臺遊追記：1935年</t>
  </si>
  <si>
    <t>9789869257022</t>
  </si>
  <si>
    <t>南港山文史工作室</t>
  </si>
  <si>
    <t>江亢虎</t>
  </si>
  <si>
    <t>裨海紀遊</t>
  </si>
  <si>
    <t>9789869257008</t>
  </si>
  <si>
    <t>清‧郁永河</t>
  </si>
  <si>
    <t>旅行，遇見白色恐怖</t>
  </si>
  <si>
    <t>9789868199996</t>
  </si>
  <si>
    <t>Tony黃育智</t>
  </si>
  <si>
    <t>臺灣遊記：1916年</t>
  </si>
  <si>
    <t>9789869257015</t>
  </si>
  <si>
    <t>張遵旭</t>
  </si>
  <si>
    <t>全臺遊記：1891–1893年</t>
  </si>
  <si>
    <t>9789869257039</t>
  </si>
  <si>
    <t>清‧池志徵</t>
  </si>
  <si>
    <t>臺灣的風光：1938年</t>
  </si>
  <si>
    <t>9789869238496</t>
  </si>
  <si>
    <t>山崎鋆一郎</t>
  </si>
  <si>
    <t>臺灣寫真帖：1908年</t>
  </si>
  <si>
    <t>9789869428606</t>
  </si>
  <si>
    <t>臺灣總督府官房文書課</t>
  </si>
  <si>
    <t>鯤瀛日記：1912年</t>
  </si>
  <si>
    <t>9789869428613</t>
  </si>
  <si>
    <t>施景琛</t>
  </si>
  <si>
    <t>臺灣旅行記：1915年</t>
  </si>
  <si>
    <t>9789869428620</t>
  </si>
  <si>
    <t>邱文鸞</t>
  </si>
  <si>
    <t>臺灣風景明信片：日治時代1895～1945</t>
  </si>
  <si>
    <t>9789869428644</t>
  </si>
  <si>
    <t>瑜伽、禪定、靈修，一段不可思議的能量旅程：瑜伽士未曾經歷的煆身力量，靈修人沒練過的瑜伽訓體</t>
  </si>
  <si>
    <t>9789869506779</t>
  </si>
  <si>
    <t>宇色</t>
  </si>
  <si>
    <t>R語言資料分析：從機器學習、資料探勘、文字探勘到巨量資料分析</t>
  </si>
  <si>
    <t>9789864342129</t>
  </si>
  <si>
    <t>李仁鐘，李秋緣</t>
  </si>
  <si>
    <t>Google雲端平台實作手冊：Google雲端功能一點就通</t>
  </si>
  <si>
    <t>9789864342174</t>
  </si>
  <si>
    <t>蘇培欣，胡際善，洪宜禎</t>
  </si>
  <si>
    <t>鍵盤先生：沒有最懶，只有更懶的200暗黑鍵盤操控力</t>
  </si>
  <si>
    <t>9789864342341</t>
  </si>
  <si>
    <t>艾凡斯</t>
  </si>
  <si>
    <t>312.49O4</t>
  </si>
  <si>
    <t>圖解資料結構：使用Python</t>
  </si>
  <si>
    <t>9789864342365</t>
  </si>
  <si>
    <t>秋聲教你玩C語言與指標：給挑戰者的22堂課</t>
  </si>
  <si>
    <t>9789864342464</t>
  </si>
  <si>
    <t>秋聲</t>
  </si>
  <si>
    <t>312.32C</t>
  </si>
  <si>
    <t>大數據時代必學的超吸睛視覺化工具與技術：Excel＋Tableau成功晉升資料分析師</t>
  </si>
  <si>
    <t>9789864342563</t>
  </si>
  <si>
    <t>312.49E9</t>
  </si>
  <si>
    <t>八卦醫學史2：疾病，改變了英雄的命運，也改寫了歷史的結局</t>
  </si>
  <si>
    <t>9789864890590</t>
  </si>
  <si>
    <t>甯方剛（燒傷超人阿寶）</t>
  </si>
  <si>
    <t>410.9</t>
  </si>
  <si>
    <t>月亮推運占星全書：我的人生演化課程表</t>
  </si>
  <si>
    <t>9789579001076</t>
  </si>
  <si>
    <t>艾美‧賀林（Amy Herring）</t>
  </si>
  <si>
    <t>日本散策100景。【有聲】</t>
  </si>
  <si>
    <t>9789862486474</t>
  </si>
  <si>
    <t>新井芳子，新井健文，蔡明樹</t>
  </si>
  <si>
    <t>正反交鋒聊新聞：EZ TALK總編嚴選特刊【有聲】</t>
  </si>
  <si>
    <t>9789862486856</t>
  </si>
  <si>
    <t>托斯卡尼的日常餐桌：豐饒食材及田園鄉間的美味家族料理，一起開動吧！</t>
  </si>
  <si>
    <t>9789862486443</t>
  </si>
  <si>
    <t>茱麗亞‧史卡帕麗佳（Giulia Scarpaleggia）</t>
  </si>
  <si>
    <t>跟阿德勒學正向教養—青少年篇：溫和堅定的父母力，90個守則，引導孩子放眼未來、邁向獨立</t>
  </si>
  <si>
    <t>9789862486665</t>
  </si>
  <si>
    <t>簡‧尼爾森（Jane Nelsen），琳‧洛特（Lynn Lott）</t>
  </si>
  <si>
    <t>跟阿德勒學正向教養：從49個練習開始，用鼓勵提升孩子的歸屬感與自我價值</t>
  </si>
  <si>
    <t>9789862486559</t>
  </si>
  <si>
    <t>簡‧尼爾森（JANE NELSEN），瑪麗‧尼爾森‧坦伯斯基（MARY NELSEN TAMBORSKI），布萊德‧安吉（BRAD AINGE）</t>
  </si>
  <si>
    <t>秒懂葡萄酒圖解書：當法國葡萄酒學者碰上瘋狂插畫家，解答你對葡萄酒的100個疑問</t>
  </si>
  <si>
    <t>9789862486757</t>
  </si>
  <si>
    <t>芬妮‧達荷斯克（Fanny Darrieussecq）</t>
  </si>
  <si>
    <t>紅蝦評鑑嚴選！新世界葡萄酒莊巡禮：橫跨中亞、美洲、南非、大洋洲釀酒產區，開拓前所未見的品酩新視野</t>
  </si>
  <si>
    <t>9789862486405</t>
  </si>
  <si>
    <t>紅蝦評鑑（Gambero Rosso）</t>
  </si>
  <si>
    <t>紅蝦評鑑嚴選！義大利頂級酒莊巡禮：啜飲傳奇名酒、探訪世界最古老葡萄酒產區，一場深度醉人的酒食之旅</t>
  </si>
  <si>
    <t>9789862486191</t>
  </si>
  <si>
    <t>紅蝦評鑑（GAMBERO ROSSO）</t>
  </si>
  <si>
    <t>一口哲學：27場當代哲學家獻給愛智饕客的絕妙TALK，限時15分鐘暢談哲學大師的心靈之旅</t>
  </si>
  <si>
    <t>9789864891771</t>
  </si>
  <si>
    <t>奈傑爾‧沃伯頓〈Nigel  Warburton〉、大衛‧愛德蒙茲〈David Edmonds〉</t>
  </si>
  <si>
    <t>關鍵溝通力：掌握關鍵溝通，笑傲職場江湖</t>
  </si>
  <si>
    <t>9789865603144</t>
  </si>
  <si>
    <t>白曉亮</t>
  </si>
  <si>
    <t>台中巷弄日和：IG注目店家、老眷村、獨立書店，走踏滿載夢想的文創之城</t>
  </si>
  <si>
    <t>9789862486634</t>
  </si>
  <si>
    <t>拔林編輯工作室</t>
  </si>
  <si>
    <t>闖進兔子洞：魔幻奇境的敘事治療</t>
  </si>
  <si>
    <t>9789576939044</t>
  </si>
  <si>
    <t>大衛‧馬斯頓（David Marsten），大衛‧艾普斯頓（David Epston），蘿莉‧馬克漢（Laurie Markham）</t>
  </si>
  <si>
    <t>孩子你好，請多指教：德式作風的台灣媽媽親子教養書</t>
  </si>
  <si>
    <t>9789576938962</t>
  </si>
  <si>
    <t>讓衰老變慢：中老人也可以吃得很長壽</t>
  </si>
  <si>
    <t>9789865756727</t>
  </si>
  <si>
    <t>蔣家騉</t>
  </si>
  <si>
    <t>腎臟病療法原來可以這麼簡單</t>
  </si>
  <si>
    <t>9789865636968</t>
  </si>
  <si>
    <t>謝英彪</t>
  </si>
  <si>
    <t>413.345</t>
  </si>
  <si>
    <t>一百天快速學開中藥方：學會中醫保健一生受益無窮</t>
  </si>
  <si>
    <t>9789865636975</t>
  </si>
  <si>
    <t>楊進，黃煌，朱麗江</t>
  </si>
  <si>
    <t>414.6</t>
  </si>
  <si>
    <t>少年來了</t>
  </si>
  <si>
    <t>9789864892341</t>
  </si>
  <si>
    <t>韓江</t>
  </si>
  <si>
    <t>喚醒你的力量：一個來自華爾街的財富傳奇</t>
  </si>
  <si>
    <t>9789869599603</t>
  </si>
  <si>
    <t>（美）克里斯汀‧拉爾森（Christian Larsson）</t>
  </si>
  <si>
    <t>馬來西亞民主轉型：族群與宗教之困</t>
  </si>
  <si>
    <t>9789629373405</t>
  </si>
  <si>
    <t>王國璋</t>
  </si>
  <si>
    <t>515</t>
  </si>
  <si>
    <t>574</t>
  </si>
  <si>
    <t>維納斯的秘密花園：美甲美睫沙龍技術全解</t>
  </si>
  <si>
    <t>9789869568302</t>
  </si>
  <si>
    <t>建朋企業有限公司</t>
  </si>
  <si>
    <t>陳聖晴</t>
  </si>
  <si>
    <t>20171120</t>
  </si>
  <si>
    <t>425</t>
  </si>
  <si>
    <t>她時代的職場生存：一本書讓你看透女人做主的職場遊戲新規則</t>
  </si>
  <si>
    <t>9789578606685</t>
  </si>
  <si>
    <t>南山靜</t>
  </si>
  <si>
    <t>一點茶識</t>
  </si>
  <si>
    <t>9789578606449</t>
  </si>
  <si>
    <t>鄭春英</t>
  </si>
  <si>
    <t>你不理財財不理你2：做一個會賺錢會省錢會花錢的理財達人</t>
  </si>
  <si>
    <t>9789578606722</t>
  </si>
  <si>
    <t>老狐狸</t>
  </si>
  <si>
    <t>快工作，慢生活：職場焦慮、生活煩惱通通幹掉的生活寶典！</t>
  </si>
  <si>
    <t>9789577350077</t>
  </si>
  <si>
    <t>安己</t>
  </si>
  <si>
    <t>投資理財技巧速查寶典（實例白金版）</t>
  </si>
  <si>
    <t>9789578606739</t>
  </si>
  <si>
    <t>李慧敏</t>
  </si>
  <si>
    <t>財富贏家：一生的理財增值計劃技巧大全集，1000個理財常識與技巧</t>
  </si>
  <si>
    <t>9789578606746</t>
  </si>
  <si>
    <t>海天理財</t>
  </si>
  <si>
    <t>財富贏家：二十幾歲要懂點經濟學，1000個經濟常識與理財技巧</t>
  </si>
  <si>
    <t>9789578606753</t>
  </si>
  <si>
    <t>卓越領導者的智慧（精華版）</t>
  </si>
  <si>
    <t>9789578606777</t>
  </si>
  <si>
    <t>陳樹文</t>
  </si>
  <si>
    <t>卓越領導者的智慧</t>
  </si>
  <si>
    <t>9789578606760</t>
  </si>
  <si>
    <t>幸福的能力</t>
  </si>
  <si>
    <t>9789578606784</t>
  </si>
  <si>
    <t>王薇華</t>
  </si>
  <si>
    <t>幸福新法則：沒法重來，所以步步為營</t>
  </si>
  <si>
    <t>9789578606791</t>
  </si>
  <si>
    <t>董媛媛</t>
  </si>
  <si>
    <t>經濟學知識速查寶典（實例白金版）</t>
  </si>
  <si>
    <t>9789578606814</t>
  </si>
  <si>
    <t>劉瑩，田小飛</t>
  </si>
  <si>
    <t>經營客戶</t>
  </si>
  <si>
    <t>9789578606821</t>
  </si>
  <si>
    <t>蘇朝暉</t>
  </si>
  <si>
    <t>這樣做，你也可以成為職場紅人</t>
  </si>
  <si>
    <t>9789578606838</t>
  </si>
  <si>
    <t>耿興永</t>
  </si>
  <si>
    <t>頂尖財富密碼：解密溫州人的投資理財智慧</t>
  </si>
  <si>
    <t>9789578606845</t>
  </si>
  <si>
    <t>才永發，趙寶海</t>
  </si>
  <si>
    <t>養育孩子的90個好方法</t>
  </si>
  <si>
    <t>9789578606852</t>
  </si>
  <si>
    <t>張艷凱</t>
  </si>
  <si>
    <t>幽默領導</t>
  </si>
  <si>
    <t>9789578606869</t>
  </si>
  <si>
    <t>陳國海，陳少博</t>
  </si>
  <si>
    <t>看懂孩子的畫，讀懂孩子的心</t>
  </si>
  <si>
    <t>9789578606555</t>
  </si>
  <si>
    <t>［法］布裡吉特•朗日雯</t>
  </si>
  <si>
    <t>給我三個春天：生態文明新農村建設實踐</t>
  </si>
  <si>
    <t>9789578606180</t>
  </si>
  <si>
    <t>孫君</t>
  </si>
  <si>
    <t>554</t>
  </si>
  <si>
    <t>貼心小棉襖：單身媽媽育兒筆記</t>
  </si>
  <si>
    <t>9789578606876</t>
  </si>
  <si>
    <t>素咖啡</t>
  </si>
  <si>
    <t>428</t>
  </si>
  <si>
    <t>輕鬆賺錢：實用有效的近百種理財小妙招</t>
  </si>
  <si>
    <t>9789578606883</t>
  </si>
  <si>
    <t>才永發</t>
  </si>
  <si>
    <t>面試實戰技法</t>
  </si>
  <si>
    <t>9789578606890</t>
  </si>
  <si>
    <t>劉漢民</t>
  </si>
  <si>
    <t>借物識交際</t>
  </si>
  <si>
    <t>9789578606906</t>
  </si>
  <si>
    <t>高興宇</t>
  </si>
  <si>
    <t>家居儲藏與收納</t>
  </si>
  <si>
    <t>9789864929900</t>
  </si>
  <si>
    <t>美好家園</t>
  </si>
  <si>
    <t>422</t>
  </si>
  <si>
    <t>家養綠植：裝飾‧培育‧欣賞</t>
  </si>
  <si>
    <t>9789578606111</t>
  </si>
  <si>
    <t>［日］橘頁社</t>
  </si>
  <si>
    <t>家裝集市：地面、天花板1000例</t>
  </si>
  <si>
    <t>9789577353337</t>
  </si>
  <si>
    <t>《家裝集市》編委會</t>
  </si>
  <si>
    <t>家裝集市：旺家宜忌1000例</t>
  </si>
  <si>
    <t>9789577353344</t>
  </si>
  <si>
    <t>家裝集市：主題背景牆1000例</t>
  </si>
  <si>
    <t>9789577353351</t>
  </si>
  <si>
    <t>悟道：一位IT高管20年的職場心經</t>
  </si>
  <si>
    <t>9789578606920</t>
  </si>
  <si>
    <t>劉博</t>
  </si>
  <si>
    <t>旅遊投訴與旅遊事故案例精選解析</t>
  </si>
  <si>
    <t>9789577353047</t>
  </si>
  <si>
    <t>梁智，李紅，劉宏飛</t>
  </si>
  <si>
    <t>讀心術：FBI與CIA教你破解超級心理密碼</t>
  </si>
  <si>
    <t>9789578606937</t>
  </si>
  <si>
    <t>王彥</t>
  </si>
  <si>
    <t>談判中的心理學</t>
  </si>
  <si>
    <t>9789578606944</t>
  </si>
  <si>
    <t>李維</t>
  </si>
  <si>
    <t>第一份工作你究竟要什麼：送給職場新人最好的成長禮物</t>
  </si>
  <si>
    <t>9789578606951</t>
  </si>
  <si>
    <t>武傑</t>
  </si>
  <si>
    <t>第一次就愛上鈎針編織</t>
  </si>
  <si>
    <t>9789864929870</t>
  </si>
  <si>
    <t>潘美伶</t>
  </si>
  <si>
    <t>職場媽媽的育兒心經</t>
  </si>
  <si>
    <t>9789578606968</t>
  </si>
  <si>
    <t>大小柯</t>
  </si>
  <si>
    <t>紫海戰略：新商業模式領跑未來</t>
  </si>
  <si>
    <t>9789578606982</t>
  </si>
  <si>
    <t>艾學蛟</t>
  </si>
  <si>
    <t>藥食同源物品使用手冊：既是食品又是藥品的物品</t>
  </si>
  <si>
    <t>9789578606340</t>
  </si>
  <si>
    <t>于新，李小華</t>
  </si>
  <si>
    <t>418.9</t>
  </si>
  <si>
    <t>銷售中的心理學</t>
  </si>
  <si>
    <t>9789578606999</t>
  </si>
  <si>
    <t>李恒</t>
  </si>
  <si>
    <t>饞人說吃</t>
  </si>
  <si>
    <t>9789578606425</t>
  </si>
  <si>
    <t>孟凡貴</t>
  </si>
  <si>
    <t>解讀家居細節設計：視聽牆</t>
  </si>
  <si>
    <t>9789577353207</t>
  </si>
  <si>
    <t>李江軍</t>
  </si>
  <si>
    <t>管理中的心理學</t>
  </si>
  <si>
    <t>9789577350046</t>
  </si>
  <si>
    <t>趙海男</t>
  </si>
  <si>
    <t>494.014</t>
  </si>
  <si>
    <t>管理手記：人力資源經理是怎麼做招聘工作的</t>
  </si>
  <si>
    <t>9789577350053</t>
  </si>
  <si>
    <t>米雅</t>
  </si>
  <si>
    <t>精彩樣板間詳解800例：玄關‧餐廳</t>
  </si>
  <si>
    <t>9789577353276</t>
  </si>
  <si>
    <t>本書編委會</t>
  </si>
  <si>
    <t>精彩樣板間詳解：臥室‧書房</t>
  </si>
  <si>
    <t>9789578606562</t>
  </si>
  <si>
    <t>精彩樣板間詳解：客廳‧走廊</t>
  </si>
  <si>
    <t>9789578606586</t>
  </si>
  <si>
    <t>精彩樣板間詳解：廚房‧衛浴‧其他</t>
  </si>
  <si>
    <t>9789578606579</t>
  </si>
  <si>
    <t>《精彩樣板間詳解800例》編委會</t>
  </si>
  <si>
    <t>營養湯煲2888例</t>
  </si>
  <si>
    <t>9789578606289</t>
  </si>
  <si>
    <t>贏在挫折後：職場精英應對困境之道</t>
  </si>
  <si>
    <t>9789577350060</t>
  </si>
  <si>
    <t>杜慕群</t>
  </si>
  <si>
    <t>獨來獨往的貓（雙語版）</t>
  </si>
  <si>
    <t>9789864925827</t>
  </si>
  <si>
    <t>［英］吉卜林（Kipling, J. R.）</t>
  </si>
  <si>
    <t>純真年代（中文導讀英文版）</t>
  </si>
  <si>
    <t>9789864926794</t>
  </si>
  <si>
    <t>［美］伊蒂絲‧華頓</t>
  </si>
  <si>
    <t>《資治通鑑》兵學探源：以《孫子兵法》為主要觀察中心</t>
  </si>
  <si>
    <t>9789869554343</t>
  </si>
  <si>
    <t>譚莉貞</t>
  </si>
  <si>
    <t>610.23</t>
  </si>
  <si>
    <t>發明的故事（雙語版）</t>
  </si>
  <si>
    <t>9789864928415</t>
  </si>
  <si>
    <t>亨德里克‧威廉‧房龍</t>
  </si>
  <si>
    <t>440.6</t>
  </si>
  <si>
    <t>靜坐這一檔子事：導引功法</t>
  </si>
  <si>
    <t>9789869271554</t>
  </si>
  <si>
    <t>薄伽梵出版社</t>
  </si>
  <si>
    <t>王薀</t>
  </si>
  <si>
    <t>華語真好玩：種族和諧日</t>
  </si>
  <si>
    <t>9789860530797</t>
  </si>
  <si>
    <t>國立屏東大學</t>
  </si>
  <si>
    <t>陳雅鈴，陳仁富</t>
  </si>
  <si>
    <t>中藥材養生食療方</t>
  </si>
  <si>
    <t>4715443040587</t>
  </si>
  <si>
    <t>葉翹</t>
  </si>
  <si>
    <t>藥膳對症食療事典</t>
  </si>
  <si>
    <t>4715443040594</t>
  </si>
  <si>
    <t>洪尚綱，郭威均，紀戊霖</t>
  </si>
  <si>
    <t>一字一句，靠近潛意識：十個解夢對話實錄</t>
  </si>
  <si>
    <t>9789576939068</t>
  </si>
  <si>
    <t>黃士鈞（哈克）</t>
  </si>
  <si>
    <t>日本社會現狀100景【有聲】</t>
  </si>
  <si>
    <t>9789862486924</t>
  </si>
  <si>
    <t>住田哲郎</t>
  </si>
  <si>
    <t>原味，每一天：自然純蔬餐桌的簡單日常</t>
  </si>
  <si>
    <t>9789862486962</t>
  </si>
  <si>
    <t>鵝黃色甜點廚房JAUNE PASTEL</t>
  </si>
  <si>
    <t>地心引力抓不住的冒險家：8公斤行李╳325天╳35個國家，拉著未婚夫飛向世界盡頭</t>
  </si>
  <si>
    <t>9789862486900</t>
  </si>
  <si>
    <t>Winny</t>
  </si>
  <si>
    <t>下一波商業創新模式：圖像溝通╳策略創新╳商業設計思維，搶占未來市場商機</t>
  </si>
  <si>
    <t>9789862486801</t>
  </si>
  <si>
    <t>馬克‧史努卡斯（Marc Sniukas），帕克‧李（Parker Lee），麥特‧莫拉斯基（Matt Morasky）</t>
  </si>
  <si>
    <t>職場優勢學：職場新鮮人一定要懂的18個定律</t>
  </si>
  <si>
    <t>9789863901228</t>
  </si>
  <si>
    <t>李昊</t>
  </si>
  <si>
    <t>老屋改造╳「暖」新宅</t>
  </si>
  <si>
    <t>9789869157674</t>
  </si>
  <si>
    <t>吳函霖</t>
  </si>
  <si>
    <t>對白的解剖：跟好萊塢編劇教父學習角色說話的藝術，在已說、未說、不可說之間，強化故事的深度、角色的厚度、風格的魅力</t>
  </si>
  <si>
    <t>9789864892259</t>
  </si>
  <si>
    <t>羅伯特‧麥基（Robert McKee）</t>
  </si>
  <si>
    <t>812.31</t>
  </si>
  <si>
    <t>走走日本：鎌倉，古都散策</t>
  </si>
  <si>
    <t>EBK10200011073</t>
  </si>
  <si>
    <t>走走基隆：阿鰍的古早味地圖</t>
  </si>
  <si>
    <t>EBK10200011074</t>
  </si>
  <si>
    <t>二代牽手，回家：休閒農業走過20年，承傳兩代的20篇生命故事</t>
  </si>
  <si>
    <t>9789868951785</t>
  </si>
  <si>
    <t>飛鳥季社</t>
  </si>
  <si>
    <t>陳志東</t>
  </si>
  <si>
    <t>992.6507</t>
  </si>
  <si>
    <t>電影創作學習之認知歷程研究</t>
  </si>
  <si>
    <t>9789869554367</t>
  </si>
  <si>
    <t>章明哲</t>
  </si>
  <si>
    <t>987.4</t>
  </si>
  <si>
    <t>幼兒園幼教師類教師檢定通關寶典：重點整理＋模擬試題＋歷年試題</t>
  </si>
  <si>
    <t>9789864872336</t>
  </si>
  <si>
    <t>謝坤鐘</t>
  </si>
  <si>
    <t>523.2</t>
  </si>
  <si>
    <t>名師壓箱秘笈：教育心理學</t>
  </si>
  <si>
    <t>9789863749394</t>
  </si>
  <si>
    <t>舒懷</t>
  </si>
  <si>
    <t>主題式電路學高分題庫</t>
  </si>
  <si>
    <t>9789863749264</t>
  </si>
  <si>
    <t>甄家灝</t>
  </si>
  <si>
    <t>448.62</t>
  </si>
  <si>
    <t>善待自己的工作</t>
  </si>
  <si>
    <t>9789577352606</t>
  </si>
  <si>
    <t>鄭天語</t>
  </si>
  <si>
    <t>澳大利亞玩全攻略（圖文全彩版）</t>
  </si>
  <si>
    <t>9789577353139</t>
  </si>
  <si>
    <t>行者無疆工作室</t>
  </si>
  <si>
    <t>771</t>
  </si>
  <si>
    <t>王凡西選集卷一：托派與中國</t>
  </si>
  <si>
    <t>9789629373436</t>
  </si>
  <si>
    <t>朱正</t>
  </si>
  <si>
    <t>王凡西選集卷二：論毛澤東思想</t>
  </si>
  <si>
    <t>9789629373443</t>
  </si>
  <si>
    <t>王凡西選集卷三：晚年札記</t>
  </si>
  <si>
    <t>9789629373450</t>
  </si>
  <si>
    <t>英漢互譯入門教程</t>
  </si>
  <si>
    <t>9789577352484</t>
  </si>
  <si>
    <t>許建平</t>
  </si>
  <si>
    <t>翻譯研究的文化轉向</t>
  </si>
  <si>
    <t>9789577352644</t>
  </si>
  <si>
    <t>王寧</t>
  </si>
  <si>
    <t>英文經典幽默系列</t>
  </si>
  <si>
    <t>9789577352477</t>
  </si>
  <si>
    <t>王勛，劉新玲</t>
  </si>
  <si>
    <t>翻譯語境描寫論綱</t>
  </si>
  <si>
    <t>9789577352651</t>
  </si>
  <si>
    <t>李運興</t>
  </si>
  <si>
    <t>創業搖籃</t>
  </si>
  <si>
    <t>9789577352590</t>
  </si>
  <si>
    <t>王湘云，李平</t>
  </si>
  <si>
    <t>美國大學入學申請文章寫作及例文欣賞</t>
  </si>
  <si>
    <t>9789577352453</t>
  </si>
  <si>
    <t>陳方，任愛軍</t>
  </si>
  <si>
    <t>暢游最美的66個名山大川</t>
  </si>
  <si>
    <t>9789577353399</t>
  </si>
  <si>
    <t>楊無敏</t>
  </si>
  <si>
    <t>微博行銷實戰技巧</t>
  </si>
  <si>
    <t>9789577352637</t>
  </si>
  <si>
    <t>葉小榮</t>
  </si>
  <si>
    <t>服務營銷管理：服務業經營的關鍵</t>
  </si>
  <si>
    <t>9789577353412</t>
  </si>
  <si>
    <t>蘇朝輝</t>
  </si>
  <si>
    <t>給教育燃燈</t>
  </si>
  <si>
    <t>9789577353467</t>
  </si>
  <si>
    <t>許驥</t>
  </si>
  <si>
    <t>400日單車遷尋萬里</t>
  </si>
  <si>
    <t>9789577352309</t>
  </si>
  <si>
    <t>周子遷</t>
  </si>
  <si>
    <t>大數據時代的雲計算敏捷紅利</t>
  </si>
  <si>
    <t>9789577352330</t>
  </si>
  <si>
    <t>張禮立</t>
  </si>
  <si>
    <t>494.8</t>
  </si>
  <si>
    <t>幸福行銷</t>
  </si>
  <si>
    <t>9789577353504</t>
  </si>
  <si>
    <t>尚致勝，李厚豪，李坤恒</t>
  </si>
  <si>
    <t>幸福營銷</t>
  </si>
  <si>
    <t>9789577353511</t>
  </si>
  <si>
    <t>一寸一寸暖妳</t>
  </si>
  <si>
    <t>9789577352682</t>
  </si>
  <si>
    <t>朱成玉</t>
  </si>
  <si>
    <t>這段感情只對妳我有意義</t>
  </si>
  <si>
    <t>9789577353023</t>
  </si>
  <si>
    <t>涼月滿天</t>
  </si>
  <si>
    <t>老子的養育智慧</t>
  </si>
  <si>
    <t>9789577353528</t>
  </si>
  <si>
    <t>周正，左麗娟，張麗潔</t>
  </si>
  <si>
    <t>互聯網：一部概論史</t>
  </si>
  <si>
    <t>9789577353542</t>
  </si>
  <si>
    <t>楊吉</t>
  </si>
  <si>
    <t>翻譯與脈絡</t>
  </si>
  <si>
    <t>9789577353573</t>
  </si>
  <si>
    <t>單德興</t>
  </si>
  <si>
    <t>清華金融課：聆聽大師妙語，領悟金融奧秘</t>
  </si>
  <si>
    <t>9789577353610</t>
  </si>
  <si>
    <t>李亞軒</t>
  </si>
  <si>
    <t>清華心理課：天行健，君子以自強不息；地勢坤，君子以厚物載德</t>
  </si>
  <si>
    <t>9789577353627</t>
  </si>
  <si>
    <t>石楠</t>
  </si>
  <si>
    <t>清華情商課：智商決定能力，情感決定成敗</t>
  </si>
  <si>
    <t>9789577353634</t>
  </si>
  <si>
    <t>藺亞丁</t>
  </si>
  <si>
    <t>清華管理課：清華大學管理型人才的訓練手冊</t>
  </si>
  <si>
    <t>9789577353658</t>
  </si>
  <si>
    <t>汪繼紅</t>
  </si>
  <si>
    <t>清華經濟課：生動解讀經濟學原理，理性規劃經濟生活</t>
  </si>
  <si>
    <t>9789577353665</t>
  </si>
  <si>
    <t>劉文秀</t>
  </si>
  <si>
    <t>玩樂記單詞</t>
  </si>
  <si>
    <t>9789577353689</t>
  </si>
  <si>
    <t>林建東</t>
  </si>
  <si>
    <t>中國人情【珍藏版】</t>
  </si>
  <si>
    <t>9789577353696</t>
  </si>
  <si>
    <t>萬鈞</t>
  </si>
  <si>
    <t>從門道到王道：一個銷售總監的銷售筆記</t>
  </si>
  <si>
    <t>9789577352125</t>
  </si>
  <si>
    <t>丁稱林</t>
  </si>
  <si>
    <t>古今精品工程</t>
  </si>
  <si>
    <t>9789577352132</t>
  </si>
  <si>
    <t>孫紹榮，張艷楠</t>
  </si>
  <si>
    <t>世界第一好懂的經濟學：關於經濟學的100個故事</t>
  </si>
  <si>
    <t>9789577352149</t>
  </si>
  <si>
    <t>肖勝平</t>
  </si>
  <si>
    <t>白手起家的40堂課</t>
  </si>
  <si>
    <t>9789577352200</t>
  </si>
  <si>
    <t>金銘軒</t>
  </si>
  <si>
    <t>辦公室正道詭道</t>
  </si>
  <si>
    <t>9789577352217</t>
  </si>
  <si>
    <t>余亞杰</t>
  </si>
  <si>
    <t>從應屆生到職場達人：求職應聘寶典</t>
  </si>
  <si>
    <t>9789577352231</t>
  </si>
  <si>
    <t>張振華</t>
  </si>
  <si>
    <t>導遊服務案例詳解：結合《旅遊法》剖析案例版</t>
  </si>
  <si>
    <t>9789577352248</t>
  </si>
  <si>
    <t>李娌</t>
  </si>
  <si>
    <t>家庭養花的100個有機妙招</t>
  </si>
  <si>
    <t>9789577353320</t>
  </si>
  <si>
    <t>李家發，萬紫</t>
  </si>
  <si>
    <t>SAT作文你也可以拿滿分</t>
  </si>
  <si>
    <t>9789577353733</t>
  </si>
  <si>
    <t>鐘莉</t>
  </si>
  <si>
    <t>SAT語法攻略</t>
  </si>
  <si>
    <t>9789577353740</t>
  </si>
  <si>
    <t>禤映峰</t>
  </si>
  <si>
    <t>SAT詞彙寶典</t>
  </si>
  <si>
    <t>9789577353757</t>
  </si>
  <si>
    <t>王志強，陳方</t>
  </si>
  <si>
    <t>SAT閱讀分析及訓練</t>
  </si>
  <si>
    <t>9789577353764</t>
  </si>
  <si>
    <t>李曉霞</t>
  </si>
  <si>
    <t>人生中要讀的幾本書</t>
  </si>
  <si>
    <t>9789578606623</t>
  </si>
  <si>
    <t>林格</t>
  </si>
  <si>
    <t>人性與個性的邏輯</t>
  </si>
  <si>
    <t>9789577352323</t>
  </si>
  <si>
    <t>孟慶祥</t>
  </si>
  <si>
    <t>下一個杜拉拉就是妳：職場生存智慧</t>
  </si>
  <si>
    <t>9789577352705</t>
  </si>
  <si>
    <t>牛存強</t>
  </si>
  <si>
    <t>中層革命：如何成為最優秀的中層領導</t>
  </si>
  <si>
    <t>9789577352729</t>
  </si>
  <si>
    <t>侯楠楠</t>
  </si>
  <si>
    <t>中國之痛：醫療行業內幕大揭幕</t>
  </si>
  <si>
    <t>9789577352736</t>
  </si>
  <si>
    <t>曾德強</t>
  </si>
  <si>
    <t>中國最美的100個風情古鎮玩全攻略（圖文全彩版）</t>
  </si>
  <si>
    <t>9789577352750</t>
  </si>
  <si>
    <t>中國古代管理思想與智慧</t>
  </si>
  <si>
    <t>9789577352361</t>
  </si>
  <si>
    <t>才金城</t>
  </si>
  <si>
    <t>雲南‧麗江玩全攻略（圖文全彩版）</t>
  </si>
  <si>
    <t>9789577352767</t>
  </si>
  <si>
    <t>673.56</t>
  </si>
  <si>
    <t>世界經典戰役點評：從第一代戰爭到第五代戰爭</t>
  </si>
  <si>
    <t>9789578606708</t>
  </si>
  <si>
    <t>楚雲</t>
  </si>
  <si>
    <t>592.9</t>
  </si>
  <si>
    <t>太陽照常升起（中文導讀英文版）</t>
  </si>
  <si>
    <t>9789577352392</t>
  </si>
  <si>
    <t>［美］海明威</t>
  </si>
  <si>
    <t>少年，你懂的！：擁抱成長的幸福</t>
  </si>
  <si>
    <t>9789578606647</t>
  </si>
  <si>
    <t>桃李情深</t>
  </si>
  <si>
    <t>巴厘島玩全攻略（圖文全彩版）</t>
  </si>
  <si>
    <t>9789577352774</t>
  </si>
  <si>
    <t>739</t>
  </si>
  <si>
    <t>心靈上的那些事兒</t>
  </si>
  <si>
    <t>9789578606654</t>
  </si>
  <si>
    <t>李文臣</t>
  </si>
  <si>
    <t>加拿大玩全攻略（圖文全彩版）</t>
  </si>
  <si>
    <t>9789577352798</t>
  </si>
  <si>
    <t>753</t>
  </si>
  <si>
    <t>白領‧灰情‧藍調</t>
  </si>
  <si>
    <t>9789577352415</t>
  </si>
  <si>
    <t>群山悅</t>
  </si>
  <si>
    <t>約伯斯：產品制勝法則</t>
  </si>
  <si>
    <t>9789577350107</t>
  </si>
  <si>
    <t>王奇</t>
  </si>
  <si>
    <t>向名人的父母學家教</t>
  </si>
  <si>
    <t>9789577350114</t>
  </si>
  <si>
    <t>文予可</t>
  </si>
  <si>
    <t>團隊力量</t>
  </si>
  <si>
    <t>9789577350121</t>
  </si>
  <si>
    <t>李慧波</t>
  </si>
  <si>
    <t>盡職盡責：如何成為企業不可或缺的金牌員工</t>
  </si>
  <si>
    <t>9789577352828</t>
  </si>
  <si>
    <t>並非捷徑的捷徑：創業必備</t>
  </si>
  <si>
    <t>9789577351029</t>
  </si>
  <si>
    <t>張翰</t>
  </si>
  <si>
    <t>成與敗的人生經營課</t>
  </si>
  <si>
    <t>9789577350138</t>
  </si>
  <si>
    <t>金暢</t>
  </si>
  <si>
    <t>此去經年，我的意大利之旅</t>
  </si>
  <si>
    <t>9789577352835</t>
  </si>
  <si>
    <t>汪雅潔</t>
  </si>
  <si>
    <t>745</t>
  </si>
  <si>
    <t>西藏‧青海玩全攻略（圖文全彩版）</t>
  </si>
  <si>
    <t>9789577352859</t>
  </si>
  <si>
    <t>676.06</t>
  </si>
  <si>
    <t>你可以不浮躁</t>
  </si>
  <si>
    <t>9789577352842</t>
  </si>
  <si>
    <t>你可以更搶手</t>
  </si>
  <si>
    <t>9789577352866</t>
  </si>
  <si>
    <t>玩美旅行：廈門完全自遊寶典</t>
  </si>
  <si>
    <t>9789577352910</t>
  </si>
  <si>
    <t>玩美一族</t>
  </si>
  <si>
    <t>673</t>
  </si>
  <si>
    <t>玩美旅行：雲南完全自遊寶典</t>
  </si>
  <si>
    <t>9789577352927</t>
  </si>
  <si>
    <t>玩美旅行：日本完全自遊寶典</t>
  </si>
  <si>
    <t>9789577352934</t>
  </si>
  <si>
    <t>玩美旅行：北京完全自遊寶典</t>
  </si>
  <si>
    <t>9789577352941</t>
  </si>
  <si>
    <t>671</t>
  </si>
  <si>
    <t>玩美旅行：西藏完全自遊寶典</t>
  </si>
  <si>
    <t>9789577352958</t>
  </si>
  <si>
    <t>676</t>
  </si>
  <si>
    <t>玩美旅行：法國完全自遊寶典</t>
  </si>
  <si>
    <t>9789577352965</t>
  </si>
  <si>
    <t>742</t>
  </si>
  <si>
    <t>玩美旅行：英國完全自遊寶典</t>
  </si>
  <si>
    <t>9789577352972</t>
  </si>
  <si>
    <t>741</t>
  </si>
  <si>
    <t>玩美旅行：韓國完全自遊寶典</t>
  </si>
  <si>
    <t>9789577352989</t>
  </si>
  <si>
    <t>玩美旅行：澳大利亞完全自遊寶典</t>
  </si>
  <si>
    <t>9789577352996</t>
  </si>
  <si>
    <t>暢遊昆明、大理、麗江、西雙版納</t>
  </si>
  <si>
    <t>9789577353009</t>
  </si>
  <si>
    <t>孫明亮</t>
  </si>
  <si>
    <t>暢遊新疆、西藏、青海</t>
  </si>
  <si>
    <t>9789577353016</t>
  </si>
  <si>
    <t>饒桂蘭</t>
  </si>
  <si>
    <t>要成效，千萬別瞎忙：一本寫給職場中人的效率提升手冊！</t>
  </si>
  <si>
    <t>9789577352491</t>
  </si>
  <si>
    <t>陶文鈞</t>
  </si>
  <si>
    <t>香港‧澳門玩全攻略（圖文全彩版）</t>
  </si>
  <si>
    <t>9789577353030</t>
  </si>
  <si>
    <t>泰國玩全攻略（圖文全彩版）</t>
  </si>
  <si>
    <t>9789577353054</t>
  </si>
  <si>
    <t>738</t>
  </si>
  <si>
    <t>站在公司的角度考慮問題</t>
  </si>
  <si>
    <t>9789577353078</t>
  </si>
  <si>
    <t>做最“傻”的員工</t>
  </si>
  <si>
    <t>9789577352583</t>
  </si>
  <si>
    <t>阮立軍</t>
  </si>
  <si>
    <t>第N種危機</t>
  </si>
  <si>
    <t>9789577352576</t>
  </si>
  <si>
    <t>葉耕</t>
  </si>
  <si>
    <t>切的綠色筆記本</t>
  </si>
  <si>
    <t>9789869493871</t>
  </si>
  <si>
    <t>巴可‧伊格納西歐‧達伊波二世（Paco Ignacio Taibo Ⅱ）</t>
  </si>
  <si>
    <t>813.1</t>
  </si>
  <si>
    <t>突然死亡</t>
  </si>
  <si>
    <t>9789869493857</t>
  </si>
  <si>
    <t>阿爾瓦洛・安利格（Álvaro Enrigue）</t>
  </si>
  <si>
    <t>885.457</t>
  </si>
  <si>
    <t>對話之後：一個生態藝術行動的探索</t>
  </si>
  <si>
    <t>9789869493826</t>
  </si>
  <si>
    <t>闇室</t>
  </si>
  <si>
    <t>9789869493833</t>
  </si>
  <si>
    <t>依薩克・羅沙（Isaac Rosa）</t>
  </si>
  <si>
    <t>878.57</t>
  </si>
  <si>
    <t>移動的夢想：給下一輪少年的備忘錄</t>
  </si>
  <si>
    <t>9789869167093</t>
  </si>
  <si>
    <t>林黛嫚</t>
  </si>
  <si>
    <t>童年情感忽視：為何我們總是渴望親密，卻又難以承受？</t>
  </si>
  <si>
    <t>9789579001335</t>
  </si>
  <si>
    <t>鍾妮斯‧韋伯（Jonice Webb）</t>
  </si>
  <si>
    <t>173.12</t>
  </si>
  <si>
    <t>大腦依戀障礙：為何我們總是用錯的方法，愛著對的人？</t>
  </si>
  <si>
    <t>9789579001427</t>
  </si>
  <si>
    <t>史丹‧塔特金（Stan Tatkin）</t>
  </si>
  <si>
    <t>176.3</t>
  </si>
  <si>
    <t>帝國興亡下的日本・臺灣：1895～1945年精裝五版寫真書</t>
  </si>
  <si>
    <t>9789869510141</t>
  </si>
  <si>
    <t>王佐榮</t>
  </si>
  <si>
    <t>731.2788</t>
  </si>
  <si>
    <t>小資本創業全攻略：錢途無量</t>
  </si>
  <si>
    <t>9789577352712</t>
  </si>
  <si>
    <t>歸來，最美的宋詞</t>
  </si>
  <si>
    <t>9789577350091</t>
  </si>
  <si>
    <t>李顏壘</t>
  </si>
  <si>
    <t>833</t>
  </si>
  <si>
    <t>不運動，當然會生病！：游敬倫醫師的極簡運動療法</t>
  </si>
  <si>
    <t>9789576968471</t>
  </si>
  <si>
    <t>418.934</t>
  </si>
  <si>
    <t>你的聽力受損了嗎？：台灣將近10％人口聽力受損！</t>
  </si>
  <si>
    <t>9789869562904</t>
  </si>
  <si>
    <t>健檢做完，然後呢？：從自然醫學觀點，拆解數字真相，掌握對症處方，找回健康！</t>
  </si>
  <si>
    <t>9789576968440</t>
  </si>
  <si>
    <t>【彩色圖解】環境荷爾蒙：認識偷走健康‧破壞生態的元兇—塑化劑、雙酚A、戴奧辛、壬基酚、汞…</t>
  </si>
  <si>
    <t>9789869501927</t>
  </si>
  <si>
    <t>社團法人台灣環境教育協會（新自然）</t>
  </si>
  <si>
    <t>社團法人台灣環境教育協會</t>
  </si>
  <si>
    <t>418.8</t>
  </si>
  <si>
    <t>鷹飛基隆：台灣最美的四季賞鷹秘境</t>
  </si>
  <si>
    <t>9789869501934</t>
  </si>
  <si>
    <t>陳世一</t>
  </si>
  <si>
    <t>388.892</t>
  </si>
  <si>
    <t>文學的40堂公開課：從神話到當代暢銷書，文學如何影響我們、帶領我們理解這個世界</t>
  </si>
  <si>
    <t>9789864892372</t>
  </si>
  <si>
    <t>約翰‧薩德蘭（John Sutherland）</t>
  </si>
  <si>
    <t>870.2</t>
  </si>
  <si>
    <t>神的經濟學：信仰—經濟發展背後看不見的手</t>
  </si>
  <si>
    <t>9789864891757</t>
  </si>
  <si>
    <t>宇山卓榮</t>
  </si>
  <si>
    <t>209</t>
  </si>
  <si>
    <t>我居故我在：獨居老年母親居住方式的轉換歷程</t>
  </si>
  <si>
    <t>9789869554381</t>
  </si>
  <si>
    <t>吳家慧</t>
  </si>
  <si>
    <t>544.85</t>
  </si>
  <si>
    <t>北緯38度線：韓戰四大戰役</t>
  </si>
  <si>
    <t>9789869494373</t>
  </si>
  <si>
    <t>金剛出版事業有限公司</t>
  </si>
  <si>
    <t>592.932</t>
  </si>
  <si>
    <t>物質濫用社會工作實務手冊</t>
  </si>
  <si>
    <t>9789577325204</t>
  </si>
  <si>
    <t>蔡佩真</t>
  </si>
  <si>
    <t>547.07</t>
  </si>
  <si>
    <t>家長老師快抓狂，熱血教官才能搞定的青春教養練習：難搞？難教？難相處？與12～22歲孩子過招的祕技</t>
  </si>
  <si>
    <t>9789869565370</t>
  </si>
  <si>
    <t>黃正智</t>
  </si>
  <si>
    <t>544.67</t>
  </si>
  <si>
    <t>恐怖的胃酸疾病療癒聖經：以酸治酸—90％胃食道逆流的人都胃酸不足！</t>
  </si>
  <si>
    <t>9789869565332</t>
  </si>
  <si>
    <t>強納森‧V‧萊特（Jonathan V. Wright），蓮恩‧萊納德（Lane Lenard）</t>
  </si>
  <si>
    <t>415.516</t>
  </si>
  <si>
    <t>祕典卡巴萊恩：失落的赫米斯7大宇宙法則</t>
  </si>
  <si>
    <t>9789869565363</t>
  </si>
  <si>
    <t>三位隱士</t>
  </si>
  <si>
    <t>143.65</t>
  </si>
  <si>
    <t>做鐵工的人：無極限的生活工法，不被彎折的意志，與鐵共生的男人</t>
  </si>
  <si>
    <t>9789869565349</t>
  </si>
  <si>
    <t>曾文昌</t>
  </si>
  <si>
    <t>半夏</t>
  </si>
  <si>
    <t>9789863584292</t>
  </si>
  <si>
    <t>徐詩婷</t>
  </si>
  <si>
    <t>流雲集 Drifting Clouds</t>
  </si>
  <si>
    <t>9789863585077</t>
  </si>
  <si>
    <t>白家華</t>
  </si>
  <si>
    <t>借鏡德國：毛小孩的神祕力量—從歐美動物輔助治療看台灣動物福利</t>
  </si>
  <si>
    <t>9789863585329</t>
  </si>
  <si>
    <t>劉威良</t>
  </si>
  <si>
    <t>548.38</t>
  </si>
  <si>
    <t>健康滿足（綜合版）</t>
  </si>
  <si>
    <t>9789863584995</t>
  </si>
  <si>
    <t>許漢文</t>
  </si>
  <si>
    <t>基督教啟蒙讀物：最後的爭戰</t>
  </si>
  <si>
    <t>9789863585299</t>
  </si>
  <si>
    <t>平正</t>
  </si>
  <si>
    <t>248.1</t>
  </si>
  <si>
    <t>聽，文化：台灣取樣音源與文化保存的第一本書</t>
  </si>
  <si>
    <t>9789869512107</t>
  </si>
  <si>
    <t>聲樣創意有限公司（白象）</t>
  </si>
  <si>
    <t>黃康寧</t>
  </si>
  <si>
    <t>玩出探索力：66大親子共遊景點</t>
  </si>
  <si>
    <t>9789868707467</t>
  </si>
  <si>
    <t>《遠見》雜誌編輯部</t>
  </si>
  <si>
    <t>教出創造力：未來競爭的起跑點</t>
  </si>
  <si>
    <t>9789863205197</t>
  </si>
  <si>
    <t>下課後，回第2個家</t>
  </si>
  <si>
    <t>9789863203292</t>
  </si>
  <si>
    <t>林讓均</t>
  </si>
  <si>
    <t>她們，好厲害：臺灣之光‧18位女科學家改變世界</t>
  </si>
  <si>
    <t>9789863203407</t>
  </si>
  <si>
    <t>楊泰興，陳建豪，司晏芳</t>
  </si>
  <si>
    <t>翻轉人生的築夢者</t>
  </si>
  <si>
    <t>9789863204572</t>
  </si>
  <si>
    <t>萬蓓琳，顏瑞，林果</t>
  </si>
  <si>
    <t>零距離的溫暖：比家人更貼心的遠傳待客學</t>
  </si>
  <si>
    <t>9789863205814</t>
  </si>
  <si>
    <t>謝其濬</t>
  </si>
  <si>
    <t>陳菊＋高雄人＝高雄學2.0</t>
  </si>
  <si>
    <t>9789869211291</t>
  </si>
  <si>
    <t>王御風，李俊明，季常棣，張筧，許玲瑋 等</t>
  </si>
  <si>
    <t>545.1933</t>
  </si>
  <si>
    <t>「黏」在臺東：12位臺東「心」移民的故事</t>
  </si>
  <si>
    <t>9789868707481</t>
  </si>
  <si>
    <t>嚴淑女，吳秀雲，莊錦棟</t>
  </si>
  <si>
    <t>愛苗栗：文創散散步</t>
  </si>
  <si>
    <t>9789868707443</t>
  </si>
  <si>
    <t>鍾文萍</t>
  </si>
  <si>
    <t>走走日本：橫濱</t>
  </si>
  <si>
    <t>EBK10200011080</t>
  </si>
  <si>
    <t>食‧農：給下一代的風土備忘錄</t>
  </si>
  <si>
    <t>9789869594516</t>
  </si>
  <si>
    <t>游擊文化股份有限公司</t>
  </si>
  <si>
    <t>楊鎮宇</t>
  </si>
  <si>
    <t>430.31</t>
  </si>
  <si>
    <t>柳園攀桂集</t>
  </si>
  <si>
    <t>9789864780655</t>
  </si>
  <si>
    <t>楊君潛</t>
  </si>
  <si>
    <t>並蒂詩教</t>
  </si>
  <si>
    <t>9789864780822</t>
  </si>
  <si>
    <t>徐世澤，張夢機，邱燮友，許清雲，黃坤堯 等</t>
  </si>
  <si>
    <t>831.86</t>
  </si>
  <si>
    <t>聚光燈外：李昂小說論集</t>
  </si>
  <si>
    <t>9789864781027</t>
  </si>
  <si>
    <t>戴華萱</t>
  </si>
  <si>
    <t>湯顯祖研究文獻目錄續編（1996–2016）</t>
  </si>
  <si>
    <t>9789864780884</t>
  </si>
  <si>
    <t>陳美雪</t>
  </si>
  <si>
    <t>017.267</t>
  </si>
  <si>
    <t>先秦學術講學錄（上冊）</t>
  </si>
  <si>
    <t>9789864781133</t>
  </si>
  <si>
    <t>王金凌</t>
  </si>
  <si>
    <t>121.07</t>
  </si>
  <si>
    <t>先秦學術講學錄（下冊）</t>
  </si>
  <si>
    <t>9789864781140</t>
  </si>
  <si>
    <t>民國時期曲學文獻整理研究</t>
  </si>
  <si>
    <t>9789864781171</t>
  </si>
  <si>
    <t>824</t>
  </si>
  <si>
    <t>章法學體系建構歷程</t>
  </si>
  <si>
    <t>9789864781218</t>
  </si>
  <si>
    <t>陳滿銘</t>
  </si>
  <si>
    <t>660</t>
  </si>
  <si>
    <t>802.76</t>
  </si>
  <si>
    <t>亦古亦今之學：古文字與近代學術論稿</t>
  </si>
  <si>
    <t>9789864781225</t>
  </si>
  <si>
    <t>朱歧祥</t>
  </si>
  <si>
    <t>792.207</t>
  </si>
  <si>
    <t>穆斯林中國實業家：著名愛國人士馬忠順傳</t>
  </si>
  <si>
    <t>9789864780525</t>
  </si>
  <si>
    <t>阿布杜拉‧馬孝平</t>
  </si>
  <si>
    <t>相煎</t>
  </si>
  <si>
    <t>9789864780532</t>
  </si>
  <si>
    <t>華平，孝平</t>
  </si>
  <si>
    <t>半百上學堂：北大家書集</t>
  </si>
  <si>
    <t>9789863585787</t>
  </si>
  <si>
    <t>黃敏警</t>
  </si>
  <si>
    <t>856.286</t>
  </si>
  <si>
    <t>草木有情</t>
  </si>
  <si>
    <t>9789863585701</t>
  </si>
  <si>
    <t>徐滄淇</t>
  </si>
  <si>
    <t>擁抱每一個生命：一位社會記者的告白</t>
  </si>
  <si>
    <t>9789863585350</t>
  </si>
  <si>
    <t>楊逸宏</t>
  </si>
  <si>
    <t>857.85</t>
  </si>
  <si>
    <t>走讀台灣風土</t>
  </si>
  <si>
    <t>4712771027150</t>
  </si>
  <si>
    <t>世界太boring，我們需要文藝復興：9位骨灰級的藝術大咖，幫你腦袋內建西洋藝術史</t>
  </si>
  <si>
    <t>9789579072069</t>
  </si>
  <si>
    <t>顧爺</t>
  </si>
  <si>
    <t>940.7</t>
  </si>
  <si>
    <t>好設計，讓你的家多2坪：不浪費裝修術！賺空間、省設備、少建材、家具一件就搞定，還能無中生有多一房</t>
  </si>
  <si>
    <t>9789579072052</t>
  </si>
  <si>
    <t>尤噠唯</t>
  </si>
  <si>
    <t>就又去了京都：Milly的關西旅宿、美食、微醺與小旅之美好片段</t>
  </si>
  <si>
    <t>9789864930814</t>
  </si>
  <si>
    <t>鹽淚：巴特羅醫生眼裡的難民血淚</t>
  </si>
  <si>
    <t>9789869551939</t>
  </si>
  <si>
    <t>皮耶多‧巴特羅（PietroBartolo），麗迪雅‧提洛塔（Lidia Tilotta）</t>
  </si>
  <si>
    <t>784.58</t>
  </si>
  <si>
    <t>一個人的好天氣：人生是趟華麗的冒險</t>
  </si>
  <si>
    <t>9789863733997</t>
  </si>
  <si>
    <t>瑞莎</t>
  </si>
  <si>
    <t>看世界名著學英文：英語閱讀力，從「經典」開始</t>
  </si>
  <si>
    <t>9789865962579</t>
  </si>
  <si>
    <t>威廉‧H‧麥加菲</t>
  </si>
  <si>
    <t>嬰幼兒營養膳食手冊</t>
  </si>
  <si>
    <t>4715443040761</t>
  </si>
  <si>
    <t>李婉萍，葉庭吉，鍾碧芳</t>
  </si>
  <si>
    <t>解答懷孕坐月子不知道的事：好孕＆養胎應該這樣做</t>
  </si>
  <si>
    <t>4715443040754</t>
  </si>
  <si>
    <t>林禹宏</t>
  </si>
  <si>
    <t>紫微斗數一點通：時來運轉‧趨吉避凶</t>
  </si>
  <si>
    <t>9789864139576</t>
  </si>
  <si>
    <t>姚本軍</t>
  </si>
  <si>
    <t>10大健康食物排行榜</t>
  </si>
  <si>
    <t>4715443040945</t>
  </si>
  <si>
    <t>陳進明，李克成，蕭千祐</t>
  </si>
  <si>
    <t>台灣菜料理王：115道台灣菜做菜祕訣大公開</t>
  </si>
  <si>
    <t>4715443040983</t>
  </si>
  <si>
    <t>李鴻章，劉政良，張志賢</t>
  </si>
  <si>
    <t>中式麵點料理王：116道中式麵食＆點心，製作過程全圖解</t>
  </si>
  <si>
    <t>4715443041003</t>
  </si>
  <si>
    <t>月子餐料理王：170道產後坐月子滋補養身佳餚</t>
  </si>
  <si>
    <t>4715443040990</t>
  </si>
  <si>
    <t>梁慧敏</t>
  </si>
  <si>
    <t>電鍋料理王：120道電鍋好菜‧蒸煮燒燜一鍋搞定</t>
  </si>
  <si>
    <t>4715443040600</t>
  </si>
  <si>
    <t>教育專業科目歷年試題解題聖經（十一）106年度</t>
  </si>
  <si>
    <t>9789864872244</t>
  </si>
  <si>
    <t>520.22</t>
  </si>
  <si>
    <t>職業安全衛生管理乙級技術士學術科經典試題總彙</t>
  </si>
  <si>
    <t>9789864872879</t>
  </si>
  <si>
    <t>黃金銀，王森</t>
  </si>
  <si>
    <t>國貿業務丙級技能檢定學術科考照秘笈</t>
  </si>
  <si>
    <t>9789864873043</t>
  </si>
  <si>
    <t>吳怡萱</t>
  </si>
  <si>
    <t>558.7</t>
  </si>
  <si>
    <t>9789864873036</t>
  </si>
  <si>
    <t>心理學概要（包括諮商與輔導）嚴選題庫</t>
  </si>
  <si>
    <t>9789864872282</t>
  </si>
  <si>
    <t>170.22</t>
  </si>
  <si>
    <t>工程力學焦點速成＋高分題庫</t>
  </si>
  <si>
    <t>9789864872510</t>
  </si>
  <si>
    <t>良運</t>
  </si>
  <si>
    <t>440.13</t>
  </si>
  <si>
    <t>機械原理（含概要大意）實力養成</t>
  </si>
  <si>
    <t>9789864871858</t>
  </si>
  <si>
    <t>許俊凱，周家輔</t>
  </si>
  <si>
    <t>法學緒論（法律常識）高分題庫</t>
  </si>
  <si>
    <t>9789864872664</t>
  </si>
  <si>
    <t>580.22</t>
  </si>
  <si>
    <t>政府採購法重點統整＋高分題庫</t>
  </si>
  <si>
    <t>9789864872381</t>
  </si>
  <si>
    <t>564.72023</t>
  </si>
  <si>
    <t>初階外匯人員專業測驗一次過關</t>
  </si>
  <si>
    <t>9789864872862</t>
  </si>
  <si>
    <t>563.2022</t>
  </si>
  <si>
    <t>衍生性金融商品銷售人員資格測驗一次過關</t>
  </si>
  <si>
    <t>9789864871827</t>
  </si>
  <si>
    <t>可樂</t>
  </si>
  <si>
    <t>561.7</t>
  </si>
  <si>
    <t>一次考上銀行：貨幣銀行學（含概要）</t>
  </si>
  <si>
    <t>9789864872640</t>
  </si>
  <si>
    <t>一次考上銀行：票據法（含概要）</t>
  </si>
  <si>
    <t>9789864873197</t>
  </si>
  <si>
    <t>一次考上銀行：銀行法（含概要）</t>
  </si>
  <si>
    <t>9789864872909</t>
  </si>
  <si>
    <t>一次考上銀行：國文</t>
  </si>
  <si>
    <t>9789864872732</t>
  </si>
  <si>
    <t>記帳相關法規概要（包含記帳士法、商業會計法及商業會計處理準則）</t>
  </si>
  <si>
    <t>9789864872718</t>
  </si>
  <si>
    <t>不動產估價概要［條文解析＋歷屆試題］</t>
  </si>
  <si>
    <t>9789864872886</t>
  </si>
  <si>
    <t>林筱涵</t>
  </si>
  <si>
    <t>犯罪學（含概要）［題庫＋歷年試題］</t>
  </si>
  <si>
    <t>9789864872756</t>
  </si>
  <si>
    <t>王強，宇寧</t>
  </si>
  <si>
    <t>548.5</t>
  </si>
  <si>
    <t>會計學（含概要）歷屆試題精闢新解</t>
  </si>
  <si>
    <t>9789864872763</t>
  </si>
  <si>
    <t>千華會計名師群</t>
  </si>
  <si>
    <t>495.1022</t>
  </si>
  <si>
    <t>最新題型國文：測驗精鍊（包括公文格式用語）</t>
  </si>
  <si>
    <t>9789864873142</t>
  </si>
  <si>
    <t>社會工作大意</t>
  </si>
  <si>
    <t>9789864873166</t>
  </si>
  <si>
    <t>公民［初等特考］</t>
  </si>
  <si>
    <t>9789864873210</t>
  </si>
  <si>
    <t>邱樺</t>
  </si>
  <si>
    <t>為什麼你不能一次訪談就成交？：TOP SALES張瓊月連續25年業績第一名的祕密</t>
  </si>
  <si>
    <t>9789865899301</t>
  </si>
  <si>
    <t>黃梓函</t>
  </si>
  <si>
    <t>宇宙讀書會32年操作實務</t>
  </si>
  <si>
    <t>9789869231077</t>
  </si>
  <si>
    <t>528.18</t>
  </si>
  <si>
    <t>此生必看百老匯名劇：EZ TALK總編嚴選特刊【有聲】</t>
  </si>
  <si>
    <t>9789862486719</t>
  </si>
  <si>
    <t>最啟發人心的英文得獎感言：EZ TALK總編嚴選特刊【有聲】</t>
  </si>
  <si>
    <t>9789862487051</t>
  </si>
  <si>
    <t>帶媽媽去旅行Ⅲ：中南美洲我們來了，這次的隊長是老媽！</t>
  </si>
  <si>
    <t>9789862486764</t>
  </si>
  <si>
    <t>太源晙</t>
  </si>
  <si>
    <t>755.09</t>
  </si>
  <si>
    <t>你不必完美，但可以更有魅力：喚醒內在力量、展現外在風采的練習</t>
  </si>
  <si>
    <t>9789862486818</t>
  </si>
  <si>
    <t>艾娃‧弗德列克（Eva Wlodarek）</t>
  </si>
  <si>
    <t>讀懂孩子情緒，100個「聽說問答」關鍵對話練習</t>
  </si>
  <si>
    <t>9789862487105</t>
  </si>
  <si>
    <t>朵莉絲‧赫克莫斯（Doris Heueck-Mauß）</t>
  </si>
  <si>
    <t>環島讀冊：心中那間獨立書店，改變街區的閱讀力量</t>
  </si>
  <si>
    <t>9789862486955</t>
  </si>
  <si>
    <t>曹馥年</t>
  </si>
  <si>
    <t>3天搞懂股票買賣（最新增訂版）：「靠股票賺錢」需要的常識，一問一答間，輕鬆學起來！</t>
  </si>
  <si>
    <t>9789862486795</t>
  </si>
  <si>
    <t>大退潮：全球化的終結與歷史的回歸</t>
  </si>
  <si>
    <t>9789862487013</t>
  </si>
  <si>
    <t>史帝芬‧金恩（Stephen D. King）</t>
  </si>
  <si>
    <t>接受說服的勇氣：看成功領導人如何改變信念，影響全世界</t>
  </si>
  <si>
    <t>9789862486702</t>
  </si>
  <si>
    <t>艾爾‧彼坦帕里（Al Pittampalli）</t>
  </si>
  <si>
    <t>跟連鎖經營顧問學開店創業：從創業實戰到成立連鎖品牌總部的經營管理學</t>
  </si>
  <si>
    <t>9789862487044</t>
  </si>
  <si>
    <t>陳其華</t>
  </si>
  <si>
    <t>498.93</t>
  </si>
  <si>
    <t>說話不能太白癡2：社交達人速成班開課囉！</t>
  </si>
  <si>
    <t>9789864110612</t>
  </si>
  <si>
    <t>讓你受歡迎到嫑嫑的人際關係學</t>
  </si>
  <si>
    <t>9789864110636</t>
  </si>
  <si>
    <t>賴志清</t>
  </si>
  <si>
    <t>說服的力量</t>
  </si>
  <si>
    <t>9789864110643</t>
  </si>
  <si>
    <t>顏立新</t>
  </si>
  <si>
    <t>最到位的上班族星座╳血型╳九型人格書</t>
  </si>
  <si>
    <t>9789864110650</t>
  </si>
  <si>
    <t>芭芭拉‧馮</t>
  </si>
  <si>
    <t>忠言不逆耳：掌握最恰當的說話技巧與時機</t>
  </si>
  <si>
    <t>9789864110674</t>
  </si>
  <si>
    <t>談判與溝通「菁英培訓版」</t>
  </si>
  <si>
    <t>9789864530656</t>
  </si>
  <si>
    <t>490.17</t>
  </si>
  <si>
    <t>不做第一，只做唯一：最具魅力的職場特質</t>
  </si>
  <si>
    <t>9789864530663</t>
  </si>
  <si>
    <t>顏宏駿</t>
  </si>
  <si>
    <t>人力資源管理 「菁英培訓版」</t>
  </si>
  <si>
    <t>9789864530687</t>
  </si>
  <si>
    <t>Good morning很｛生活｝的英語【有聲】</t>
  </si>
  <si>
    <t>9789865753948</t>
  </si>
  <si>
    <t>最簡單實用的日語50音【有聲】</t>
  </si>
  <si>
    <t>9789865753955</t>
  </si>
  <si>
    <t>求職面試必備英文【有聲】</t>
  </si>
  <si>
    <t>9789865753962</t>
  </si>
  <si>
    <t>超簡單的旅遊英語【有聲】</t>
  </si>
  <si>
    <t>9789865753979</t>
  </si>
  <si>
    <t>［日檢］單字＋文法一本搞定N4【有聲】</t>
  </si>
  <si>
    <t>9789865753986</t>
  </si>
  <si>
    <t>原來是醬子！好奇寶寶的冷知識全知道</t>
  </si>
  <si>
    <t>9789869546416</t>
  </si>
  <si>
    <t>林樵勳</t>
  </si>
  <si>
    <t>超級冷知識：為什麼雞皮疙瘩不會出現在臉上？</t>
  </si>
  <si>
    <t>9789869546430</t>
  </si>
  <si>
    <t>李曼尼</t>
  </si>
  <si>
    <t>好冷好冷的知識生活大百科：為什麼北極沒有企鵝？</t>
  </si>
  <si>
    <t>9789869546447</t>
  </si>
  <si>
    <t>熊育林</t>
  </si>
  <si>
    <t>遊學必備1500句【有聲】</t>
  </si>
  <si>
    <t>9789869608602</t>
  </si>
  <si>
    <t>圖解制霸國文（包括公文格式用語）</t>
  </si>
  <si>
    <t>9789578859173</t>
  </si>
  <si>
    <t>蘇廷羽，王良止</t>
  </si>
  <si>
    <t>圖解制霸衛生法規與倫理（含概要）</t>
  </si>
  <si>
    <t>9789862659175</t>
  </si>
  <si>
    <t>王致勝</t>
  </si>
  <si>
    <t>412.21</t>
  </si>
  <si>
    <t>圖解制霸衛生行政學（含概要）</t>
  </si>
  <si>
    <t>9789862659090</t>
  </si>
  <si>
    <t>412.1</t>
  </si>
  <si>
    <t>衛生法規與倫理（含概要）搶分題庫</t>
  </si>
  <si>
    <t>9789869416351</t>
  </si>
  <si>
    <t>412.21022</t>
  </si>
  <si>
    <t>衛生行政學（含概要）搶分題庫</t>
  </si>
  <si>
    <t>9789869416344</t>
  </si>
  <si>
    <t>不花錢學筆記王Know–How</t>
  </si>
  <si>
    <t>9789862659182</t>
  </si>
  <si>
    <t>王乾任</t>
  </si>
  <si>
    <t>019.2</t>
  </si>
  <si>
    <t>領導就要懂心理學：職場領導的50堂必修課</t>
  </si>
  <si>
    <t>9789579121170</t>
  </si>
  <si>
    <t>藤田耕司</t>
  </si>
  <si>
    <t>496.014</t>
  </si>
  <si>
    <t>當代藝術，如何看？：藝術家觀點，帶你看懂作品</t>
  </si>
  <si>
    <t>9789579072021</t>
  </si>
  <si>
    <t>大衛‧薩利（David Salle）</t>
  </si>
  <si>
    <t>900</t>
  </si>
  <si>
    <t>漂鳥集</t>
  </si>
  <si>
    <t>9789864892532</t>
  </si>
  <si>
    <t>泰戈爾（Rabindranath Tagore）</t>
  </si>
  <si>
    <t>867.51</t>
  </si>
  <si>
    <t>善用悲觀的力量：培養逆境抵抗力，放大簡單的快樂，打破不滿足的慣性</t>
  </si>
  <si>
    <t>9789864892150</t>
  </si>
  <si>
    <t>威廉‧歐文（William B. Irvine）</t>
  </si>
  <si>
    <t>異見者：致憤怒的青年世代</t>
  </si>
  <si>
    <t>9789864892525</t>
  </si>
  <si>
    <t>克里斯多福‧希鈞斯（Christopher Hitchens）</t>
  </si>
  <si>
    <t>541.62</t>
  </si>
  <si>
    <t>高等教育機構行銷管理與實務</t>
  </si>
  <si>
    <t>9789865624385</t>
  </si>
  <si>
    <t>國立臺灣師範大學出版中心</t>
  </si>
  <si>
    <t>陳玉娟</t>
  </si>
  <si>
    <t>525</t>
  </si>
  <si>
    <t>小王子艾米爾</t>
  </si>
  <si>
    <t>9789866436918</t>
  </si>
  <si>
    <t>保險學概要</t>
  </si>
  <si>
    <t>9789869579636</t>
  </si>
  <si>
    <t>廖述源，呂慧芬，曾文瑞，鄭鎮樑</t>
  </si>
  <si>
    <t>保險經營概要</t>
  </si>
  <si>
    <t>9789869579629</t>
  </si>
  <si>
    <t>廖述源，郝充仁</t>
  </si>
  <si>
    <t>保險實務概要</t>
  </si>
  <si>
    <t>9789869579643</t>
  </si>
  <si>
    <t>呂廣盛，高棟梁，許乃權，許良賢，陳錦祥 等</t>
  </si>
  <si>
    <t>保險行銷概要</t>
  </si>
  <si>
    <t>9789869579667</t>
  </si>
  <si>
    <t>范姜肱，姜麗智，陳世岳，鄭鎮樑</t>
  </si>
  <si>
    <t>風險管理概要</t>
  </si>
  <si>
    <t>9789869579650</t>
  </si>
  <si>
    <t>汪芳國，呂慧芬，劉慶庭，謝秀宜</t>
  </si>
  <si>
    <t>494.6</t>
  </si>
  <si>
    <t>大人變了，孩子就會不一樣：世代溝通新模式</t>
  </si>
  <si>
    <t>9789863203827</t>
  </si>
  <si>
    <t>柳林緯，趙如璽</t>
  </si>
  <si>
    <t>哇賽！心理學：48個超實用建議，讓你從此告別卡卡人生</t>
  </si>
  <si>
    <t>9789869211673</t>
  </si>
  <si>
    <t>蔡宇哲</t>
  </si>
  <si>
    <t>創造：《個人與群體事件的本質》讀書會3</t>
  </si>
  <si>
    <t>9789869417808</t>
  </si>
  <si>
    <t>許添盛，李宜懃</t>
  </si>
  <si>
    <t>行動：《個人與群體事件的本質》讀書會4</t>
  </si>
  <si>
    <t>9789869417839</t>
  </si>
  <si>
    <t>中年叛逆：走出生命框架，活出精采人生</t>
  </si>
  <si>
    <t>9789869417846</t>
  </si>
  <si>
    <t>張鴻玉</t>
  </si>
  <si>
    <t>心心相印：我的心靈經驗與修行</t>
  </si>
  <si>
    <t>9789869417822</t>
  </si>
  <si>
    <t>陳嘉珍</t>
  </si>
  <si>
    <t>一本漫畫學會生活日語會話【有聲】</t>
  </si>
  <si>
    <t>9789862486641</t>
  </si>
  <si>
    <t>最有趣的日語會話課本【有聲】</t>
  </si>
  <si>
    <t>9789862486597</t>
  </si>
  <si>
    <t>李珠鉉</t>
  </si>
  <si>
    <t>人生下半場，更精彩：4把金鑰重啟人生，創造美好老後</t>
  </si>
  <si>
    <t>9789862485859</t>
  </si>
  <si>
    <t>肯‧布蘭查（Ken Blanchard），莫頓‧謝維茲（Morton Shaevitz）</t>
  </si>
  <si>
    <t>544.83</t>
  </si>
  <si>
    <t>拼湊夢想：貧民區高中生逆襲麻省理工學院菁英</t>
  </si>
  <si>
    <t>9789862485644</t>
  </si>
  <si>
    <t>約書亞‧戴維斯（Joshua Davis）</t>
  </si>
  <si>
    <t>448.992</t>
  </si>
  <si>
    <t>東京ART小旅：帶你穿梭於美術館、展覽空間，彙整美感爆炸的必訪店鋪</t>
  </si>
  <si>
    <t>9789864930838</t>
  </si>
  <si>
    <t>蔡欣妤（Deby Tsai）</t>
  </si>
  <si>
    <t>如果我的父母是控制狂：如何設定界線、自我修復、終止控制的世代循環？</t>
  </si>
  <si>
    <t>9789579001380</t>
  </si>
  <si>
    <t>丹‧紐哈斯（Dan Neuharth）</t>
  </si>
  <si>
    <t>十二星座居家配色寶典：為全家人的身心靈、事業、愛情、人際關係補給正能量</t>
  </si>
  <si>
    <t>9789579001519</t>
  </si>
  <si>
    <t>米凱爾‧布宏恩（Michael Braun）</t>
  </si>
  <si>
    <t>行進！鐵支路：日治臺灣鐵道寫真</t>
  </si>
  <si>
    <t>9789869615631</t>
  </si>
  <si>
    <t>鄧志忠</t>
  </si>
  <si>
    <t>557.26339</t>
  </si>
  <si>
    <t>基金革命</t>
  </si>
  <si>
    <t>9789865812560</t>
  </si>
  <si>
    <t>商訊文化事業股份有限公司</t>
  </si>
  <si>
    <t>劉宗聖，黃漢昌</t>
  </si>
  <si>
    <t>名醫教您：以食為藥是最聰明的治癌新觀念</t>
  </si>
  <si>
    <t>9789865756765</t>
  </si>
  <si>
    <t>何裕民</t>
  </si>
  <si>
    <t>免疫系統：解開身體自癒本能的簡單良方</t>
  </si>
  <si>
    <t>9789865756772</t>
  </si>
  <si>
    <t>傅治梁</t>
  </si>
  <si>
    <t>429</t>
  </si>
  <si>
    <t>說話術：破解口才出眾之謎，引導口才訓練之道</t>
  </si>
  <si>
    <t>9789865756819</t>
  </si>
  <si>
    <t>柯建華</t>
  </si>
  <si>
    <t>讓您一生相伴的49本好書</t>
  </si>
  <si>
    <t>9789865756802</t>
  </si>
  <si>
    <t>王芳郁</t>
  </si>
  <si>
    <t>人生體驗：生命中不可遺憾的49件事</t>
  </si>
  <si>
    <t>9789865756796</t>
  </si>
  <si>
    <t>正義的激情</t>
  </si>
  <si>
    <t>9789864370443</t>
  </si>
  <si>
    <t>吳豐維</t>
  </si>
  <si>
    <t>無懼的19歲：跨越18﹐300公里追逐異夢</t>
  </si>
  <si>
    <t>9789865812591</t>
  </si>
  <si>
    <t>高祐晴</t>
  </si>
  <si>
    <t>758.29</t>
  </si>
  <si>
    <t>時尚達人一定要懂的世界名牌</t>
  </si>
  <si>
    <t>9789869599658</t>
  </si>
  <si>
    <t>雅妮</t>
  </si>
  <si>
    <t>496.14</t>
  </si>
  <si>
    <t>用人識人的古今觀人術</t>
  </si>
  <si>
    <t>9789869599634</t>
  </si>
  <si>
    <t>李津</t>
  </si>
  <si>
    <t>一用就靈：肩頸腰腿痛的簡單特效按摩</t>
  </si>
  <si>
    <t>9789869599641</t>
  </si>
  <si>
    <t>孫呈祥</t>
  </si>
  <si>
    <t>至理名言：44句生命中最重要的智慧語</t>
  </si>
  <si>
    <t>9789869599696</t>
  </si>
  <si>
    <t>李育達</t>
  </si>
  <si>
    <t>永遠在他方：施叔青的「台灣三部曲」</t>
  </si>
  <si>
    <t>9789869551922</t>
  </si>
  <si>
    <t>林芳玫</t>
  </si>
  <si>
    <t>文化與失序：評論政治與社會之論文</t>
  </si>
  <si>
    <t>9789869408950</t>
  </si>
  <si>
    <t>馬修‧阿諾德（Matthew Arnold）</t>
  </si>
  <si>
    <t>541.26</t>
  </si>
  <si>
    <t>哇！原來這也是合作社：大不列顛COOP踏查報告</t>
  </si>
  <si>
    <t>9789869408912</t>
  </si>
  <si>
    <t>陳怡樺</t>
  </si>
  <si>
    <t>559.06441</t>
  </si>
  <si>
    <t>哲學的力量：踏進法國高中教室‧想想台灣哲學教育</t>
  </si>
  <si>
    <t>9789869255875</t>
  </si>
  <si>
    <t>羅惠珍</t>
  </si>
  <si>
    <t>103</t>
  </si>
  <si>
    <t>通往知識的祕徑：通識課程理念與教學實務</t>
  </si>
  <si>
    <t>9789869255844</t>
  </si>
  <si>
    <t>通識在線雜誌社</t>
  </si>
  <si>
    <t>525.3307</t>
  </si>
  <si>
    <t>二十一世紀共慘世界：全球化的政治哲學省思</t>
  </si>
  <si>
    <t>9789869255837</t>
  </si>
  <si>
    <t>梁文韜</t>
  </si>
  <si>
    <t>570.9</t>
  </si>
  <si>
    <t>社造公民的記憶地圖</t>
  </si>
  <si>
    <t>9789869255806</t>
  </si>
  <si>
    <t>洪德仁</t>
  </si>
  <si>
    <t>科學探究的教學與評量之理論與實務</t>
  </si>
  <si>
    <t>9789860557732</t>
  </si>
  <si>
    <t>高慧蓮</t>
  </si>
  <si>
    <t>523.36</t>
  </si>
  <si>
    <t>萬年傳統全新感受：Vuculj排灣族傳統科學智慧探究</t>
  </si>
  <si>
    <t>9789860557725</t>
  </si>
  <si>
    <t>高慧蓮，朱志強，林梅君，莊智惠，張祈良</t>
  </si>
  <si>
    <t>食安風暴下的農產品標章制度：臺灣實證研究</t>
  </si>
  <si>
    <t>9789864371129</t>
  </si>
  <si>
    <t>王宏文，宮文祥，陳淳文</t>
  </si>
  <si>
    <t>431.2511</t>
  </si>
  <si>
    <t>衛生史新視野：華人社會的身體、疾病與歷史論述</t>
  </si>
  <si>
    <t>9789864371112</t>
  </si>
  <si>
    <t>劉士永，張仲民，甄橙，陳康芬，皮國立 等</t>
  </si>
  <si>
    <t>412.092</t>
  </si>
  <si>
    <t>半生戎馬一世情</t>
  </si>
  <si>
    <t>9789863584841</t>
  </si>
  <si>
    <t>李壽香</t>
  </si>
  <si>
    <t>菜醫師，借過一下：克拉克見習日誌</t>
  </si>
  <si>
    <t>9789863584551</t>
  </si>
  <si>
    <t>九日</t>
  </si>
  <si>
    <t>410.3</t>
  </si>
  <si>
    <t>解圍之神</t>
  </si>
  <si>
    <t>9789863585497</t>
  </si>
  <si>
    <t>楊秉卓</t>
  </si>
  <si>
    <t>跨越過百年天擇：優活自體DNA</t>
  </si>
  <si>
    <t>9789863585510</t>
  </si>
  <si>
    <t>宇科</t>
  </si>
  <si>
    <t>362.1</t>
  </si>
  <si>
    <t>身體語言，懂這些就夠了。：12種場合，57種狀況，掌握訣竅讓你在職場無往不利</t>
  </si>
  <si>
    <t>9789579121279</t>
  </si>
  <si>
    <t>裘凱宇，楊嘉玲</t>
  </si>
  <si>
    <t>用故事教孩子邏輯思考力：哲學教授親自編寫故事讀本＋29堂邏輯思考課</t>
  </si>
  <si>
    <t>9789864892518</t>
  </si>
  <si>
    <t>伊凡‧伊里奇之死：死亡文學巔峰神作，寫給每一個人的生命之書</t>
  </si>
  <si>
    <t>9789864892570</t>
  </si>
  <si>
    <t>列夫‧托爾斯泰（Лев Николаевич Толстой）</t>
  </si>
  <si>
    <t>操偶讀心術：就靠這招說服你</t>
  </si>
  <si>
    <t>9789869410939</t>
  </si>
  <si>
    <t>尼克‧寇連達（Nick Kolenda）</t>
  </si>
  <si>
    <t>NEW TOEIC必考的單字：突破900分【有聲】</t>
  </si>
  <si>
    <t>9789869207607</t>
  </si>
  <si>
    <t>張小怡，Johnson MO</t>
  </si>
  <si>
    <t>義犬：重情家犬刻骨銘心的艱難抉擇，人犬之間感人肺腑的曠世傳奇</t>
  </si>
  <si>
    <t>9789577353795</t>
  </si>
  <si>
    <t>金曾豪</t>
  </si>
  <si>
    <t>少年達：艾爾的抉擇</t>
  </si>
  <si>
    <t>9789863585572</t>
  </si>
  <si>
    <t>H. Amaz</t>
  </si>
  <si>
    <t>巴黎夢，夢白日</t>
  </si>
  <si>
    <t>9789863584865</t>
  </si>
  <si>
    <t>陳志恆</t>
  </si>
  <si>
    <t>他是她的一場宿命：一個香港警察浪跡台灣之旅</t>
  </si>
  <si>
    <t>9789863584933</t>
  </si>
  <si>
    <t>張權</t>
  </si>
  <si>
    <t>店長公神奇經營寶典：原來做生意這樣簡單</t>
  </si>
  <si>
    <t>9789863584414</t>
  </si>
  <si>
    <t>徐靖普</t>
  </si>
  <si>
    <t>一發合格！我的33堂日語文法課：前進N1篇【有聲】</t>
  </si>
  <si>
    <t>9789862487150</t>
  </si>
  <si>
    <t>林士鈞</t>
  </si>
  <si>
    <t>林老師日語診所：33個文法必解痛點【有聲】</t>
  </si>
  <si>
    <t>9789862486290</t>
  </si>
  <si>
    <t>我們的，離島風物詩：絕美祕境、溫煦人情、好食風光，尋訪純淨的島嶼映像</t>
  </si>
  <si>
    <t>9789862487174</t>
  </si>
  <si>
    <t>許傑</t>
  </si>
  <si>
    <t>3天搞懂外幣投資：跟著外幣致富，打敗定存，資產不縮水！</t>
  </si>
  <si>
    <t>9789862487167</t>
  </si>
  <si>
    <t>我的混亂，我的自相矛盾，和我的無限創意：讓創造力源源不絕的10個密碼</t>
  </si>
  <si>
    <t>9789862486573</t>
  </si>
  <si>
    <t>史考特‧巴瑞‧考夫曼（Scott Barry Kaufman），卡洛琳‧葛雷高爾（Carolyn Gregoire）</t>
  </si>
  <si>
    <t>如果父母老後難相處：如何陪伴他們走過晚年，而不再彼此傷害？</t>
  </si>
  <si>
    <t>9789579001526</t>
  </si>
  <si>
    <t>葛瑞絲‧雷堡（Grace Lebow），芭芭拉‧肯恩（Barbara Kane）</t>
  </si>
  <si>
    <t>上帝之柱</t>
  </si>
  <si>
    <t>9789864892334</t>
  </si>
  <si>
    <t>肯‧弗雷特（Ken Follett）</t>
  </si>
  <si>
    <t>非一般的旅行：寻找失落的西夏文明（中国宁夏与甘肃）</t>
  </si>
  <si>
    <t>9789811162039</t>
  </si>
  <si>
    <t>224.517</t>
  </si>
  <si>
    <t>TED沒教的經營管理課：6大領導救生圈</t>
  </si>
  <si>
    <t>9789869025553</t>
  </si>
  <si>
    <t>張平康（Thomas P. Chang）</t>
  </si>
  <si>
    <t>古典詩詞風景：一起漫步在唐至清代一〇二首詩詞山水間</t>
  </si>
  <si>
    <t>9789869279055</t>
  </si>
  <si>
    <t>拓犮黎的歷史（節譯本1附冊）：手稿插畫</t>
  </si>
  <si>
    <t>9789869434386</t>
  </si>
  <si>
    <t>徐氏書坊企業有限公司</t>
  </si>
  <si>
    <t>徐正祥</t>
  </si>
  <si>
    <t>735.01</t>
  </si>
  <si>
    <t>武陵縱歌：人類學田野筆記</t>
  </si>
  <si>
    <t>9789864371136</t>
  </si>
  <si>
    <t>田阡</t>
  </si>
  <si>
    <t>390.92</t>
  </si>
  <si>
    <t>書法</t>
  </si>
  <si>
    <t>9789864370276</t>
  </si>
  <si>
    <t>邱振中</t>
  </si>
  <si>
    <t>942.07</t>
  </si>
  <si>
    <t>慢性腎臟病及其合併症：治療與照護手冊</t>
  </si>
  <si>
    <t>9789864371389</t>
  </si>
  <si>
    <t>王守玠，王奕山，王淑麗，王舒民，何永和 等</t>
  </si>
  <si>
    <t>法醫師法：催生與革新</t>
  </si>
  <si>
    <t>9789864371464</t>
  </si>
  <si>
    <t>邱清華</t>
  </si>
  <si>
    <t>589.56</t>
  </si>
  <si>
    <t>看故事學管理Ⅱ：EMBA也可以這樣輕鬆讀</t>
  </si>
  <si>
    <t>9789866254727</t>
  </si>
  <si>
    <t>陳念南</t>
  </si>
  <si>
    <t>魅力絲巾：史上最潮時尚繫法158例</t>
  </si>
  <si>
    <t>9789577353818</t>
  </si>
  <si>
    <t>郝建美，劉天卓</t>
  </si>
  <si>
    <t>423.45</t>
  </si>
  <si>
    <t>舌尖上的中國：古鎮篇</t>
  </si>
  <si>
    <t>9789577353955</t>
  </si>
  <si>
    <t>夢芝</t>
  </si>
  <si>
    <t>京劇小生的水袖功及扇子功【有聲】</t>
  </si>
  <si>
    <t>9789860513240</t>
  </si>
  <si>
    <t>國立臺灣戲曲學院</t>
  </si>
  <si>
    <t>曹復永，萬裕民</t>
  </si>
  <si>
    <t>982.22</t>
  </si>
  <si>
    <t>因為愛，所以有了黑眼圈：生孩子前一定要知道的12件事</t>
  </si>
  <si>
    <t>9789869211680</t>
  </si>
  <si>
    <t>蓋瑞‧巧門，香凝‧沃登</t>
  </si>
  <si>
    <t>244.99</t>
  </si>
  <si>
    <t>老爸的笑聲</t>
  </si>
  <si>
    <t>9789869439954</t>
  </si>
  <si>
    <t>卡洛斯‧卜婁杉（Carlos Bulosan）</t>
  </si>
  <si>
    <t>868.657</t>
  </si>
  <si>
    <t>六月悲風：往事記憶三部曲之二</t>
  </si>
  <si>
    <t>9789869493895</t>
  </si>
  <si>
    <t>王繼</t>
  </si>
  <si>
    <t>人間失格</t>
  </si>
  <si>
    <t>9789864892662</t>
  </si>
  <si>
    <t>《魚躍龍門：穿越時空界限》穿圈教材教法【有聲】</t>
  </si>
  <si>
    <t>9789860517804</t>
  </si>
  <si>
    <t>陳碧涵，陳俊安，陳儒文，田國華</t>
  </si>
  <si>
    <t>991.91</t>
  </si>
  <si>
    <t>公文寫作指南</t>
  </si>
  <si>
    <t>9789861441665</t>
  </si>
  <si>
    <t>國小教師檢定數學能力測驗通關寶典</t>
  </si>
  <si>
    <t>9789864873494</t>
  </si>
  <si>
    <t>舒淮</t>
  </si>
  <si>
    <t>國小類教師檢定通關寶典（重點整理＋模擬試題＋歷年試題解析）</t>
  </si>
  <si>
    <t>9789864873425</t>
  </si>
  <si>
    <t>中學類教師檢定通關寶典（重點整理＋模擬試題＋歷年試題解析）</t>
  </si>
  <si>
    <t>9789864873432</t>
  </si>
  <si>
    <t>就業服務乙級技能檢定學術科考照祕笈</t>
  </si>
  <si>
    <t>9789864873449</t>
  </si>
  <si>
    <t>珍妮</t>
  </si>
  <si>
    <t>稅務相關法規概要（包括所得稅法、稅捐稽徵法、加值型及非加值型）</t>
  </si>
  <si>
    <t>9789864873203</t>
  </si>
  <si>
    <t>方君</t>
  </si>
  <si>
    <t>會計學概要［主題式題庫＋歷年試題］</t>
  </si>
  <si>
    <t>9789864873326</t>
  </si>
  <si>
    <t>稅務相關法規概要［主題式題庫＋歷年試題］</t>
  </si>
  <si>
    <t>9789864873401</t>
  </si>
  <si>
    <t>租稅申報實務［主題式題庫＋歷年試題］</t>
  </si>
  <si>
    <t>9789864873111</t>
  </si>
  <si>
    <t>會計學概要（含國際會計準則IFRS）</t>
  </si>
  <si>
    <t>9789864873012</t>
  </si>
  <si>
    <t>租稅申報實務</t>
  </si>
  <si>
    <t>9789864873029</t>
  </si>
  <si>
    <t>散裝船經營學：理論與實務</t>
  </si>
  <si>
    <t>9789577486424</t>
  </si>
  <si>
    <t>陳永順</t>
  </si>
  <si>
    <t>557.43</t>
  </si>
  <si>
    <t>小手大創客：IoT、Android和Surveillance專案設計</t>
  </si>
  <si>
    <t>9789869336611</t>
  </si>
  <si>
    <t>愛蕊科技有限公司（白象）</t>
  </si>
  <si>
    <t>鄭一鴻</t>
  </si>
  <si>
    <t>不要只學英文，重灌你的頭腦</t>
  </si>
  <si>
    <t>9789869333009</t>
  </si>
  <si>
    <t>卿格立師有限公司（白象）</t>
  </si>
  <si>
    <t>Dr. Chinglish</t>
  </si>
  <si>
    <t>用色彩創造歷史：獻麒紡織染整心路</t>
  </si>
  <si>
    <t>9789869453202</t>
  </si>
  <si>
    <t>獻麒紡織工業股份有限公司（白象）</t>
  </si>
  <si>
    <t>林崑輝</t>
  </si>
  <si>
    <t>488</t>
  </si>
  <si>
    <t>用書認識我自己</t>
  </si>
  <si>
    <t>9789863586074</t>
  </si>
  <si>
    <t>彭尚儀</t>
  </si>
  <si>
    <t>老玩童闖印度</t>
  </si>
  <si>
    <t>9789863586173</t>
  </si>
  <si>
    <t>鄧予立</t>
  </si>
  <si>
    <t>走向白雲山巔：瑞士茵佳汀</t>
  </si>
  <si>
    <t>9789863585756</t>
  </si>
  <si>
    <t>陳小川</t>
  </si>
  <si>
    <t>府城竹籬笆歲月</t>
  </si>
  <si>
    <t>9789863585879</t>
  </si>
  <si>
    <t>蕭文</t>
  </si>
  <si>
    <t>為什麼繁體字比簡體字好</t>
  </si>
  <si>
    <t>9789863586340</t>
  </si>
  <si>
    <t>趙干干</t>
  </si>
  <si>
    <t>802.2</t>
  </si>
  <si>
    <t>量子の生死書</t>
  </si>
  <si>
    <t>9789863585770</t>
  </si>
  <si>
    <t>廖敏洋</t>
  </si>
  <si>
    <t>331.3</t>
  </si>
  <si>
    <t>極高明而道中庸：《尚書》天人視角下的儒家本色</t>
  </si>
  <si>
    <t>9789863586111</t>
  </si>
  <si>
    <t>621.117</t>
  </si>
  <si>
    <t>最初看似新奇的東西</t>
  </si>
  <si>
    <t>9789869631716</t>
  </si>
  <si>
    <t>公主走進黑森林：榮格取向的童話分析</t>
  </si>
  <si>
    <t>9789863571001</t>
  </si>
  <si>
    <t>呂旭亞</t>
  </si>
  <si>
    <t>859.2</t>
  </si>
  <si>
    <t>現代歐系居家風格解剖書：就像住在國外一樣！想知道的細節、想買的家具、想挑的建材、想學的佈置，全都教會你！</t>
  </si>
  <si>
    <t>9789579072120</t>
  </si>
  <si>
    <t>齊舍設計事務所</t>
  </si>
  <si>
    <t>瘋玩世界級博物館：樂高、哈利波特到法拉利，全球超人氣博物館亮點</t>
  </si>
  <si>
    <t>9789579072137</t>
  </si>
  <si>
    <t>杜宇，陳沛榆</t>
  </si>
  <si>
    <t>906.8</t>
  </si>
  <si>
    <t>希望鍊金術：焦點解決取向在校園輔導的應用</t>
  </si>
  <si>
    <t>9789576939129</t>
  </si>
  <si>
    <t>洪莉竹，張佳雯，林烝增，陳意文，丁麗萍 等</t>
  </si>
  <si>
    <t>幸福老年的祕密：哈佛大學格蘭特終生研究</t>
  </si>
  <si>
    <t>9789576939105</t>
  </si>
  <si>
    <t>喬治‧威朗特（George E. Vaillant）</t>
  </si>
  <si>
    <t>凝望鄧南光：觀景窗下的優游詩人1924～1945</t>
  </si>
  <si>
    <t>9789869615648</t>
  </si>
  <si>
    <t>733.28</t>
  </si>
  <si>
    <t>生命的能量</t>
  </si>
  <si>
    <t>9789869084772</t>
  </si>
  <si>
    <t>弗拉狄米爾‧米格烈（Vladimir Megre）</t>
  </si>
  <si>
    <t>全民動起來—秒懂運動健身英文：EZ TALK總編嚴選特刊【有聲】</t>
  </si>
  <si>
    <t>9789862487303</t>
  </si>
  <si>
    <t>五十後的精采，來自你的行動與渴望：啟動創造力12堂課╳安頓身心68個練習</t>
  </si>
  <si>
    <t>9789862487310</t>
  </si>
  <si>
    <t>茱莉亞‧卡麥隆（Julia Cameron），艾瑪‧萊弗利（Emma Lively）</t>
  </si>
  <si>
    <t>台南巷框：遇見文學大師葉石濤的時光散步</t>
  </si>
  <si>
    <t>9789862487235</t>
  </si>
  <si>
    <t>1／2藝術蝦（林致維）</t>
  </si>
  <si>
    <t>台北‧職人食代：探尋心滋味</t>
  </si>
  <si>
    <t>9789860556711</t>
  </si>
  <si>
    <t>臺北市政府觀光傳播局（經銷）</t>
  </si>
  <si>
    <t>王瑞瑤，毛奇，林家昌，梁旅珠，魚夫 等</t>
  </si>
  <si>
    <t>面對群山而朗誦：森子詩選</t>
  </si>
  <si>
    <t>9789862219119</t>
  </si>
  <si>
    <t>森子</t>
  </si>
  <si>
    <t>851.487</t>
  </si>
  <si>
    <t>穿越電影看心理</t>
  </si>
  <si>
    <t>9789863262152</t>
  </si>
  <si>
    <t>胡正文</t>
  </si>
  <si>
    <t>987.9</t>
  </si>
  <si>
    <t>洞見都市：臺灣的都市發展與都市意象</t>
  </si>
  <si>
    <t>9789577325143</t>
  </si>
  <si>
    <t>章英華</t>
  </si>
  <si>
    <t>自下而上的改革：中國地方經濟發展的路徑分歧</t>
  </si>
  <si>
    <t>9789577325525</t>
  </si>
  <si>
    <t>劉雅靈</t>
  </si>
  <si>
    <t>雨傘懷孕</t>
  </si>
  <si>
    <t>9789863263487</t>
  </si>
  <si>
    <t>葉雨南</t>
  </si>
  <si>
    <t>我的內心長滿了魚</t>
  </si>
  <si>
    <t>9789864450046</t>
  </si>
  <si>
    <t>阿米</t>
  </si>
  <si>
    <t>松下聽濤：蕭蕭禪詩集</t>
  </si>
  <si>
    <t>9789864450206</t>
  </si>
  <si>
    <t>蕭蕭</t>
  </si>
  <si>
    <t>心痛療癒師：從高敏感身心到不委屈自己的幸福之路</t>
  </si>
  <si>
    <t>9789869629218</t>
  </si>
  <si>
    <t>上官昭儀</t>
  </si>
  <si>
    <t>脂肪與油救命聖經：用好油減肥治病抗老，你必須知道的8大真相！</t>
  </si>
  <si>
    <t>9789869565356</t>
  </si>
  <si>
    <t>賺錢的科學練習：如何善用祕密法則來創造財富</t>
  </si>
  <si>
    <t>9789869565325</t>
  </si>
  <si>
    <t>華萊士‧華特斯（Wallace D. Wattles）</t>
  </si>
  <si>
    <t>億萬副作用PURE GENERATION</t>
  </si>
  <si>
    <t>9789864450480</t>
  </si>
  <si>
    <t>Neo</t>
  </si>
  <si>
    <t>晚安台北：木焱詩集</t>
  </si>
  <si>
    <t>9789864450503</t>
  </si>
  <si>
    <t>木焱</t>
  </si>
  <si>
    <t>蛇嬰石：長篇驚悚懸疑小說</t>
  </si>
  <si>
    <t>9789864450510</t>
  </si>
  <si>
    <t>孫武宏</t>
  </si>
  <si>
    <t>荊都夢（上卷）：天舞出世</t>
  </si>
  <si>
    <t>9789864450527</t>
  </si>
  <si>
    <t>綠水</t>
  </si>
  <si>
    <t>荊都夢（下卷）：雲城梟奪</t>
  </si>
  <si>
    <t>9789864450534</t>
  </si>
  <si>
    <t>台灣阿嬤萬里單飛美國行</t>
  </si>
  <si>
    <t>9789864450657</t>
  </si>
  <si>
    <t>王素真</t>
  </si>
  <si>
    <t>伊芙的審判</t>
  </si>
  <si>
    <t>9789864450664</t>
  </si>
  <si>
    <t>阿杜‧迪杜</t>
  </si>
  <si>
    <t>850.3857</t>
  </si>
  <si>
    <t>走進英雄島：金門戰地巡禮之旅</t>
  </si>
  <si>
    <t>9789864450763</t>
  </si>
  <si>
    <t>楊政峰</t>
  </si>
  <si>
    <t>寂寞涮涮鍋</t>
  </si>
  <si>
    <t>9789864450879</t>
  </si>
  <si>
    <t>閑芷</t>
  </si>
  <si>
    <t>用LINE、FB賺大錢！：第一次經營品牌就上手</t>
  </si>
  <si>
    <t>9789864450930</t>
  </si>
  <si>
    <t>原來，葉方良</t>
  </si>
  <si>
    <t>東巴爾幹半島3國22天自助超簡單：匈牙利、羅馬尼亞、保加利亞</t>
  </si>
  <si>
    <t>9789864450954</t>
  </si>
  <si>
    <t>曹嘉芸</t>
  </si>
  <si>
    <t>749.09</t>
  </si>
  <si>
    <t>醫護英文</t>
  </si>
  <si>
    <t>9789866120787</t>
  </si>
  <si>
    <t>永大書局有限公司</t>
  </si>
  <si>
    <t>楊金蘭，趙明玲，李淑惠，李賢發，王淑真 等</t>
  </si>
  <si>
    <t>最新實用藥理學</t>
  </si>
  <si>
    <t>9789866120848</t>
  </si>
  <si>
    <t>李安榮，鄒台黎，黃文鑫，顏慧如，林穎志 等</t>
  </si>
  <si>
    <t>800</t>
  </si>
  <si>
    <t>418.1</t>
  </si>
  <si>
    <t>最新精神科護理學</t>
  </si>
  <si>
    <t>9789866120701</t>
  </si>
  <si>
    <t>黃宣宜，陳瑞蘭，洪芬芳，張榮珍，李朝雄 等</t>
  </si>
  <si>
    <t>419.85</t>
  </si>
  <si>
    <t>新編社區衛生護理學</t>
  </si>
  <si>
    <t>9789866120985</t>
  </si>
  <si>
    <t>尹祚芊，吳瑞文，蔡淑鳳，簡莉盈，張萃珉 等</t>
  </si>
  <si>
    <t>419.86</t>
  </si>
  <si>
    <t>重症護理學</t>
  </si>
  <si>
    <t>9789866120947</t>
  </si>
  <si>
    <t>蔡秀鸞，吳淑鈴，吳宏蘭，李瑜弘，黃嫦芳 等</t>
  </si>
  <si>
    <t>419.821</t>
  </si>
  <si>
    <t>長期照護實務</t>
  </si>
  <si>
    <t>9789866120817</t>
  </si>
  <si>
    <t>陳惠姿，李孟芬，曾煥裕，毛慧芬，李世代 等</t>
  </si>
  <si>
    <t>419.71</t>
  </si>
  <si>
    <t>護理專業問題研討</t>
  </si>
  <si>
    <t>9789866120695</t>
  </si>
  <si>
    <t>蔣立琦，劉影梅，張秀如，陳筱瑀，蔡秀鸞 等</t>
  </si>
  <si>
    <t>419.6</t>
  </si>
  <si>
    <t>新編內外科護理技術</t>
  </si>
  <si>
    <t>9789866120725</t>
  </si>
  <si>
    <t>陳秀勤，何雲仙，陳玉秀，楊勤熒，陳雪 等</t>
  </si>
  <si>
    <t>419.82</t>
  </si>
  <si>
    <t>新編老人護理學</t>
  </si>
  <si>
    <t>9789866120923</t>
  </si>
  <si>
    <t>高淑芬，劉紋妙，吳淑貞，王靜枝，宋惠娟 等</t>
  </si>
  <si>
    <t>418.824</t>
  </si>
  <si>
    <t>營養學</t>
  </si>
  <si>
    <t>9789869459358</t>
  </si>
  <si>
    <t>金蘭馨，陳文麗，鄭惠珍，黃秀珠，洪淑麗 等</t>
  </si>
  <si>
    <t>411.31</t>
  </si>
  <si>
    <t>失控的邱比特：MINI小說</t>
  </si>
  <si>
    <t>9789864451142</t>
  </si>
  <si>
    <t>韓國名詩人金素月詩選集</t>
  </si>
  <si>
    <t>9789865696009</t>
  </si>
  <si>
    <t>劉順福</t>
  </si>
  <si>
    <t>862.516</t>
  </si>
  <si>
    <t>絲路，你好！：3個女生30天的自助旅行絲路線</t>
  </si>
  <si>
    <t>9789865696672</t>
  </si>
  <si>
    <t>粟子</t>
  </si>
  <si>
    <t>閱讀教學新思維：教出聽說讀寫力</t>
  </si>
  <si>
    <t>9789864491155</t>
  </si>
  <si>
    <t>花梅真</t>
  </si>
  <si>
    <t>523.311</t>
  </si>
  <si>
    <t>臺灣近一甲子重大天然災害之回顧及探討</t>
  </si>
  <si>
    <t>9789868300941</t>
  </si>
  <si>
    <t>中華防災學會</t>
  </si>
  <si>
    <t>陳正改</t>
  </si>
  <si>
    <t>367.28</t>
  </si>
  <si>
    <t>時間會告訴我的：薇達散文集</t>
  </si>
  <si>
    <t>9789865696849</t>
  </si>
  <si>
    <t>薇達</t>
  </si>
  <si>
    <t>翻過來看世界</t>
  </si>
  <si>
    <t>9789576939150</t>
  </si>
  <si>
    <t>黃士鈞</t>
  </si>
  <si>
    <t>產業合作與拓銷商機－印度、泰國、工具機</t>
  </si>
  <si>
    <t>9789574953981</t>
  </si>
  <si>
    <t>李長明</t>
  </si>
  <si>
    <t>產業合作與拓銷商機：汽車零配件商機－泰國、菲律賓</t>
  </si>
  <si>
    <t>9789574954025</t>
  </si>
  <si>
    <t>游立婷</t>
  </si>
  <si>
    <t>產業合作與拓銷商機－越南、印度綠色產業</t>
  </si>
  <si>
    <t>9789574953998</t>
  </si>
  <si>
    <t>李欣蓁</t>
  </si>
  <si>
    <t>產業合作與拓銷商機－泰國、馬來西亞食品通路</t>
  </si>
  <si>
    <t>9789574954001</t>
  </si>
  <si>
    <t>柯至嫺</t>
  </si>
  <si>
    <t>安啦！帶你搞定活動企劃與禮賓工作</t>
  </si>
  <si>
    <t>9789861441689</t>
  </si>
  <si>
    <t>梁崇偉</t>
  </si>
  <si>
    <t>541.84</t>
  </si>
  <si>
    <t>室內空氣品質維護管理專責人員應試寶典</t>
  </si>
  <si>
    <t>9789864873746</t>
  </si>
  <si>
    <t>彭立言，江軍</t>
  </si>
  <si>
    <t>導遊實務（一）【華語、外語導遊人員 】</t>
  </si>
  <si>
    <t>9789864873524</t>
  </si>
  <si>
    <t>導遊實務（二）【華語、外語導遊人員 】</t>
  </si>
  <si>
    <t>9789864873609</t>
  </si>
  <si>
    <t>觀光資源概要（包括台灣史地、觀光資源維護）【華語、外語導遊人員】</t>
  </si>
  <si>
    <t>9789864873456</t>
  </si>
  <si>
    <t>邱燁，章琪，陳書翊</t>
  </si>
  <si>
    <t>領隊實務（一）【華語、外語領隊人員】</t>
  </si>
  <si>
    <t>9789864873531</t>
  </si>
  <si>
    <t>觀光資源概要（包括世界史地、觀光資源維護）【華語、外語領隊人員】</t>
  </si>
  <si>
    <t>9789864873616</t>
  </si>
  <si>
    <t>邱燁，陳書翊</t>
  </si>
  <si>
    <t>9789864873470</t>
  </si>
  <si>
    <t>絕對上榜！領隊證照輕鬆考（含領隊實務一、二、觀光資源概要）【領隊華語、外語人員】</t>
  </si>
  <si>
    <t>9789864873623</t>
  </si>
  <si>
    <t>補教名師教你成功自學領隊導遊英文</t>
  </si>
  <si>
    <t>9789864873487</t>
  </si>
  <si>
    <t>導遊實務（一）分類題庫</t>
  </si>
  <si>
    <t>9789864873548</t>
  </si>
  <si>
    <t>導遊實務（二）分類題庫</t>
  </si>
  <si>
    <t>9789864873630</t>
  </si>
  <si>
    <t>9789864873579</t>
  </si>
  <si>
    <t>領隊實務（一）分類題庫</t>
  </si>
  <si>
    <t>9789864873586</t>
  </si>
  <si>
    <t>領隊實務（二）分類題庫</t>
  </si>
  <si>
    <t>9789864873647</t>
  </si>
  <si>
    <t>9789864873753</t>
  </si>
  <si>
    <t>經濟學【歷年試題＋模擬考】</t>
  </si>
  <si>
    <t>9789864873944</t>
  </si>
  <si>
    <t>莫內與印象派畫家</t>
  </si>
  <si>
    <t>9789865716738</t>
  </si>
  <si>
    <t>新銳文創</t>
  </si>
  <si>
    <t>羅成典</t>
  </si>
  <si>
    <t>烽火‧亂世‧家：王雲五家族口述史</t>
  </si>
  <si>
    <t>9789865729400</t>
  </si>
  <si>
    <t>獨立作家</t>
  </si>
  <si>
    <t>王泰瑛</t>
  </si>
  <si>
    <t>782.7</t>
  </si>
  <si>
    <t>戰後初期台灣經濟與二二八事件</t>
  </si>
  <si>
    <t>9789869211468</t>
  </si>
  <si>
    <t>翁嘉禧</t>
  </si>
  <si>
    <t>552.339</t>
  </si>
  <si>
    <t>福爾摩沙海洋事件簿：從大航海時代到荷西鄭清</t>
  </si>
  <si>
    <t>9789869615679</t>
  </si>
  <si>
    <t>姚開陽</t>
  </si>
  <si>
    <t>733.21</t>
  </si>
  <si>
    <t>寂寞球體：台灣推理作家協會第十三屆徵文獎</t>
  </si>
  <si>
    <t>9789868839496</t>
  </si>
  <si>
    <t>要有光</t>
  </si>
  <si>
    <t>台灣推理作家協會</t>
  </si>
  <si>
    <t>857.81</t>
  </si>
  <si>
    <t>平安夜的賓館總是客滿：台灣推理作家協會第十二屆徵文獎</t>
  </si>
  <si>
    <t>9789869047432</t>
  </si>
  <si>
    <t>索菲亞‧血色謎團：推理解謎短篇小說選</t>
  </si>
  <si>
    <t>9789869047470</t>
  </si>
  <si>
    <t>高普</t>
  </si>
  <si>
    <t>全健康：超完美靈心身合醫</t>
  </si>
  <si>
    <t>9789863583905</t>
  </si>
  <si>
    <t>呂應鐘</t>
  </si>
  <si>
    <t>我在榮民醫院的日子</t>
  </si>
  <si>
    <t>9789863583912</t>
  </si>
  <si>
    <t>吳明瑞</t>
  </si>
  <si>
    <t>追著奧運看世界 : 從雅典、北京到倫敦</t>
  </si>
  <si>
    <t>9789863583752</t>
  </si>
  <si>
    <t>詹鈞智</t>
  </si>
  <si>
    <t>528.9822</t>
  </si>
  <si>
    <t>英語與翻譯教學：觀念與實務</t>
  </si>
  <si>
    <t>9789869237901</t>
  </si>
  <si>
    <t>秀威經典</t>
  </si>
  <si>
    <t>廖柏森</t>
  </si>
  <si>
    <t>811.707</t>
  </si>
  <si>
    <t>被扭曲的民國報人史：張季鸞、范長江們的筆下人生</t>
  </si>
  <si>
    <t>9789869244947</t>
  </si>
  <si>
    <t>898.9</t>
  </si>
  <si>
    <t>蔣夢麟與北京大學</t>
  </si>
  <si>
    <t>9789869244992</t>
  </si>
  <si>
    <t>陳永忠</t>
  </si>
  <si>
    <t>狗狗心事誰人知：心輔系教授的觀察筆記</t>
  </si>
  <si>
    <t>9789869297301</t>
  </si>
  <si>
    <t>邱珍琬</t>
  </si>
  <si>
    <t>437.354</t>
  </si>
  <si>
    <t>有溫度的台灣史（上）</t>
  </si>
  <si>
    <t>9789869631709_1</t>
  </si>
  <si>
    <t>有溫度的台灣史（下）</t>
  </si>
  <si>
    <t>9789869631709_2</t>
  </si>
  <si>
    <t>領導的贏家：一個教育老農的心聲與建言</t>
  </si>
  <si>
    <t>9789577489166</t>
  </si>
  <si>
    <t>張宗仁</t>
  </si>
  <si>
    <t>541.77607</t>
  </si>
  <si>
    <t>圖像溝通心視界</t>
  </si>
  <si>
    <t>9789576938726</t>
  </si>
  <si>
    <t>汪士瑋</t>
  </si>
  <si>
    <t>強化動機 承諾改變：動機式晤談實務工作手冊</t>
  </si>
  <si>
    <t>9789576939136</t>
  </si>
  <si>
    <t>陳偉任</t>
  </si>
  <si>
    <t>最想說的話，被自己聽見：敘事實踐的十五堂課</t>
  </si>
  <si>
    <t>9789576939174</t>
  </si>
  <si>
    <t>黃錦敦</t>
  </si>
  <si>
    <t>如何走下去─倫理與醫療</t>
  </si>
  <si>
    <t>9789629373696</t>
  </si>
  <si>
    <t>陳浩文，區結成</t>
  </si>
  <si>
    <t>198.41</t>
  </si>
  <si>
    <t>【能】怎麼轉：啟動臺灣能源轉型鑰匙</t>
  </si>
  <si>
    <t>9789860518863</t>
  </si>
  <si>
    <t>周桂田，張國暉</t>
  </si>
  <si>
    <t>554.6807</t>
  </si>
  <si>
    <t>一本書讀懂綠色成長</t>
  </si>
  <si>
    <t>9789860534993</t>
  </si>
  <si>
    <t>周桂田，歐陽瑜</t>
  </si>
  <si>
    <t>550.16367</t>
  </si>
  <si>
    <t>眉批學庸</t>
  </si>
  <si>
    <t>9789864900800</t>
  </si>
  <si>
    <t>陳光政</t>
  </si>
  <si>
    <t>121.252</t>
  </si>
  <si>
    <t>夢遊的大地</t>
  </si>
  <si>
    <t>9789869631730</t>
  </si>
  <si>
    <t>米亞．科托（Mia Couto）</t>
  </si>
  <si>
    <t>886.8757</t>
  </si>
  <si>
    <t>他人即地獄—韓國人寂靜的自殺</t>
  </si>
  <si>
    <t>9789869609449</t>
  </si>
  <si>
    <t>陳慶德</t>
  </si>
  <si>
    <t>548.8532</t>
  </si>
  <si>
    <t>川普學：我是這樣獲得成功的</t>
  </si>
  <si>
    <t>9789869227315</t>
  </si>
  <si>
    <t>李棋芳</t>
  </si>
  <si>
    <t>天啊！我撞到了神：遇到閻羅王，我從編劇變宮主</t>
  </si>
  <si>
    <t>9789869198745</t>
  </si>
  <si>
    <t>不加冰</t>
  </si>
  <si>
    <t>打造不受傷的身體：運動防護員的十招萬用伸展操</t>
  </si>
  <si>
    <t>9789869227353</t>
  </si>
  <si>
    <t>黃益亮</t>
  </si>
  <si>
    <t>416.69</t>
  </si>
  <si>
    <t>老，自在：50後人生的八堂必修課</t>
  </si>
  <si>
    <t>9789869464567</t>
  </si>
  <si>
    <t>邱天助</t>
  </si>
  <si>
    <t>張大千vs.梅竹雙清</t>
  </si>
  <si>
    <t>9789576723988</t>
  </si>
  <si>
    <t>945.6</t>
  </si>
  <si>
    <t>職涯升學規劃與心靈對談</t>
  </si>
  <si>
    <t>9789869306560</t>
  </si>
  <si>
    <t>賀冠群，廖勇誠，小林鈺</t>
  </si>
  <si>
    <t>542.75</t>
  </si>
  <si>
    <t>男人就該化妝！讓面試成功、談判順利、完美約會的神奇微整形術</t>
  </si>
  <si>
    <t>9789869541671</t>
  </si>
  <si>
    <t>邱瓊慧（JOAN）</t>
  </si>
  <si>
    <t>逆轉失智症：我的母親這樣做，遠離失智，腦細胞
活化了！記憶力提升了！</t>
  </si>
  <si>
    <t>9789869270397</t>
  </si>
  <si>
    <t>吳建勳</t>
  </si>
  <si>
    <t>413.342</t>
  </si>
  <si>
    <t>第一次租屋就上手：掌握六大找屋步驟、分辨十種看屋必備事項、避開九個合約內隱藏的陷阱，輕鬆搞定租屋Q＆A</t>
  </si>
  <si>
    <t>9789869464543</t>
  </si>
  <si>
    <t>崔媽媽基金會</t>
  </si>
  <si>
    <t>542.636</t>
  </si>
  <si>
    <t>開始整理，好事會發生：改變周圍氣場的環境整理術</t>
  </si>
  <si>
    <t>9789869362313</t>
  </si>
  <si>
    <t>簡佳璽</t>
  </si>
  <si>
    <t>賈伯斯的蘋果禪</t>
  </si>
  <si>
    <t>9789869541657</t>
  </si>
  <si>
    <t>王紫蘆</t>
  </si>
  <si>
    <t>為什麼有人喝咖啡不加糖：品嘗最真實的原味生活</t>
  </si>
  <si>
    <t>9789869362382</t>
  </si>
  <si>
    <t>子陽</t>
  </si>
  <si>
    <t>接下來就是我們的事了</t>
  </si>
  <si>
    <t>9789863586289</t>
  </si>
  <si>
    <t>黃懷恩</t>
  </si>
  <si>
    <t>跟著海倫清桃講越南語</t>
  </si>
  <si>
    <t>9789863586104</t>
  </si>
  <si>
    <t>海倫清桃</t>
  </si>
  <si>
    <t>塵爆卅日</t>
  </si>
  <si>
    <t>9789863582922</t>
  </si>
  <si>
    <t>汪郁榮</t>
  </si>
  <si>
    <t>415.224</t>
  </si>
  <si>
    <t>讓故事活起來</t>
  </si>
  <si>
    <t>9789863586487</t>
  </si>
  <si>
    <t>淳于彥</t>
  </si>
  <si>
    <t>讓故事動起來</t>
  </si>
  <si>
    <t>9789863586494</t>
  </si>
  <si>
    <t>第一次生酮就上手．完美燃脂菜單106道：在地人、外食族超實用練酮祕笈</t>
  </si>
  <si>
    <t>9789869629225</t>
  </si>
  <si>
    <t>曾心怡（花花老師）</t>
  </si>
  <si>
    <t>願望煉金術：即刻頓悟，心靈科學之父啟發內在力量的精采對話</t>
  </si>
  <si>
    <t>9789869629232</t>
  </si>
  <si>
    <t>珍娜維弗．貝倫德（Geneviève Behrend）</t>
  </si>
  <si>
    <t>跟著阿滴滴妹說出溜英文：網路人氣影片系列《10句常用英文》大補帖：附QR Code，音檔隨掃隨聽</t>
  </si>
  <si>
    <t>9789862487334</t>
  </si>
  <si>
    <t>阿滴，滴妹</t>
  </si>
  <si>
    <t>歌唱學法語</t>
  </si>
  <si>
    <t>9789576068461</t>
  </si>
  <si>
    <t>楊啟嵐</t>
  </si>
  <si>
    <t>804.58</t>
  </si>
  <si>
    <t>四川旅游发展研究中心研究成果集萃：乡村旅游</t>
  </si>
  <si>
    <t>9787550432390</t>
  </si>
  <si>
    <t>西南财经大学出版社（崧博）</t>
  </si>
  <si>
    <t>邱云志</t>
  </si>
  <si>
    <t>高职院校思想政治理论课改革现状与出路</t>
  </si>
  <si>
    <t>9787550429918</t>
  </si>
  <si>
    <t>杨飏，刘炼</t>
  </si>
  <si>
    <t>四川交通建设与旅游业发展互动相关研究</t>
  </si>
  <si>
    <t>9787550430938</t>
  </si>
  <si>
    <t>姚寿福，张华，郭胜</t>
  </si>
  <si>
    <t>我的凸肚不見了！：植化素新飲食</t>
  </si>
  <si>
    <t>9789869462204</t>
  </si>
  <si>
    <t>林佳靜，孫崇發</t>
  </si>
  <si>
    <t>走進孩子的孤獨世界：瞭解自閉症的第一步</t>
  </si>
  <si>
    <t>9789869598231</t>
  </si>
  <si>
    <t>賈美香，白雅君</t>
  </si>
  <si>
    <t>415.9468</t>
  </si>
  <si>
    <t>植牙前必須知道的12件事</t>
  </si>
  <si>
    <t>9789869598217</t>
  </si>
  <si>
    <t>黃經理</t>
  </si>
  <si>
    <t>416.955</t>
  </si>
  <si>
    <t>試煉，只為與你相遇：學校沒教的戀愛課</t>
  </si>
  <si>
    <t>9789869499972</t>
  </si>
  <si>
    <t>林蕙瑛</t>
  </si>
  <si>
    <t>圖解頸椎病：一本書消除頸椎所有症狀</t>
  </si>
  <si>
    <t>9789869499958</t>
  </si>
  <si>
    <t>勵建安</t>
  </si>
  <si>
    <t>416.612</t>
  </si>
  <si>
    <t>讓膝關節不老的自我保健療法</t>
  </si>
  <si>
    <t>9789869598248</t>
  </si>
  <si>
    <t>郝軍</t>
  </si>
  <si>
    <t>416.618</t>
  </si>
  <si>
    <t>美国联邦基金利率波动对我国经济的影响性研究</t>
  </si>
  <si>
    <t>9787550430846</t>
  </si>
  <si>
    <t>何艳秋</t>
  </si>
  <si>
    <t>551</t>
  </si>
  <si>
    <t>云南禁毒防艾新形势、新挑战、新对策研究</t>
  </si>
  <si>
    <t>9787550429802</t>
  </si>
  <si>
    <t>韩跃红 等</t>
  </si>
  <si>
    <t>573</t>
  </si>
  <si>
    <t>耶稣会士与晚明海上贸易</t>
  </si>
  <si>
    <t>9787520111539</t>
  </si>
  <si>
    <t>社会科学文献出版社</t>
  </si>
  <si>
    <t>戚印平</t>
  </si>
  <si>
    <t>广西经济发展报告（2016）</t>
  </si>
  <si>
    <t>9787550428980</t>
  </si>
  <si>
    <t>王德劲，席鸿建 等</t>
  </si>
  <si>
    <t>566</t>
  </si>
  <si>
    <t>“三化”高校辅导员队伍建设研究与实践</t>
  </si>
  <si>
    <t>9787550429642</t>
  </si>
  <si>
    <t>罗勇，邵磊，谭文全，文敏，罗作勤</t>
  </si>
  <si>
    <t>中国农村养老保障制度的升级路径问题研究：基于区域经济差异视角</t>
  </si>
  <si>
    <t>9787550428652</t>
  </si>
  <si>
    <t>涂玉华</t>
  </si>
  <si>
    <t>日檢N4聽解總合對策（全新修訂版）【有聲】</t>
  </si>
  <si>
    <t>9789862487396</t>
  </si>
  <si>
    <t>今泉江利子，本間岐理</t>
  </si>
  <si>
    <t>3天搞懂ETF投資：跨市跨境高CP值，讓你繞著地球賺Ｎ圈！</t>
  </si>
  <si>
    <t>9789862487457</t>
  </si>
  <si>
    <t>書呆與阿宅：理工科技力＋人文洞察力，為科技產業發掘市場需求，解決全球議題</t>
  </si>
  <si>
    <t>9789862487488</t>
  </si>
  <si>
    <t>史考特．哈特利（Scott Hartley）</t>
  </si>
  <si>
    <t>484</t>
  </si>
  <si>
    <t>走出去！你會遇見愛！</t>
  </si>
  <si>
    <t>9789869694933</t>
  </si>
  <si>
    <t>現在未來式</t>
  </si>
  <si>
    <t>9789869014021</t>
  </si>
  <si>
    <t>飛文工作室</t>
  </si>
  <si>
    <t>朱順慈</t>
  </si>
  <si>
    <t>我的蟻人父親</t>
  </si>
  <si>
    <t>9789869683708</t>
  </si>
  <si>
    <t>謝凱特</t>
  </si>
  <si>
    <t>全球化的挑戰與發展</t>
  </si>
  <si>
    <t>9789865608842</t>
  </si>
  <si>
    <t>鄭欽模，翁明賢，李志強，蔡錫勳，林立 等</t>
  </si>
  <si>
    <t>村上春樹における魅惑</t>
  </si>
  <si>
    <t>9789865608934</t>
  </si>
  <si>
    <t>沼野充義</t>
  </si>
  <si>
    <t>861</t>
  </si>
  <si>
    <t>完全生酮一看就懂圖文指南：沒有壓力的酮體生活，成功引導超過500萬人進入生酮飲食！</t>
  </si>
  <si>
    <t>9789869629263</t>
  </si>
  <si>
    <t>黎安妮．福格爾（Leanne Vogel）</t>
  </si>
  <si>
    <t>U.K的冰源</t>
  </si>
  <si>
    <t>9789863581673</t>
  </si>
  <si>
    <t>曾緗筠</t>
  </si>
  <si>
    <t>吉他手與搖滾樂：搖滾電吉他教本</t>
  </si>
  <si>
    <t>9789863586449</t>
  </si>
  <si>
    <t>伍晴川</t>
  </si>
  <si>
    <t>物競天擇：穹型都市篇（上）</t>
  </si>
  <si>
    <t>9789863582472</t>
  </si>
  <si>
    <t>五代關徒</t>
  </si>
  <si>
    <t>物競天擇：穹型都市篇（中）</t>
  </si>
  <si>
    <t>9789863582489</t>
  </si>
  <si>
    <t>物競天擇：穹型都市篇（下）</t>
  </si>
  <si>
    <t>9789863582496</t>
  </si>
  <si>
    <t>移動之民：海外華人研究的新視野</t>
  </si>
  <si>
    <t>9789865624408</t>
  </si>
  <si>
    <t>胡其瑜，李明歡，張應龍，張彬，徐榮崇 等</t>
  </si>
  <si>
    <t>577.207</t>
  </si>
  <si>
    <t>二二八事件研究</t>
  </si>
  <si>
    <t>9787509730836</t>
  </si>
  <si>
    <t>褚静涛</t>
  </si>
  <si>
    <t>台湾慰安妇</t>
  </si>
  <si>
    <t>9787509727195</t>
  </si>
  <si>
    <t>朱德兰</t>
  </si>
  <si>
    <t>话剧史话</t>
  </si>
  <si>
    <t>9787509720554</t>
  </si>
  <si>
    <t>梁淑安</t>
  </si>
  <si>
    <t>915</t>
  </si>
  <si>
    <t>中美关系史话</t>
  </si>
  <si>
    <t>9787509716328</t>
  </si>
  <si>
    <t>陶文钊</t>
  </si>
  <si>
    <t>640</t>
  </si>
  <si>
    <t>啟動循環經濟：自然與經濟的共存之道</t>
  </si>
  <si>
    <t>9789869631747</t>
  </si>
  <si>
    <t>尼古拉．布丹（Nicolas Buttin），畢爾．薩佛黑（Brieuc Saffré）</t>
  </si>
  <si>
    <t>長壽與快樂</t>
  </si>
  <si>
    <t>9789869694940</t>
  </si>
  <si>
    <t>蒙藏文化交流史话</t>
  </si>
  <si>
    <t>9787509721483</t>
  </si>
  <si>
    <t>丁守璞，杨恩洪</t>
  </si>
  <si>
    <t>639</t>
  </si>
  <si>
    <t>汪伪政权史话</t>
  </si>
  <si>
    <t>9787509721452</t>
  </si>
  <si>
    <t>闻少华</t>
  </si>
  <si>
    <t>工業基本控制程式設計（RS485串列埠篇）</t>
  </si>
  <si>
    <t>9789865629748</t>
  </si>
  <si>
    <t>AKB48的光與影</t>
  </si>
  <si>
    <t>9789869466806</t>
  </si>
  <si>
    <t>翰蘆圖書出版有限公司</t>
  </si>
  <si>
    <t>李世暉，林芙白，蔡彥亭</t>
  </si>
  <si>
    <t>雲端上消失的獵人：再現八通關布農族的聚落原貌與遷移</t>
  </si>
  <si>
    <t>9789865860318</t>
  </si>
  <si>
    <t>江冠榮</t>
  </si>
  <si>
    <t>536.333</t>
  </si>
  <si>
    <t>當代台灣的日本研究：社會科學領域的理論與實踐</t>
  </si>
  <si>
    <t>9789865860936</t>
  </si>
  <si>
    <t>林文程，李世暉，郭育仁</t>
  </si>
  <si>
    <t>731.07</t>
  </si>
  <si>
    <t>毛泽东与马克思主义中国化</t>
  </si>
  <si>
    <t>9787509741993</t>
  </si>
  <si>
    <t>李崇富</t>
  </si>
  <si>
    <t>面對失智的勇氣</t>
  </si>
  <si>
    <t>9789865719968</t>
  </si>
  <si>
    <t>麥可．華倫祖拉（Michael J‧Valenzuela）</t>
  </si>
  <si>
    <t>健康決定一切：重建你工作與生活的黃金比例</t>
  </si>
  <si>
    <t>9789869488273</t>
  </si>
  <si>
    <t>王春玲</t>
  </si>
  <si>
    <t>戏曲史话</t>
  </si>
  <si>
    <t>9787509725979</t>
  </si>
  <si>
    <t>王卫民</t>
  </si>
  <si>
    <t>一次考上銀行：防制洗錢與打擊資恐法令及實務</t>
  </si>
  <si>
    <t>9789864873685</t>
  </si>
  <si>
    <t>金永瑩</t>
  </si>
  <si>
    <t>和風老屋旅行散策：尋訪日式建築，走入老台灣的時代記憶、懷舊聚落、生活情境</t>
  </si>
  <si>
    <t>9789862487594</t>
  </si>
  <si>
    <t>江明麗</t>
  </si>
  <si>
    <t>專一力原則：「一心一用」戰勝拖延╳提高效率╳改善關係，重獲職場與生活時間主權</t>
  </si>
  <si>
    <t>9789862487563</t>
  </si>
  <si>
    <t>戴芙拉‧札克（Devora Zack）</t>
  </si>
  <si>
    <t>世界屋脊上的城市：西藏城市发展与社会变迁研究（17世纪中叶至20世纪中叶）</t>
  </si>
  <si>
    <t>9787509749081</t>
  </si>
  <si>
    <t>何一民</t>
  </si>
  <si>
    <t>619</t>
  </si>
  <si>
    <t>毛泽东的中国梦</t>
  </si>
  <si>
    <t>9787509751312</t>
  </si>
  <si>
    <t>唐洲雁</t>
  </si>
  <si>
    <t>北周佛教美术研究：以长安造像为中心</t>
  </si>
  <si>
    <t>9787509747780</t>
  </si>
  <si>
    <t>王敏庆</t>
  </si>
  <si>
    <t>345</t>
  </si>
  <si>
    <t>203</t>
  </si>
  <si>
    <t>流動‧變異：傳統戲曲之文化演繹</t>
  </si>
  <si>
    <t>9789869611510</t>
  </si>
  <si>
    <t>柯香君</t>
  </si>
  <si>
    <t>983.3</t>
  </si>
  <si>
    <t>故宫史话</t>
  </si>
  <si>
    <t>9787509729298</t>
  </si>
  <si>
    <t>姜舜源</t>
  </si>
  <si>
    <t>924</t>
  </si>
  <si>
    <t>台湾史话</t>
  </si>
  <si>
    <t>9787509729533</t>
  </si>
  <si>
    <t>程朝云</t>
  </si>
  <si>
    <t>677</t>
  </si>
  <si>
    <t>国民政府史话</t>
  </si>
  <si>
    <t>9787509730386</t>
  </si>
  <si>
    <t>郑则民</t>
  </si>
  <si>
    <t>郵政專家陳金城老師開講：郵政三法大意（內勤）</t>
  </si>
  <si>
    <t>9789864874071</t>
  </si>
  <si>
    <t>郵政專家陳金城老師開講：郵政法大意及交通安全常識（外勤）</t>
  </si>
  <si>
    <t>9789864874248</t>
  </si>
  <si>
    <t>臺灣自然及人文地理百分百</t>
  </si>
  <si>
    <t>9789864874804</t>
  </si>
  <si>
    <t>王傑</t>
  </si>
  <si>
    <t>國文（短文寫作、閱讀測驗）焦點總複習</t>
  </si>
  <si>
    <t>9789864874279</t>
  </si>
  <si>
    <t>高朋</t>
  </si>
  <si>
    <t>搶救郵政國文特訓（含短文寫作與閱讀測驗）</t>
  </si>
  <si>
    <t>9789864874330</t>
  </si>
  <si>
    <t>企業管理（含大意）</t>
  </si>
  <si>
    <t>9789864874651</t>
  </si>
  <si>
    <t>經絡穴位按摩大全</t>
  </si>
  <si>
    <t>9789869488297</t>
  </si>
  <si>
    <t>查煒</t>
  </si>
  <si>
    <t>映初圖書館</t>
  </si>
  <si>
    <t>9789869503839</t>
  </si>
  <si>
    <t>吳艾庭</t>
  </si>
  <si>
    <t>愛在病房蔓延</t>
  </si>
  <si>
    <t>9789869393140</t>
  </si>
  <si>
    <t>謝佳真</t>
  </si>
  <si>
    <t>奢侈的理由：每个时尚大牌都有很多传奇</t>
  </si>
  <si>
    <t>9787509763292</t>
  </si>
  <si>
    <t>陈星星</t>
  </si>
  <si>
    <t>踏着鲁迅的脚印：鲁迅研究论集</t>
  </si>
  <si>
    <t>9787509765791</t>
  </si>
  <si>
    <t>张恩和</t>
  </si>
  <si>
    <t>郵政三法大意全真模擬題庫</t>
  </si>
  <si>
    <t>9789864874323</t>
  </si>
  <si>
    <t>勝出！國文（短文寫作、閱讀測驗）主題式題庫＋歷年試題</t>
  </si>
  <si>
    <t>9789864874309</t>
  </si>
  <si>
    <t>完全白話！郵政三法大意關鍵詞攻略（內勤）</t>
  </si>
  <si>
    <t>9789864874101</t>
  </si>
  <si>
    <t>畢慧</t>
  </si>
  <si>
    <t>政府採購法（含概要）</t>
  </si>
  <si>
    <t>9789864874842</t>
  </si>
  <si>
    <t>千年定光古佛</t>
  </si>
  <si>
    <t>9787509768082</t>
  </si>
  <si>
    <t>邓穗明</t>
  </si>
  <si>
    <t>990</t>
  </si>
  <si>
    <t>214</t>
  </si>
  <si>
    <t>政协史话</t>
  </si>
  <si>
    <t>9787509771464</t>
  </si>
  <si>
    <t>陈惠丰</t>
  </si>
  <si>
    <t>125</t>
  </si>
  <si>
    <t>571</t>
  </si>
  <si>
    <t>朝鲜族史话</t>
  </si>
  <si>
    <t>9787509793541</t>
  </si>
  <si>
    <t>郑信哲，李文昕</t>
  </si>
  <si>
    <t>昆曲史话</t>
  </si>
  <si>
    <t>9787509793244</t>
  </si>
  <si>
    <t>刘祯，马晓霓</t>
  </si>
  <si>
    <t>锡剧史话</t>
  </si>
  <si>
    <t>9787509791288</t>
  </si>
  <si>
    <t>钱惠荣</t>
  </si>
  <si>
    <t>晋剧史话</t>
  </si>
  <si>
    <t>9787509783573</t>
  </si>
  <si>
    <t>王笑林</t>
  </si>
  <si>
    <t>吕剧史话</t>
  </si>
  <si>
    <t>9787509783023</t>
  </si>
  <si>
    <t>王春燕</t>
  </si>
  <si>
    <t>潮剧史话</t>
  </si>
  <si>
    <t>9787509782125</t>
  </si>
  <si>
    <t>沈湘渠</t>
  </si>
  <si>
    <t>川剧史话</t>
  </si>
  <si>
    <t>9787509782644</t>
  </si>
  <si>
    <t>杜建华，王屹飞</t>
  </si>
  <si>
    <t>沪剧史话</t>
  </si>
  <si>
    <t>9787509783740</t>
  </si>
  <si>
    <t>胡晓军，褚伯承</t>
  </si>
  <si>
    <t>蒲剧史话</t>
  </si>
  <si>
    <t>9787509784051</t>
  </si>
  <si>
    <t>杨焕育</t>
  </si>
  <si>
    <t>赣剧史话</t>
  </si>
  <si>
    <t>9787509785249</t>
  </si>
  <si>
    <t>陈汝陶</t>
  </si>
  <si>
    <t>扬剧史话</t>
  </si>
  <si>
    <t>9787509780855</t>
  </si>
  <si>
    <t>韦明铧</t>
  </si>
  <si>
    <t>湘剧史话</t>
  </si>
  <si>
    <t>9787509779248</t>
  </si>
  <si>
    <t>范正明</t>
  </si>
  <si>
    <t>粤剧史话</t>
  </si>
  <si>
    <t>9787509779712</t>
  </si>
  <si>
    <t>王泸生</t>
  </si>
  <si>
    <t>绍剧史话</t>
  </si>
  <si>
    <t>9787509774694</t>
  </si>
  <si>
    <t>黄芳</t>
  </si>
  <si>
    <t>歌仔戏史话</t>
  </si>
  <si>
    <t>9787509777121</t>
  </si>
  <si>
    <t>吴慧颖</t>
  </si>
  <si>
    <t>共青团史话</t>
  </si>
  <si>
    <t>9787509760666</t>
  </si>
  <si>
    <t>李静</t>
  </si>
  <si>
    <t>豫剧史话</t>
  </si>
  <si>
    <t>9787509773543</t>
  </si>
  <si>
    <t>谭静波</t>
  </si>
  <si>
    <t>京剧史话</t>
  </si>
  <si>
    <t>9787509773659</t>
  </si>
  <si>
    <t>崔伟</t>
  </si>
  <si>
    <t>滇剧史话</t>
  </si>
  <si>
    <t>9787509773536</t>
  </si>
  <si>
    <t>包钢</t>
  </si>
  <si>
    <t>淮剧史话</t>
  </si>
  <si>
    <t>9787509774281</t>
  </si>
  <si>
    <t>张铨</t>
  </si>
  <si>
    <t>闽剧史话</t>
  </si>
  <si>
    <t>9787509775028</t>
  </si>
  <si>
    <t>王晓珊</t>
  </si>
  <si>
    <t>越剧史话</t>
  </si>
  <si>
    <t>9787509773093</t>
  </si>
  <si>
    <t>应志良</t>
  </si>
  <si>
    <t>國民營英文</t>
  </si>
  <si>
    <t>9789864874361</t>
  </si>
  <si>
    <t>企業概論與管理學</t>
  </si>
  <si>
    <t>9789864874194</t>
  </si>
  <si>
    <t>法學緒論大全（包括法律常識）</t>
  </si>
  <si>
    <t>9789864874941</t>
  </si>
  <si>
    <t>成宜</t>
  </si>
  <si>
    <t>逼真！企業管理大意模擬題庫＋歷年試題</t>
  </si>
  <si>
    <t>9789864874538</t>
  </si>
  <si>
    <t>逼真！公民模擬題庫＋歷年試題</t>
  </si>
  <si>
    <t>9789864875191</t>
  </si>
  <si>
    <t>汪大成，蔡力</t>
  </si>
  <si>
    <t>501</t>
  </si>
  <si>
    <t>逼真！英文模擬題庫＋歷年試題</t>
  </si>
  <si>
    <t>9789864874750</t>
  </si>
  <si>
    <t>凱旋</t>
  </si>
  <si>
    <t>超級犯規！國文高分關鍵的七堂課</t>
  </si>
  <si>
    <t>9789864874552</t>
  </si>
  <si>
    <t>9789864874712</t>
  </si>
  <si>
    <t>9789864874620</t>
  </si>
  <si>
    <t>一次考上銀行：國際貿易實務</t>
  </si>
  <si>
    <t>9789864874699</t>
  </si>
  <si>
    <t>國際貿易實務輕鬆讀</t>
  </si>
  <si>
    <t>9789864874705</t>
  </si>
  <si>
    <t>“一带一路”战略及东北亚研究</t>
  </si>
  <si>
    <t>9787509778517</t>
  </si>
  <si>
    <t>朝克</t>
  </si>
  <si>
    <t>台湾历史研究（第3辑）</t>
  </si>
  <si>
    <t>9787509785379</t>
  </si>
  <si>
    <t>张海鹏，李细珠</t>
  </si>
  <si>
    <t>新加坡（Singapore）</t>
  </si>
  <si>
    <t>9787509780985</t>
  </si>
  <si>
    <t>毕世鸿 等</t>
  </si>
  <si>
    <t>国外智库看“一带一路”（Ⅱ）</t>
  </si>
  <si>
    <t>9787509781524</t>
  </si>
  <si>
    <t>王灵桂</t>
  </si>
  <si>
    <t>国外智库看“一带一路”</t>
  </si>
  <si>
    <t>9787509779958</t>
  </si>
  <si>
    <t>国外智库看“亚投行”</t>
  </si>
  <si>
    <t>9787509779965</t>
  </si>
  <si>
    <t>清代台湾道、台湾道台与台湾社会</t>
  </si>
  <si>
    <t>9787509776421</t>
  </si>
  <si>
    <t>庄林丽</t>
  </si>
  <si>
    <t>海丝列国志</t>
  </si>
  <si>
    <t>9787509776520</t>
  </si>
  <si>
    <t>舞蹈表演理论与实践教程</t>
  </si>
  <si>
    <t>9787509791912</t>
  </si>
  <si>
    <t>王佩英</t>
  </si>
  <si>
    <t>976</t>
  </si>
  <si>
    <t>2030年可持续发展的转型议程：全球视野与中国经验</t>
  </si>
  <si>
    <t>9787509796276</t>
  </si>
  <si>
    <t>潘家华，陈孜</t>
  </si>
  <si>
    <t>中国中医药文化文献集（2000～2016）</t>
  </si>
  <si>
    <t>9787509799338</t>
  </si>
  <si>
    <t>毛嘉陵，王晨，李婧昳</t>
  </si>
  <si>
    <t>神猴：印度“哈奴曼”和中国“孙悟空”的故事在泰国的传播</t>
  </si>
  <si>
    <t>9787509798775</t>
  </si>
  <si>
    <t>（泰）谢玉冰</t>
  </si>
  <si>
    <t>中英“一带一路”战略合作研究</t>
  </si>
  <si>
    <t>9787509798461</t>
  </si>
  <si>
    <t>魏一明，张占仓</t>
  </si>
  <si>
    <t>中国－东盟互联互通研究</t>
  </si>
  <si>
    <t>9787509797853</t>
  </si>
  <si>
    <t>杨祥章 等</t>
  </si>
  <si>
    <t>有時出走：島嶼抒情手記</t>
  </si>
  <si>
    <t>9789862487631</t>
  </si>
  <si>
    <t>陳韻文</t>
  </si>
  <si>
    <t>會痛的不是愛：真愛啟程，療癒自我與關係的366天</t>
  </si>
  <si>
    <t>9789869572224</t>
  </si>
  <si>
    <t>長歌藝術傳播有限公司</t>
  </si>
  <si>
    <t>（美）恰克．史匹桑諾 博士（Chuck Spezzano Ph. D.）</t>
  </si>
  <si>
    <t>幸福禪：生命藝術－日書（上冊）【有聲】</t>
  </si>
  <si>
    <t>9789868701892_1</t>
  </si>
  <si>
    <t>王婷瑩（蓋婭媽咪Mavis）</t>
  </si>
  <si>
    <t>幸福禪：生命藝術－月書（下冊）【有聲】</t>
  </si>
  <si>
    <t>9789868701892_2</t>
  </si>
  <si>
    <t>行銷圓山：老飯店的甦活配方</t>
  </si>
  <si>
    <t>9789869572217</t>
  </si>
  <si>
    <t>李建榮</t>
  </si>
  <si>
    <t>TPP为什么陨落：全球战略智库论TPP、“一带一路”和亚投行</t>
  </si>
  <si>
    <t>9787520101653</t>
  </si>
  <si>
    <t>新加坡与马来（西）亚的合并与分离研究：1945－1965</t>
  </si>
  <si>
    <t>9787520103282</t>
  </si>
  <si>
    <t>庞卫东</t>
  </si>
  <si>
    <t>578</t>
  </si>
  <si>
    <t>国货or洋货？中国消费者对商品原产地的认知</t>
  </si>
  <si>
    <t>9787520104241</t>
  </si>
  <si>
    <t>袁胜军</t>
  </si>
  <si>
    <t>从心集</t>
  </si>
  <si>
    <t>9787520104470</t>
  </si>
  <si>
    <t>程汉大</t>
  </si>
  <si>
    <t>583</t>
  </si>
  <si>
    <t>张学良身边的共产党人暨西安事变记事</t>
  </si>
  <si>
    <t>9787520103022</t>
  </si>
  <si>
    <t>张友坤</t>
  </si>
  <si>
    <t>沉船、瓷器与海上丝绸之路</t>
  </si>
  <si>
    <t>9787520102179</t>
  </si>
  <si>
    <t>刘淼，胡舒扬</t>
  </si>
  <si>
    <t>民国史研究（第1辑）</t>
  </si>
  <si>
    <t>9787520106887</t>
  </si>
  <si>
    <t>郭双林</t>
  </si>
  <si>
    <t>新世界史（第1辑）</t>
  </si>
  <si>
    <t>9787520105361</t>
  </si>
  <si>
    <t>孟广林，王大庆</t>
  </si>
  <si>
    <t>710</t>
  </si>
  <si>
    <t>奢侈的诱惑：遇见顶级珠宝和腕表品牌的梦幻世界</t>
  </si>
  <si>
    <t>9787520106511</t>
  </si>
  <si>
    <t>胡雨馨</t>
  </si>
  <si>
    <t>小邦大治：新加坡的国家基本制度建设</t>
  </si>
  <si>
    <t>9787520105583</t>
  </si>
  <si>
    <t>欧树军，王绍光</t>
  </si>
  <si>
    <t>亚太地区发展报告（2017）：特朗普政府的亚洲政策及其影响</t>
  </si>
  <si>
    <t>9787520105545</t>
  </si>
  <si>
    <t>李向阳</t>
  </si>
  <si>
    <t>無障礙旅遊：跟著輪椅導遊玩台灣</t>
  </si>
  <si>
    <t>9789869594578</t>
  </si>
  <si>
    <t>黃欣儀</t>
  </si>
  <si>
    <t>中國社會科學院世界宗教研究所文博館珍藏古籍圖錄</t>
  </si>
  <si>
    <t>9787520109703</t>
  </si>
  <si>
    <t>金延林</t>
  </si>
  <si>
    <t>变化中的意大利</t>
  </si>
  <si>
    <t>9787520109086</t>
  </si>
  <si>
    <t>罗红波，孙彦红</t>
  </si>
  <si>
    <t>565</t>
  </si>
  <si>
    <t>大数据与中国历史研究（第1辑）</t>
  </si>
  <si>
    <t>9787520107617</t>
  </si>
  <si>
    <t>付海晏，徐剑</t>
  </si>
  <si>
    <t>603</t>
  </si>
  <si>
    <t>留聲年代：電影、文學、老唱片</t>
  </si>
  <si>
    <t>9789869631723</t>
  </si>
  <si>
    <t>李志銘</t>
  </si>
  <si>
    <t>界線，讓生命自在飛揚！</t>
  </si>
  <si>
    <t>9789866314728</t>
  </si>
  <si>
    <t>時兆出版社</t>
  </si>
  <si>
    <t>江兒</t>
  </si>
  <si>
    <t>飞盘运动</t>
  </si>
  <si>
    <t>9787520112277</t>
  </si>
  <si>
    <t>贾立强</t>
  </si>
  <si>
    <t>茶马古道各民族商号及其互动关系</t>
  </si>
  <si>
    <t>9787520110846</t>
  </si>
  <si>
    <t>李旭</t>
  </si>
  <si>
    <t>686</t>
  </si>
  <si>
    <t>“一带一路”建设中的宁夏发展战略研究</t>
  </si>
  <si>
    <t>9787520110815</t>
  </si>
  <si>
    <t>方勇</t>
  </si>
  <si>
    <t>575</t>
  </si>
  <si>
    <t>家屋与嘉绒藏族社会结构</t>
  </si>
  <si>
    <t>9787520112079</t>
  </si>
  <si>
    <t>李锦</t>
  </si>
  <si>
    <t>解读新加坡</t>
  </si>
  <si>
    <t>9787520114233</t>
  </si>
  <si>
    <t>杨建伟</t>
  </si>
  <si>
    <t>“城市病”防治：以中国超大城市为例</t>
  </si>
  <si>
    <t>9787520114615</t>
  </si>
  <si>
    <t>刘洁</t>
  </si>
  <si>
    <t>回到美自身的领域：对当代中国美学的反思</t>
  </si>
  <si>
    <t>9787520113083</t>
  </si>
  <si>
    <t>梁光焰</t>
  </si>
  <si>
    <t>长安城与罗马城：东西方两大文明都城模式的比较研究（上）</t>
  </si>
  <si>
    <t>9787520113588_1</t>
  </si>
  <si>
    <t>周繁文</t>
  </si>
  <si>
    <t>长安城与罗马城：东西方两大文明都城模式的比较研究（下）</t>
  </si>
  <si>
    <t>9787520113588_2</t>
  </si>
  <si>
    <t>中医薪传（修订版）</t>
  </si>
  <si>
    <t>9787520114448</t>
  </si>
  <si>
    <t>张义尚</t>
  </si>
  <si>
    <t>“尚情”思潮的生命审美研究：晚明人情小说的“理”与“欲”</t>
  </si>
  <si>
    <t>9787520114394</t>
  </si>
  <si>
    <t>姜家君</t>
  </si>
  <si>
    <t>全球治理中的中国与上海：上海对接“一带一路”</t>
  </si>
  <si>
    <t>9787520112383</t>
  </si>
  <si>
    <t>任琳 等</t>
  </si>
  <si>
    <t>故宫服务</t>
  </si>
  <si>
    <t>9787520112635</t>
  </si>
  <si>
    <t>北京旅游学会</t>
  </si>
  <si>
    <t>画说汉字</t>
  </si>
  <si>
    <t>9787520112833</t>
  </si>
  <si>
    <t>浦寅</t>
  </si>
  <si>
    <t>金砖国家合作机制</t>
  </si>
  <si>
    <t>9787520112536</t>
  </si>
  <si>
    <t>栾建章</t>
  </si>
  <si>
    <t>金砖国家金融合作</t>
  </si>
  <si>
    <t>9787520112529</t>
  </si>
  <si>
    <t>金砖国家经贸合作</t>
  </si>
  <si>
    <t>9787520112550</t>
  </si>
  <si>
    <t>559</t>
  </si>
  <si>
    <t>金砖国家人文交流</t>
  </si>
  <si>
    <t>9787520112567</t>
  </si>
  <si>
    <t>金砖国家与全球治理</t>
  </si>
  <si>
    <t>9787520112543</t>
  </si>
  <si>
    <t>南北中国：中国农村区域差异研究</t>
  </si>
  <si>
    <t>9787520115575</t>
  </si>
  <si>
    <t>贺雪峰 等</t>
  </si>
  <si>
    <t>宗祖文化与精准扶贫</t>
  </si>
  <si>
    <t>9787520118699</t>
  </si>
  <si>
    <t>中国文化管理协会新农村文化建设管理委员会</t>
  </si>
  <si>
    <t>835</t>
  </si>
  <si>
    <t>阿拉伯固有文化研究</t>
  </si>
  <si>
    <t>9787520117401</t>
  </si>
  <si>
    <t>肖凌</t>
  </si>
  <si>
    <t>国外媒体看“一带一路”（2017）</t>
  </si>
  <si>
    <t>9787520117173</t>
  </si>
  <si>
    <t>王辉，贾文娟</t>
  </si>
  <si>
    <t>邻避冲突解析与源头治理</t>
  </si>
  <si>
    <t>9787520117807</t>
  </si>
  <si>
    <t>张乐</t>
  </si>
  <si>
    <t>“马克思－恩格斯问题”探本</t>
  </si>
  <si>
    <t>9787520118194</t>
  </si>
  <si>
    <t>周世兴</t>
  </si>
  <si>
    <t>性犯罪：精神病理与控制（上）</t>
  </si>
  <si>
    <t>9787520116558_1</t>
  </si>
  <si>
    <t>刘白驹</t>
  </si>
  <si>
    <t>性犯罪：精神病理与控制（下）</t>
  </si>
  <si>
    <t>9787520116558_2</t>
  </si>
  <si>
    <t>体育赛事与城市旅游业互动发展研究</t>
  </si>
  <si>
    <t>9787520118415</t>
  </si>
  <si>
    <t>黄海燕</t>
  </si>
  <si>
    <t>迈向2030：南南合作在全球发展体系中的角色变化</t>
  </si>
  <si>
    <t>9787520119368</t>
  </si>
  <si>
    <t>南南合作金融中心</t>
  </si>
  <si>
    <t>创意经济：上海经济增长新动能</t>
  </si>
  <si>
    <t>9787520115223</t>
  </si>
  <si>
    <t>夏杰长，刘维刚，刘晓东</t>
  </si>
  <si>
    <t>“一带一路”建设：中国与周边地区的经贸合作研究（2016～2017）</t>
  </si>
  <si>
    <t>9787520118200</t>
  </si>
  <si>
    <t>熊灵，谭秀杰</t>
  </si>
  <si>
    <t>中国武术研究报告（No.1）</t>
  </si>
  <si>
    <t>9787520116718</t>
  </si>
  <si>
    <t>戴国斌</t>
  </si>
  <si>
    <t>阿联酋经贸文化</t>
  </si>
  <si>
    <t>9787520115872</t>
  </si>
  <si>
    <t>刘伟</t>
  </si>
  <si>
    <t>多元文化与中美大学生道德教育</t>
  </si>
  <si>
    <t>9787520118910</t>
  </si>
  <si>
    <t>朱海龙</t>
  </si>
  <si>
    <t>平衡城乡发展与财政政策改革</t>
  </si>
  <si>
    <t>9787520115445</t>
  </si>
  <si>
    <t>吳理財，袁方成 等</t>
  </si>
  <si>
    <t>21世纪海上丝绸之路研究（2017年第2辑）</t>
  </si>
  <si>
    <t>9787520117982</t>
  </si>
  <si>
    <t>贾益民</t>
  </si>
  <si>
    <t>四库学（第2辑）</t>
  </si>
  <si>
    <t>9787520118095</t>
  </si>
  <si>
    <t>陈晓华</t>
  </si>
  <si>
    <t>四库学（第1辑）</t>
  </si>
  <si>
    <t>9787520118101</t>
  </si>
  <si>
    <t>新时代扩大城市文化消费研究</t>
  </si>
  <si>
    <t>9787520120555</t>
  </si>
  <si>
    <t>王健，尹宏，胡燕，徐睿，孙艳 等</t>
  </si>
  <si>
    <t>538</t>
  </si>
  <si>
    <t>国外智库看亚太经合组织（APEC）</t>
  </si>
  <si>
    <t>9787520116916</t>
  </si>
  <si>
    <t>陈定定</t>
  </si>
  <si>
    <t>新的文明</t>
  </si>
  <si>
    <t>9789869084789</t>
  </si>
  <si>
    <t>弗拉狄米爾．米格烈（Vladimir Megre）</t>
  </si>
  <si>
    <t>企管通用詞庫一把罩</t>
  </si>
  <si>
    <t>9789574549863_01</t>
  </si>
  <si>
    <t>畢斯尼斯</t>
  </si>
  <si>
    <t>臺灣翻譯專業發展與資訊科技</t>
  </si>
  <si>
    <t>9789860463156</t>
  </si>
  <si>
    <t>林俊宏，林慶隆，林容聖，蔡明興，蔡麗莉 等</t>
  </si>
  <si>
    <t>810</t>
  </si>
  <si>
    <t>國際教育人才培育之策略研究</t>
  </si>
  <si>
    <t>9789860509007</t>
  </si>
  <si>
    <t>蔡宜紋，黃文定，吳麗君，田耐青，溫明麗 等</t>
  </si>
  <si>
    <t>世界各國翻譯發展與口筆譯人才培育策略</t>
  </si>
  <si>
    <t>9789860481457</t>
  </si>
  <si>
    <t>丁彥平，李森永，阮氏美香，林慶隆，邵婉卿 等</t>
  </si>
  <si>
    <t>藥學名詞（第二版）</t>
  </si>
  <si>
    <t>9789860541533</t>
  </si>
  <si>
    <t>臺灣翻譯發展與人才培育策略研究</t>
  </si>
  <si>
    <t>9789860529203</t>
  </si>
  <si>
    <t>跨學科視域下的臺灣翻譯專業發展</t>
  </si>
  <si>
    <t>9789860418637</t>
  </si>
  <si>
    <t>林慶隆 等</t>
  </si>
  <si>
    <t>國文（閱讀測驗）題庫</t>
  </si>
  <si>
    <t>9789574549771_06</t>
  </si>
  <si>
    <t>李杰</t>
  </si>
  <si>
    <t>貨幣銀行學</t>
  </si>
  <si>
    <t>9789574548095_06</t>
  </si>
  <si>
    <t>企業概論</t>
  </si>
  <si>
    <t>9789574548569_07</t>
  </si>
  <si>
    <t>企業管理大意</t>
  </si>
  <si>
    <t>9789574547739_08</t>
  </si>
  <si>
    <t>張口，愛的堆疊：「張老師」教我的49件事</t>
  </si>
  <si>
    <t>9789576939235</t>
  </si>
  <si>
    <t>台中「張老師」中心</t>
  </si>
  <si>
    <t>陪孩子遇見美好的自己：兒童．遊戲．敘事治療（二版）</t>
  </si>
  <si>
    <t>9789576939167</t>
  </si>
  <si>
    <t>鼓勵孩子邁向勇氣之路：阿德勒學派案例解析與策略</t>
  </si>
  <si>
    <t>9789576939181</t>
  </si>
  <si>
    <t>關係是傷也是藥：家族治療二十八年的反思筆記</t>
  </si>
  <si>
    <t>9789576939228</t>
  </si>
  <si>
    <t>賈紅鶯</t>
  </si>
  <si>
    <t>女傑：女子運動員紀實</t>
  </si>
  <si>
    <t>9789866301940</t>
  </si>
  <si>
    <t>國立陽明交通大學出版社</t>
  </si>
  <si>
    <t>郭穎慈，劉雨婕，黃馨儀，吳建勳</t>
  </si>
  <si>
    <t>528.999</t>
  </si>
  <si>
    <t>過動：第五屆御宅文化研討會暨巴哈姆特論文獎文集（上）</t>
  </si>
  <si>
    <t>9789866301964</t>
  </si>
  <si>
    <t>梁世佑</t>
  </si>
  <si>
    <t>541.307</t>
  </si>
  <si>
    <t>漫活著：第五屆御宅文化研討會暨巴哈姆特論文獎文集（下）</t>
  </si>
  <si>
    <t>9789866301971</t>
  </si>
  <si>
    <t>法學知識：法學緒論勝經［高普版］</t>
  </si>
  <si>
    <t>9789864875696</t>
  </si>
  <si>
    <t>高普考法學知識與英文（包括中華民國憲法、法學緒論、英文）</t>
  </si>
  <si>
    <t>9789864875603</t>
  </si>
  <si>
    <t>英文頻出題庫</t>
  </si>
  <si>
    <t>9789864875788</t>
  </si>
  <si>
    <t>中華民國憲法頻出題庫</t>
  </si>
  <si>
    <t>9789864875504</t>
  </si>
  <si>
    <t>羅格思</t>
  </si>
  <si>
    <t>國考大師教您看圖學會財政學（含概要 ）</t>
  </si>
  <si>
    <t>9789864875078</t>
  </si>
  <si>
    <t>行政學（含概要）頻出題庫</t>
  </si>
  <si>
    <t>9789864875481</t>
  </si>
  <si>
    <t>楊銘</t>
  </si>
  <si>
    <t>國考大師教你看圖學會行政學</t>
  </si>
  <si>
    <t>9789864875405</t>
  </si>
  <si>
    <t>9789864875337</t>
  </si>
  <si>
    <t>移民法學知識與英文（包括中華民國憲法、法學緒論、英文）</t>
  </si>
  <si>
    <t>9789864875818</t>
  </si>
  <si>
    <t>581</t>
  </si>
  <si>
    <t>銀行內部控制與內部稽核測驗：焦點速成＋歷屆試題</t>
  </si>
  <si>
    <t>9789864875351</t>
  </si>
  <si>
    <t>薛常湧</t>
  </si>
  <si>
    <t>一次考上銀行 銀行考前速成：（會計學概要＋貨幣銀行學概要＋票據法概要＋銀行法概要）</t>
  </si>
  <si>
    <t>9789864873098</t>
  </si>
  <si>
    <t>賦誠，歐欣亞</t>
  </si>
  <si>
    <t>台北捷運四合一全科快易通</t>
  </si>
  <si>
    <t>9789574549009_04</t>
  </si>
  <si>
    <t>捷運法規及常識一本通</t>
  </si>
  <si>
    <t>9789575337308_02</t>
  </si>
  <si>
    <t>全道豐</t>
  </si>
  <si>
    <t>鐵路英文</t>
  </si>
  <si>
    <t>9789574547814_11</t>
  </si>
  <si>
    <t>郭靖</t>
  </si>
  <si>
    <t>郵政國文（專業職（一）、內勤）</t>
  </si>
  <si>
    <t>9789574549726_02</t>
  </si>
  <si>
    <t>儒宏</t>
  </si>
  <si>
    <t>關務英文</t>
  </si>
  <si>
    <t>9789574548163_08</t>
  </si>
  <si>
    <t>王文充</t>
  </si>
  <si>
    <t>機械製造學解題攻略大全</t>
  </si>
  <si>
    <t>9789574548200_07</t>
  </si>
  <si>
    <t>陳火旺</t>
  </si>
  <si>
    <t>全美最強教授的17堂論文寫作必修課150句學術英文寫作句型，從表達、討論、寫作到論述，建立批判思考力與邏輯力</t>
  </si>
  <si>
    <t>9789862487587</t>
  </si>
  <si>
    <t>杰拉德．葛拉夫（Gerald Graff），凱西．柏肯斯坦（Cathy Birkenstein）</t>
  </si>
  <si>
    <t>805.175</t>
  </si>
  <si>
    <t>美國人最常說的13種英文笑話：EZ TALK 總編嚴選特刊【有聲】</t>
  </si>
  <si>
    <t>9789862487716</t>
  </si>
  <si>
    <t>說韓語，我們最道地：打造全韓語環境！你真正用得到的韓語學習書【有聲】</t>
  </si>
  <si>
    <t>9789862487693</t>
  </si>
  <si>
    <t>TalkToMeInKorean</t>
  </si>
  <si>
    <t>當下即自由：正念大師教你擺脫苦痛、執著，於所在的地方找到勇氣、愛與喜悅</t>
  </si>
  <si>
    <t>9789862487709</t>
  </si>
  <si>
    <t>傑克．康菲爾德（Jack Kornfield）</t>
  </si>
  <si>
    <t>東京建築女子：空間巡禮、藝術散策，30趟觸動人心的設計旅行</t>
  </si>
  <si>
    <t>9789862487730</t>
  </si>
  <si>
    <t>李昀蓁</t>
  </si>
  <si>
    <t>3天搞懂美股買賣（最新增訂版）：不出國、不懂英文，也能靠蘋果、星巴克賺錢！</t>
  </si>
  <si>
    <t>9789862487747</t>
  </si>
  <si>
    <t>神探福爾摩斯1</t>
  </si>
  <si>
    <t>9789864110766</t>
  </si>
  <si>
    <t>阿瑟‧柯南‧道爾</t>
  </si>
  <si>
    <t>神探福爾摩斯2</t>
  </si>
  <si>
    <t>9789864110780</t>
  </si>
  <si>
    <t>真會說話：告別溝通障礙的全方位說話術</t>
  </si>
  <si>
    <t>9789864110773</t>
  </si>
  <si>
    <t>不小心就學會日語【有聲】</t>
  </si>
  <si>
    <t>9789869608688</t>
  </si>
  <si>
    <t>超簡單的旅遊日語【有聲】</t>
  </si>
  <si>
    <t>9789869697309</t>
  </si>
  <si>
    <t>月曜日：生物常識知多少！</t>
  </si>
  <si>
    <t>9789869617994</t>
  </si>
  <si>
    <t>朱子喬</t>
  </si>
  <si>
    <t>破解狗狗密碼：14把金鑰解開狗狗的心</t>
  </si>
  <si>
    <t>9789862101797</t>
  </si>
  <si>
    <t>Candy</t>
  </si>
  <si>
    <t>iWork活用萬事通 : Keynote、Pages、Numbers一本就學會</t>
  </si>
  <si>
    <t>9789864342372</t>
  </si>
  <si>
    <t>《張家山漢墓竹簡〔二四七號墓〕》構形研究：兼論〈二年律令〉所見《說文》未收字</t>
  </si>
  <si>
    <t>9789864781270</t>
  </si>
  <si>
    <t>李綉玲</t>
  </si>
  <si>
    <t>796.68</t>
  </si>
  <si>
    <t>《清華伍》書類文獻研究</t>
  </si>
  <si>
    <t>9789864781355</t>
  </si>
  <si>
    <t>高佑仁</t>
  </si>
  <si>
    <t>796.8</t>
  </si>
  <si>
    <t>殷栔新詮引言注</t>
  </si>
  <si>
    <t>9789864781232</t>
  </si>
  <si>
    <t>魯實先，王永誠</t>
  </si>
  <si>
    <t>792.2</t>
  </si>
  <si>
    <t>臺灣詞社研究</t>
  </si>
  <si>
    <t>9789864781485</t>
  </si>
  <si>
    <t>蘇淑芬</t>
  </si>
  <si>
    <t>863.093</t>
  </si>
  <si>
    <t>蔡沈《書集傳》經典化的歷程：宋末至明初的觀察</t>
  </si>
  <si>
    <t>9789864781201</t>
  </si>
  <si>
    <t>許育龍</t>
  </si>
  <si>
    <t>辭章風格教學新論</t>
  </si>
  <si>
    <t>9789864781522</t>
  </si>
  <si>
    <t>蒲基維</t>
  </si>
  <si>
    <t>802.73</t>
  </si>
  <si>
    <t>辭章章法四大律</t>
  </si>
  <si>
    <t>9789864781539</t>
  </si>
  <si>
    <t>黃淑貞</t>
  </si>
  <si>
    <t>邊緣之境：華文創作中的凝視聲響到生命記憶</t>
  </si>
  <si>
    <t>9789864781256</t>
  </si>
  <si>
    <t>邱珮萱S</t>
  </si>
  <si>
    <t>863.2</t>
  </si>
  <si>
    <t>初階授信人員專業能力測驗題庫精析（授信法規與實務）</t>
  </si>
  <si>
    <t>9789574795024_02</t>
  </si>
  <si>
    <t>趙毓全</t>
  </si>
  <si>
    <t>風濤之愛</t>
  </si>
  <si>
    <t>9789571608877</t>
  </si>
  <si>
    <t>汪啟疆</t>
  </si>
  <si>
    <t>人言平話：賞析古代中國六十部平話小說</t>
  </si>
  <si>
    <t>9789571608846</t>
  </si>
  <si>
    <t>吳東權</t>
  </si>
  <si>
    <t>857.41</t>
  </si>
  <si>
    <t>（準時下班秘笈）超實用！公務員Excel省時秘技108招</t>
  </si>
  <si>
    <t>9789864342617</t>
  </si>
  <si>
    <t>資訊系統與資訊檢索（含概要）</t>
  </si>
  <si>
    <t>9789862153376_05</t>
  </si>
  <si>
    <t>史勞傑 等</t>
  </si>
  <si>
    <t>圖說演算法：使用Python</t>
  </si>
  <si>
    <t>9789864342815</t>
  </si>
  <si>
    <t>吳燦銘，胡昭民</t>
  </si>
  <si>
    <t>Excel VBA巨集的職場效率術：無痛學習VBA程式×步驟式教學錄製巨集×200個範例立即套用</t>
  </si>
  <si>
    <t>9789864342839</t>
  </si>
  <si>
    <t>楊玉文，陳智揚</t>
  </si>
  <si>
    <t>Python網頁程式交易APP實作：Web＋MySQL＋Django</t>
  </si>
  <si>
    <t>9789864342846</t>
  </si>
  <si>
    <t>林萍珍</t>
  </si>
  <si>
    <t>563.53029</t>
  </si>
  <si>
    <t>簡報易開罐：37堂PowerPoint 2016簡報增效課</t>
  </si>
  <si>
    <t>9789864342853</t>
  </si>
  <si>
    <t>楊玉文</t>
  </si>
  <si>
    <t>簡報易開罐：37堂免費軟體簡報必修課</t>
  </si>
  <si>
    <t>9789864342860</t>
  </si>
  <si>
    <t>ASP.NET專題實務II：進階範例應用</t>
  </si>
  <si>
    <t>9789864342914</t>
  </si>
  <si>
    <t>MIS2000 Lab.，周棟祥博士，吳進魯</t>
  </si>
  <si>
    <t>圖說演算法：使用C語言</t>
  </si>
  <si>
    <t>9789864342921</t>
  </si>
  <si>
    <t>Visio 2016商業應用圖表超強製作術：視覺化實務設計</t>
  </si>
  <si>
    <t>9789864342952</t>
  </si>
  <si>
    <t>S4A（Scratch For Arduino）輕鬆學：玩拼圖寫程式，輕鬆進入Arduino的創意世界</t>
  </si>
  <si>
    <t>9789864342976</t>
  </si>
  <si>
    <t>黃千華，徐瑞茂，林文暉</t>
  </si>
  <si>
    <t>App Inventor 2程式開發實戰演練：正確學會Android App設計技巧的16堂課</t>
  </si>
  <si>
    <t>9789864343027</t>
  </si>
  <si>
    <t>白乃遠，曾奕霖</t>
  </si>
  <si>
    <t>高效率！人資、業務、倉儲、專案經理必學的Excel函數與視覺化圖表完全解析</t>
  </si>
  <si>
    <t>9789864343065</t>
  </si>
  <si>
    <t>黃瀞儀</t>
  </si>
  <si>
    <t>Python新手使用Django架站技術實作</t>
  </si>
  <si>
    <t>9789864343102</t>
  </si>
  <si>
    <t>何敏煌，林亮昀</t>
  </si>
  <si>
    <t>OpenCV＋VTK＋Visual Studio影像辨識處理</t>
  </si>
  <si>
    <t>9789864342730</t>
  </si>
  <si>
    <t>望熙榮，望熙貴</t>
  </si>
  <si>
    <t>7天學會Android App程式開發</t>
  </si>
  <si>
    <t>9789864343119</t>
  </si>
  <si>
    <t>李聖黌</t>
  </si>
  <si>
    <t>Photoshop CC去背達人的私房秘技不藏私</t>
  </si>
  <si>
    <t>9789864343126</t>
  </si>
  <si>
    <t>原來你才是絆腳石：企業敏捷轉型失敗都是因為領導者，你做對了嗎？</t>
  </si>
  <si>
    <t>9789864343140</t>
  </si>
  <si>
    <t>Jutta Eckstein，John Buck</t>
  </si>
  <si>
    <t>Python程式設計實務：從初學到活用Python開發技巧的16堂課</t>
  </si>
  <si>
    <t>9789864343157</t>
  </si>
  <si>
    <t>9789864343171</t>
  </si>
  <si>
    <t>電路學</t>
  </si>
  <si>
    <t>9789574547524_06</t>
  </si>
  <si>
    <t>曾昱誠</t>
  </si>
  <si>
    <t>337</t>
  </si>
  <si>
    <t>郵政國文（外勤）：測驗題型及閱讀測驗</t>
  </si>
  <si>
    <t>9789574547593_13</t>
  </si>
  <si>
    <t>遍體鱗傷長大的孩子，會自己恢復正常嗎？：兒童精神科醫師與那些絕望、受傷童年的真實面對面；關係為何不可或缺，又何以讓人奄奄一息！</t>
  </si>
  <si>
    <t>9789869700641</t>
  </si>
  <si>
    <t>布魯斯．D．培理（Bruce D. Perry），瑪亞．薩拉維茲（Maia Szalavitz）</t>
  </si>
  <si>
    <t>415.9517</t>
  </si>
  <si>
    <t>布農族的大山大樹：Tahai Ispalalavi布農族文化傳承回憶錄</t>
  </si>
  <si>
    <t>9789869703000</t>
  </si>
  <si>
    <t>洪宏</t>
  </si>
  <si>
    <t>數位時代的學與教：給教師的建議30講</t>
  </si>
  <si>
    <t>9789864491322</t>
  </si>
  <si>
    <t>王緒溢</t>
  </si>
  <si>
    <t>521.53</t>
  </si>
  <si>
    <t>磨課師教學設計指引</t>
  </si>
  <si>
    <t>9789861441740</t>
  </si>
  <si>
    <t>社團法人中華開放教育聯盟（千華）</t>
  </si>
  <si>
    <t>張淑萍</t>
  </si>
  <si>
    <t>New TOEIC新制多益必考單詞1000【有聲】</t>
  </si>
  <si>
    <t>9789862487907</t>
  </si>
  <si>
    <t>TEX加藤</t>
  </si>
  <si>
    <t>我在100天內自學英文翻轉人生：跟讀電影成為英文口說高手</t>
  </si>
  <si>
    <t>9789862487778</t>
  </si>
  <si>
    <t>張同完</t>
  </si>
  <si>
    <t>幸福丹麥流：HYGGE！每一天愉悅舒心的生活提案</t>
  </si>
  <si>
    <t>9789862487785</t>
  </si>
  <si>
    <t>夏洛特．亞伯拉罕</t>
  </si>
  <si>
    <t>747.33</t>
  </si>
  <si>
    <t>雙軌轉型：既有業務再升級＋發掘市場新缺口，翻轉創新的兩難</t>
  </si>
  <si>
    <t>9789862487761</t>
  </si>
  <si>
    <t>史考特‧安東尼（Scott D. Anthony），克拉克‧吉伯特（Clark G. Gilbert），馬克‧強生（Mark W. Johnson）</t>
  </si>
  <si>
    <t>出國旅行，一指就通！韓文手指書：只要動動手指，免開口也能溝通</t>
  </si>
  <si>
    <t>9789862283998</t>
  </si>
  <si>
    <t>葛增娜</t>
  </si>
  <si>
    <t>英單最精華！地表超濃縮2990個英文單字</t>
  </si>
  <si>
    <t>9789862284001</t>
  </si>
  <si>
    <t>H．Y．語文編輯部</t>
  </si>
  <si>
    <t>出國旅行，一指就通！日文手指書：只要動動手指，免開口也能溝通</t>
  </si>
  <si>
    <t>9789862284032</t>
  </si>
  <si>
    <t>劉姍珊</t>
  </si>
  <si>
    <t>出國旅行，一指就通！英文手指書：只要動動手指，免開口也能溝通</t>
  </si>
  <si>
    <t>9789862284049</t>
  </si>
  <si>
    <t>彩圖易讀版臺灣史年表</t>
  </si>
  <si>
    <t>9789862284179</t>
  </si>
  <si>
    <t>陳映勳</t>
  </si>
  <si>
    <t>733.2102</t>
  </si>
  <si>
    <t>新世紀偵探推理故事：推理小說之王</t>
  </si>
  <si>
    <t>9789862284186</t>
  </si>
  <si>
    <t>愛倫．坡 等</t>
  </si>
  <si>
    <t>新世紀偵探推理故事：解碼福爾摩斯</t>
  </si>
  <si>
    <t>9789862284216</t>
  </si>
  <si>
    <t>亞瑟．柯南．道爾</t>
  </si>
  <si>
    <t>彩圖易讀版世界文化史年表</t>
  </si>
  <si>
    <t>9789862284261</t>
  </si>
  <si>
    <t>漢宇歷史編輯部</t>
  </si>
  <si>
    <t>713.02</t>
  </si>
  <si>
    <t>手繪圖解‧世界史</t>
  </si>
  <si>
    <t>9789862284278</t>
  </si>
  <si>
    <t>眼見不為憑！圖解動物心酸囧事</t>
  </si>
  <si>
    <t>9789862284322</t>
  </si>
  <si>
    <t>漢宇生物糾察隊</t>
  </si>
  <si>
    <t>圖解版台灣通史</t>
  </si>
  <si>
    <t>9789862255131</t>
  </si>
  <si>
    <t>台灣文史工作室</t>
  </si>
  <si>
    <t>挺、伸、展！最強腰椎舒活枕</t>
  </si>
  <si>
    <t>9789862255179</t>
  </si>
  <si>
    <t>陳勁草</t>
  </si>
  <si>
    <t>史上最強！無限回購！出國日本熱門必買血拚攻略</t>
  </si>
  <si>
    <t>9789862255193</t>
  </si>
  <si>
    <t>張晏清</t>
  </si>
  <si>
    <t>清明節：紀念過世親友最有意義的一天</t>
  </si>
  <si>
    <t>9789862436509</t>
  </si>
  <si>
    <t>幼福文化事業有限公司</t>
  </si>
  <si>
    <t>艾德娜</t>
  </si>
  <si>
    <t>鬆軟餡多！手撕方造型麵包</t>
  </si>
  <si>
    <t>9789863711209</t>
  </si>
  <si>
    <t>吳育娟（Candy）</t>
  </si>
  <si>
    <t>圖解家庭麵包成功研究室</t>
  </si>
  <si>
    <t>9789863711285</t>
  </si>
  <si>
    <t>彭士哲</t>
  </si>
  <si>
    <t>料理作法轉個彎，全營養不流失</t>
  </si>
  <si>
    <t>9789863711308</t>
  </si>
  <si>
    <t>好食材研究團隊</t>
  </si>
  <si>
    <t>營養師百問百答</t>
  </si>
  <si>
    <t>9789863711315</t>
  </si>
  <si>
    <t>劉素櫻</t>
  </si>
  <si>
    <t>全彩圖解‧0～3歲分齡育兒大百科：最新版育兒書，日常照顧、傷病護理，一本就安心！</t>
  </si>
  <si>
    <t>9789863711513</t>
  </si>
  <si>
    <t>李馥</t>
  </si>
  <si>
    <t>史上最強！防治糖尿病食療大百科</t>
  </si>
  <si>
    <t>9789862254929</t>
  </si>
  <si>
    <t>好好告別！身後事最後一堂課：臨終照顧、預立遺囑、葬禮計畫、遺產繼承、保險給付，人生完成式問題解決書</t>
  </si>
  <si>
    <t>9789862255063</t>
  </si>
  <si>
    <t>獺祭魚</t>
  </si>
  <si>
    <t>489.66</t>
  </si>
  <si>
    <t>圖解版：高倍速、高成效、高成就金字塔手帳分析術</t>
  </si>
  <si>
    <t>9789862255100</t>
  </si>
  <si>
    <t>CD工作室</t>
  </si>
  <si>
    <t>019.2106</t>
  </si>
  <si>
    <t>三千輝日語：和日本人聊天，一定要會說的日語3000句</t>
  </si>
  <si>
    <t>9789862283899</t>
  </si>
  <si>
    <t>仁平亘</t>
  </si>
  <si>
    <t>大手牽小手，全家玩遍亞洲5大國：行旅亞洲13城市100景的親子攻略</t>
  </si>
  <si>
    <t>9789862283974</t>
  </si>
  <si>
    <t>Winnie</t>
  </si>
  <si>
    <t>730.9</t>
  </si>
  <si>
    <t>十二生肖</t>
  </si>
  <si>
    <t>9789862436424</t>
  </si>
  <si>
    <t>中元節：祈福消災感恩的節日</t>
  </si>
  <si>
    <t>9789862436639</t>
  </si>
  <si>
    <t>冒險癮！在台灣一定要體驗的十件事</t>
  </si>
  <si>
    <t>9789863710752</t>
  </si>
  <si>
    <t>李31，董珮君</t>
  </si>
  <si>
    <t>成功VS失敗，蛋糕聖經製作書：【全圖解對照】OK與NG，從備料、攪拌、打發、烘烤到裝飾，失敗盲點大突破！</t>
  </si>
  <si>
    <t>9789863711018</t>
  </si>
  <si>
    <t>黃東慶，黃葉嘉，姜志強，劉育宏</t>
  </si>
  <si>
    <t>世界咖啡豆烘焙履歷圖鑑</t>
  </si>
  <si>
    <t>9789863711155</t>
  </si>
  <si>
    <t>張陽燦，林怡呈</t>
  </si>
  <si>
    <t>427.42</t>
  </si>
  <si>
    <t>人力資源管理</t>
  </si>
  <si>
    <t>9789574547487_07</t>
  </si>
  <si>
    <t>胡鼎華</t>
  </si>
  <si>
    <t>財務管理</t>
  </si>
  <si>
    <t>9789574548613_06</t>
  </si>
  <si>
    <t>錢富生</t>
  </si>
  <si>
    <t>行政學（含概要）</t>
  </si>
  <si>
    <t>9789575335687_08</t>
  </si>
  <si>
    <t>程續</t>
  </si>
  <si>
    <t>法學大意</t>
  </si>
  <si>
    <t>9789574547975_08</t>
  </si>
  <si>
    <t>誰在搞飛機：黑五機長瘋狂詹姆士的苦勞奴記</t>
  </si>
  <si>
    <t>9789863587279</t>
  </si>
  <si>
    <t>瘋狂詹姆士</t>
  </si>
  <si>
    <t>台灣50產業地圖：4</t>
  </si>
  <si>
    <t>4710004780131</t>
  </si>
  <si>
    <t>中華徵信所企業股份有限公司</t>
  </si>
  <si>
    <t>位子哲學，我真的知道：寫給主管的真心話</t>
  </si>
  <si>
    <t>9789864791354</t>
  </si>
  <si>
    <t>陳瑰鶯</t>
  </si>
  <si>
    <t>美感心體驗</t>
  </si>
  <si>
    <t>9789869582810</t>
  </si>
  <si>
    <t>許玲瑋</t>
  </si>
  <si>
    <t>醫路向西非：臺大醫院雲林分院海外醫療之路</t>
  </si>
  <si>
    <t>9789864795550</t>
  </si>
  <si>
    <t>陳建豪，王馨儀</t>
  </si>
  <si>
    <t>日本冬季行旅：東京‧仙台‧高崎‧輕井澤的心靈散步</t>
  </si>
  <si>
    <t>9789577275561</t>
  </si>
  <si>
    <t>依品凡</t>
  </si>
  <si>
    <t>龍紋章：大清帝國船艦圖集1862～1895</t>
  </si>
  <si>
    <t>9789869696425</t>
  </si>
  <si>
    <t>597.6</t>
  </si>
  <si>
    <t>當前國際戰略：美中競爭與台灣</t>
  </si>
  <si>
    <t>9789869394680</t>
  </si>
  <si>
    <t>施正鋒，王崑義</t>
  </si>
  <si>
    <t>578.522</t>
  </si>
  <si>
    <t>在「亞細亞」想像台灣：台灣觀光與日本亞細亞航空（1975－2008）</t>
  </si>
  <si>
    <t>9789869703024</t>
  </si>
  <si>
    <t>陳建源</t>
  </si>
  <si>
    <t>557.9931</t>
  </si>
  <si>
    <t>商業模式創新專案管理</t>
  </si>
  <si>
    <t>9789869703048</t>
  </si>
  <si>
    <t>管孟忠</t>
  </si>
  <si>
    <t>各國人事制度：比較人事制度</t>
  </si>
  <si>
    <t>9789861441733</t>
  </si>
  <si>
    <t>許南雄</t>
  </si>
  <si>
    <t>572.4</t>
  </si>
  <si>
    <t>國小教甄口試實例演練</t>
  </si>
  <si>
    <t>9789864876075</t>
  </si>
  <si>
    <t>國語文歷年試題解題聖經（八）107年度</t>
  </si>
  <si>
    <t>9789864876068</t>
  </si>
  <si>
    <t>吳姍姍，伍湘芬，邱鉦倫</t>
  </si>
  <si>
    <t>人口政策與人口統計</t>
  </si>
  <si>
    <t>9789864875764</t>
  </si>
  <si>
    <t>機械製造學（含概要、大意）</t>
  </si>
  <si>
    <t>9789864875283</t>
  </si>
  <si>
    <t>張千易，陳正棋</t>
  </si>
  <si>
    <t>企業管理（適用管理概論）</t>
  </si>
  <si>
    <t>9789864875535</t>
  </si>
  <si>
    <t>行政學（含概要）測驗式歷屆試題精闢新解</t>
  </si>
  <si>
    <t>9789864875931</t>
  </si>
  <si>
    <t>行政法（含概要）測驗式歷屆試題精闢新解</t>
  </si>
  <si>
    <t>9789864875979</t>
  </si>
  <si>
    <t>政治學（含概要）混合式：歷屆試題精闢新解</t>
  </si>
  <si>
    <t>9789864876013</t>
  </si>
  <si>
    <t>蔡力</t>
  </si>
  <si>
    <t>溝通能力培訓遊戲</t>
  </si>
  <si>
    <t>9789863690672</t>
  </si>
  <si>
    <t>郭寶明</t>
  </si>
  <si>
    <t>店長操作手冊</t>
  </si>
  <si>
    <t>9789863690634</t>
  </si>
  <si>
    <t>連鎖企業如何取得投資公司注入資金</t>
  </si>
  <si>
    <t>9789863690641</t>
  </si>
  <si>
    <t>張向紅，蔣浩恩，黃憲仁</t>
  </si>
  <si>
    <t>生產計劃的規劃與執行</t>
  </si>
  <si>
    <t>9789863690658</t>
  </si>
  <si>
    <t>蔡明豪</t>
  </si>
  <si>
    <t>如何撰寫商業計劃書</t>
  </si>
  <si>
    <t>9789863690665</t>
  </si>
  <si>
    <t>陳永翊</t>
  </si>
  <si>
    <t>企業要注重現金流</t>
  </si>
  <si>
    <t>9789863690719</t>
  </si>
  <si>
    <t>劉裕濤，黃憲仁</t>
  </si>
  <si>
    <t>內部控制規範手冊</t>
  </si>
  <si>
    <t>9789863690764</t>
  </si>
  <si>
    <t>陳明煌</t>
  </si>
  <si>
    <t>非一般的旅行20：老挝</t>
  </si>
  <si>
    <t>9789811184291</t>
  </si>
  <si>
    <t>道德浪女：多重關係、開放關係與其他冒險的實用指南（第三版）</t>
  </si>
  <si>
    <t>9789869594561</t>
  </si>
  <si>
    <t>珍妮．W．哈帝（Janet W. Hardy），朵思．伊斯頓（Dossie Easton）</t>
  </si>
  <si>
    <t>一定要記住的NEW TOEIC新多益必考單字</t>
  </si>
  <si>
    <t>9789865962647</t>
  </si>
  <si>
    <t>華翔文創</t>
  </si>
  <si>
    <t>一定會考的NEW TOEIC新多益單字</t>
  </si>
  <si>
    <t>9789865962654</t>
  </si>
  <si>
    <t>深夜食堂超人氣滷味</t>
  </si>
  <si>
    <t>4715443041188</t>
  </si>
  <si>
    <t>劉政良，楊華志，李哲松</t>
  </si>
  <si>
    <t>10大降血脂特效食物</t>
  </si>
  <si>
    <t>9789863734208</t>
  </si>
  <si>
    <t>對症豆漿營養好喝</t>
  </si>
  <si>
    <t>9789863734192</t>
  </si>
  <si>
    <t>飯糰．壽司料理王</t>
  </si>
  <si>
    <t>4715443041942</t>
  </si>
  <si>
    <t>王景茹，康鑑文化編輯部</t>
  </si>
  <si>
    <t>從0到1自媒體品牌行銷術</t>
  </si>
  <si>
    <t>9789864139859</t>
  </si>
  <si>
    <t>王靖傑</t>
  </si>
  <si>
    <t>全民英檢中高級必考單字書</t>
  </si>
  <si>
    <t>9789865962784</t>
  </si>
  <si>
    <t>吸引力法則實現你的願望</t>
  </si>
  <si>
    <t>9789863734284</t>
  </si>
  <si>
    <t>于佩樺</t>
  </si>
  <si>
    <t>一看就懂：孫子兵法教你謀略致勝91招</t>
  </si>
  <si>
    <t>9789869434997</t>
  </si>
  <si>
    <t>沉零</t>
  </si>
  <si>
    <t>592.092</t>
  </si>
  <si>
    <t>紳士的品格：切斯特菲爾伯爵給兒子的家書，為人生打底的64個重要建議</t>
  </si>
  <si>
    <t>9789869434959</t>
  </si>
  <si>
    <t>切斯特菲爾伯爵（Lord Chesterfield）</t>
  </si>
  <si>
    <t>193</t>
  </si>
  <si>
    <t>過敏，不一定靠藥醫：劉博仁醫師的營養療法奇蹟之【增訂版】</t>
  </si>
  <si>
    <t>9789869611749</t>
  </si>
  <si>
    <t>415.74</t>
  </si>
  <si>
    <t>吃錯了，當然會生病！：陳俊旭博士的健康飲食寶典【暢銷紀念版】</t>
  </si>
  <si>
    <t>9789869611787</t>
  </si>
  <si>
    <t>完全根治耳鼻喉疾病：眩暈、耳鳴、鼻過敏、咳嗽、打鼾：劉博仁醫師的營養療法奇蹟【增訂版】</t>
  </si>
  <si>
    <t>9789869693738</t>
  </si>
  <si>
    <t>不是每個甜甜圈都有洞！義大利美食諺語筆記：50道經典食譜及50句智慧語錄</t>
  </si>
  <si>
    <t>9789862487891</t>
  </si>
  <si>
    <t>楊馥如</t>
  </si>
  <si>
    <t>品牌成長的7道修煉：打破停滯Ｘ逆境轉型Ｘ獲利突破，成功布局未來</t>
  </si>
  <si>
    <t>9789862487884</t>
  </si>
  <si>
    <t>毒家企業：從創造品牌價值到優化客戶服務，毒梟如何經營販毒集團？</t>
  </si>
  <si>
    <t>9789862487839</t>
  </si>
  <si>
    <t>湯姆・溫萊特（Tom Wainwright）</t>
  </si>
  <si>
    <t>548.82</t>
  </si>
  <si>
    <t>阿瑪杜．庫巴的新非洲寓言</t>
  </si>
  <si>
    <t>9789869631778</t>
  </si>
  <si>
    <t>比拉戈．迪奧普（Birago Diop）</t>
  </si>
  <si>
    <t>886.366</t>
  </si>
  <si>
    <t>邊境人生：在歐洲顛沛流離的難民與移民</t>
  </si>
  <si>
    <t>9789869631761</t>
  </si>
  <si>
    <t>白曉紅（Hsiao-Hung Pai）</t>
  </si>
  <si>
    <t>258</t>
  </si>
  <si>
    <t>走走新加坡</t>
  </si>
  <si>
    <t>EBK10200011214</t>
  </si>
  <si>
    <t>德島20＋玩法</t>
  </si>
  <si>
    <t>EBK10200011215</t>
  </si>
  <si>
    <t>傑森全球整合行銷股份有限公司</t>
  </si>
  <si>
    <t>許修榮，嚴詩敏</t>
  </si>
  <si>
    <t>留在遠方的雲彩</t>
  </si>
  <si>
    <t>9789577275554</t>
  </si>
  <si>
    <t>魏外揚</t>
  </si>
  <si>
    <t>248.2</t>
  </si>
  <si>
    <t>書鄉夢影</t>
  </si>
  <si>
    <t>9789887827009</t>
  </si>
  <si>
    <t>初文出版社有限公司</t>
  </si>
  <si>
    <t>許定銘</t>
  </si>
  <si>
    <t>別笑！我是最實用韓語學習書</t>
  </si>
  <si>
    <t>9789862283134</t>
  </si>
  <si>
    <t>金美貞</t>
  </si>
  <si>
    <t>看了就會彈，烏克麗麗入門自學簡譜</t>
  </si>
  <si>
    <t>9789865894870</t>
  </si>
  <si>
    <t>林中健</t>
  </si>
  <si>
    <t>916.6504</t>
  </si>
  <si>
    <t>老師傅教你掌握腳底痛點，代謝力大爆發！</t>
  </si>
  <si>
    <t>9789865894894</t>
  </si>
  <si>
    <t>林天扶</t>
  </si>
  <si>
    <t>台灣50產業地圖：3</t>
  </si>
  <si>
    <t>4713213988305</t>
  </si>
  <si>
    <t>十二月初夏</t>
  </si>
  <si>
    <t>9789887866749</t>
  </si>
  <si>
    <t>張偉男</t>
  </si>
  <si>
    <t>彩妝師教你打造百變女神妝</t>
  </si>
  <si>
    <t>9789862254837</t>
  </si>
  <si>
    <t>莫菱</t>
  </si>
  <si>
    <t>彩妝師教你2倍大眼睫毛化妝術</t>
  </si>
  <si>
    <t>9789862254844</t>
  </si>
  <si>
    <t>端午節</t>
  </si>
  <si>
    <t>9789862435977</t>
  </si>
  <si>
    <t>中秋節</t>
  </si>
  <si>
    <t>9789862435984</t>
  </si>
  <si>
    <t>過年</t>
  </si>
  <si>
    <t>9789862436141</t>
  </si>
  <si>
    <t>成功VS.失敗，甜點聖經製作書</t>
  </si>
  <si>
    <t>9789863710615</t>
  </si>
  <si>
    <t>黃東慶，徐軍蘭，姜志強，高珮容</t>
  </si>
  <si>
    <t>享受吧！一個人的環遊世界</t>
  </si>
  <si>
    <t>9789863710776</t>
  </si>
  <si>
    <t>陳靖婕</t>
  </si>
  <si>
    <t>風靡全日本，月銷上萬個！迷你彩繪甜甜圈</t>
  </si>
  <si>
    <t>9789863711087</t>
  </si>
  <si>
    <t>王景紅（Brenda）</t>
  </si>
  <si>
    <t>超代謝，經絡淋巴按摩</t>
  </si>
  <si>
    <t>9789863711094</t>
  </si>
  <si>
    <t>連永祥</t>
  </si>
  <si>
    <t>儒家政治哲學：政治、城市和日常生活</t>
  </si>
  <si>
    <t>9789629372699</t>
  </si>
  <si>
    <t>貝淡寧（Daniel A．Bell）</t>
  </si>
  <si>
    <t>奥斯維辛之後</t>
  </si>
  <si>
    <t>9789629373962</t>
  </si>
  <si>
    <t>邵燕祥</t>
  </si>
  <si>
    <t>吸引力法則打開潛意識進入催眠狀態</t>
  </si>
  <si>
    <t>9789863734437</t>
  </si>
  <si>
    <t>銀行國文（測驗題型）</t>
  </si>
  <si>
    <t>9789866172243_09</t>
  </si>
  <si>
    <t>票據法（含概要）</t>
  </si>
  <si>
    <t>9789866172281_08</t>
  </si>
  <si>
    <t>趙朗</t>
  </si>
  <si>
    <t>銀行英文精析攻略</t>
  </si>
  <si>
    <t>9789574549047_06</t>
  </si>
  <si>
    <t>行銷學精選題庫完全攻略</t>
  </si>
  <si>
    <t>9789574546435_06</t>
  </si>
  <si>
    <t>馬可丁</t>
  </si>
  <si>
    <t>會計學（含概要）</t>
  </si>
  <si>
    <t>9789866172274_11</t>
  </si>
  <si>
    <t>王龍應</t>
  </si>
  <si>
    <t>死者，與她的島</t>
  </si>
  <si>
    <t>9789887827023</t>
  </si>
  <si>
    <t>陳穎怡</t>
  </si>
  <si>
    <t>頂尖流行掃貨嘗鮮EasyGO！東京（18－19年版）</t>
  </si>
  <si>
    <t>9789881474247</t>
  </si>
  <si>
    <t>Him，跨版生活編輯部</t>
  </si>
  <si>
    <t>魅力情懷潮爆遊EasyGO！香港（18－19年版）</t>
  </si>
  <si>
    <t>9789881474230</t>
  </si>
  <si>
    <t>沙米，李雪熒，湯米，陳亮，跨版生活編輯部</t>
  </si>
  <si>
    <t>Hea玩潮遊嘆世界EasyGO！曼谷（18－19年版）</t>
  </si>
  <si>
    <t>9789881474209</t>
  </si>
  <si>
    <t>Tom Mark</t>
  </si>
  <si>
    <t>我的戰友是狼先生：系統性紅斑狼瘡症患者的奮鬥日記</t>
  </si>
  <si>
    <t>9789888490790</t>
  </si>
  <si>
    <t>青森文化</t>
  </si>
  <si>
    <t>好鈞</t>
  </si>
  <si>
    <t>電力系統：重點整理＋高分題庫</t>
  </si>
  <si>
    <t>9789864876211</t>
  </si>
  <si>
    <t>廖翔霖</t>
  </si>
  <si>
    <t>消防與災害防救法規（含概要）精析</t>
  </si>
  <si>
    <t>9789864876266</t>
  </si>
  <si>
    <t>陳正祥，成傑</t>
  </si>
  <si>
    <t>青春，壯遊。翻轉人生的夏日小旅行</t>
  </si>
  <si>
    <t>9789869693776</t>
  </si>
  <si>
    <t>古碧玲，高世威，張嘉芳，林佳儀</t>
  </si>
  <si>
    <t>有話不直說，人脈就能變錢脈</t>
  </si>
  <si>
    <t>9789865899394</t>
  </si>
  <si>
    <t>你沒察覺到的事，往往會變成你的人生</t>
  </si>
  <si>
    <t>9789574706617</t>
  </si>
  <si>
    <t>王啟芬</t>
  </si>
  <si>
    <t>比天堂更美好的地方，就在人間：101則助你覺醒的小故事</t>
  </si>
  <si>
    <t>9789574706570</t>
  </si>
  <si>
    <t>吳九箴</t>
  </si>
  <si>
    <t>愛情潛規則</t>
  </si>
  <si>
    <t>9789574706778</t>
  </si>
  <si>
    <t>太陽氏文化事業有限公司</t>
  </si>
  <si>
    <t>史芬克絲</t>
  </si>
  <si>
    <t>張大千：青城好顏色、愛痕之湖、名山勝水（精裝合訂本）</t>
  </si>
  <si>
    <t>9789576724015</t>
  </si>
  <si>
    <t>被消失的科學神人•特斯拉親筆自傳</t>
  </si>
  <si>
    <t>9789869700603</t>
  </si>
  <si>
    <t>尼古拉‧特斯拉</t>
  </si>
  <si>
    <t>啟動失落的能量之源</t>
  </si>
  <si>
    <t>9789869629287</t>
  </si>
  <si>
    <t>華萊士‧華特斯</t>
  </si>
  <si>
    <t>胖．老．病的殺手飲食：你的基因隱藏著生存與謀殺密碼</t>
  </si>
  <si>
    <t>9789869700627</t>
  </si>
  <si>
    <t>史提芬・R・岡德里</t>
  </si>
  <si>
    <t>9789574547470_11</t>
  </si>
  <si>
    <t>挑戰不可能！麥肯錫都在用的「絕對做得到」思考法：延伸思考X積極實踐X分析洞察X多方構思，翻轉慣性否定，職場升級絕對做得到</t>
  </si>
  <si>
    <t>9789862487938</t>
  </si>
  <si>
    <t>山梨廣一</t>
  </si>
  <si>
    <t>再見了！東京昭和百景：庶民橫丁、黑市酒
場、歌舞廳，編輯大叔的懷舊東京10區散
策</t>
  </si>
  <si>
    <t>9789862487952</t>
  </si>
  <si>
    <t>Fleet橫田</t>
  </si>
  <si>
    <t>731.7260</t>
  </si>
  <si>
    <t>極品湯之味：高湯專家Ｘ料理達人，教你用8
種鮮高湯，煮出36道頂級湯料理</t>
  </si>
  <si>
    <t>9789862487945</t>
  </si>
  <si>
    <t>杵島隆太，鵜飼真妃，友利新，日本放送協會／NHK出版</t>
  </si>
  <si>
    <t>長江浪客</t>
  </si>
  <si>
    <t>9789888568147</t>
  </si>
  <si>
    <t>余偉權</t>
  </si>
  <si>
    <t>逆向飛翔2</t>
  </si>
  <si>
    <t>9789888568017</t>
  </si>
  <si>
    <t>香港撒瑪利亞防止自殺會</t>
  </si>
  <si>
    <t>惜食咪做大嘥鬼</t>
  </si>
  <si>
    <t>9789888437627</t>
  </si>
  <si>
    <t>鄔柏強</t>
  </si>
  <si>
    <t>法律扶助與社會期刊：第二期</t>
  </si>
  <si>
    <t>26171562_002</t>
  </si>
  <si>
    <t>財團法人法律扶助基金會（新學林）</t>
  </si>
  <si>
    <t>李茂生</t>
  </si>
  <si>
    <t>051</t>
  </si>
  <si>
    <t>皇上有令：30位帝王點點名</t>
  </si>
  <si>
    <t>9789864491438</t>
  </si>
  <si>
    <t>New TOEIC新制多益文法滿分關鍵</t>
  </si>
  <si>
    <t>9789862488034</t>
  </si>
  <si>
    <t>蕭志億</t>
  </si>
  <si>
    <t>日檢N1聽解總合對策（全新修訂版）【有聲】</t>
  </si>
  <si>
    <t>9789862488010</t>
  </si>
  <si>
    <t>鋼琴合作視野之蕭頌聲響世界：以《給鋼琴、小提琴與弦樂四重奏的D大調協奏曲，作品21》為例</t>
  </si>
  <si>
    <t>9789869675895</t>
  </si>
  <si>
    <t>洪珮綺</t>
  </si>
  <si>
    <t>917.1026</t>
  </si>
  <si>
    <t>臺灣的後眷村時代：離散經驗與社會想像的重構</t>
  </si>
  <si>
    <t>9789869703055</t>
  </si>
  <si>
    <t>李佩霖</t>
  </si>
  <si>
    <t>545.4933</t>
  </si>
  <si>
    <t>韓國重要經貿政策彙編：2013－2016朴槿惠總統時期</t>
  </si>
  <si>
    <t>9789869703079</t>
  </si>
  <si>
    <t>謝目堂，吳家興，張琳禎</t>
  </si>
  <si>
    <t>552.32</t>
  </si>
  <si>
    <t>創新管理標準化</t>
  </si>
  <si>
    <t>9789869703086</t>
  </si>
  <si>
    <t>地球最後的密碼：上帝的名片</t>
  </si>
  <si>
    <t>9789888490004</t>
  </si>
  <si>
    <t>愛德森</t>
  </si>
  <si>
    <t>108</t>
  </si>
  <si>
    <t>從人心到階級：解析大腦演算法</t>
  </si>
  <si>
    <t>9789888568093</t>
  </si>
  <si>
    <t>孫義強</t>
  </si>
  <si>
    <t>建盞•茶談</t>
  </si>
  <si>
    <t>9789869445849</t>
  </si>
  <si>
    <t>拾慧文化創意有限公司</t>
  </si>
  <si>
    <t>王薀老師</t>
  </si>
  <si>
    <t>思考方法</t>
  </si>
  <si>
    <t>9789862954553</t>
  </si>
  <si>
    <t>彭孟堯</t>
  </si>
  <si>
    <t>哲學方法論</t>
  </si>
  <si>
    <t>9789862954546</t>
  </si>
  <si>
    <t>103.1</t>
  </si>
  <si>
    <t>語音學之旅</t>
  </si>
  <si>
    <t>9789862955420</t>
  </si>
  <si>
    <t>801.3</t>
  </si>
  <si>
    <t>走走韓國：釜山</t>
  </si>
  <si>
    <t>EBK10200011261</t>
  </si>
  <si>
    <t>工業基本控制程式設計（網路轉串列埠篇）</t>
  </si>
  <si>
    <t>9789865629779</t>
  </si>
  <si>
    <t>雲端平台（系統開發基礎篇）</t>
  </si>
  <si>
    <t>9789865629816</t>
  </si>
  <si>
    <t>找回身體裡的醫生：自癒力</t>
  </si>
  <si>
    <t>9789869551953</t>
  </si>
  <si>
    <t>許光揚</t>
  </si>
  <si>
    <t>哲學大師的通識教育思想</t>
  </si>
  <si>
    <t>9789869551946</t>
  </si>
  <si>
    <t>不老族札記</t>
  </si>
  <si>
    <t>9789869551977</t>
  </si>
  <si>
    <t>少過</t>
  </si>
  <si>
    <t>智慧城市大数据</t>
  </si>
  <si>
    <t>9787547822906</t>
  </si>
  <si>
    <t>上海科学技术出版社有限公司</t>
  </si>
  <si>
    <t>李光亚 等</t>
  </si>
  <si>
    <t>318</t>
  </si>
  <si>
    <t>城市发展的数据逻辑</t>
  </si>
  <si>
    <t>9787547822968</t>
  </si>
  <si>
    <t>李光耀，杨丽</t>
  </si>
  <si>
    <t>大数据治理与服务</t>
  </si>
  <si>
    <t>9787547828380</t>
  </si>
  <si>
    <t>张绍华，潘蓉，宗宇伟</t>
  </si>
  <si>
    <t>愛的醫療奇蹟：從「不治而癒」的重症患者身上看到不可思議的療癒能量</t>
  </si>
  <si>
    <t>9789869700665</t>
  </si>
  <si>
    <t>伯尼‧西格爾</t>
  </si>
  <si>
    <t>暗示自我的力量：輕鬆駕馭你不受控的小心思，斷絕惡習、清理疾病、完成所有你在乎的事！</t>
  </si>
  <si>
    <t>9789869700672</t>
  </si>
  <si>
    <t>賽勒斯•哈利•布魯克斯</t>
  </si>
  <si>
    <t>前往曼徹斯特的高速列車：英國留學隨筆</t>
  </si>
  <si>
    <t>9789863587149</t>
  </si>
  <si>
    <t>邱奕齊</t>
  </si>
  <si>
    <t>源氏物語與日本人：女性覺醒的故事</t>
  </si>
  <si>
    <t>9789863571247</t>
  </si>
  <si>
    <t>河合隼雄</t>
  </si>
  <si>
    <t>神話心理學：來自眾神的處方箋</t>
  </si>
  <si>
    <t>9789863571278</t>
  </si>
  <si>
    <t>魂囚西門</t>
  </si>
  <si>
    <t>9789869613675</t>
  </si>
  <si>
    <t>九色夫</t>
  </si>
  <si>
    <t>彩繪李火增：找回昭和美麗臺灣的色彩</t>
  </si>
  <si>
    <t>9789869696449</t>
  </si>
  <si>
    <t>中西医结合的未来：从联合走向融合</t>
  </si>
  <si>
    <t>9787547831724</t>
  </si>
  <si>
    <t>赵玉男</t>
  </si>
  <si>
    <t>泰生疗法：四“以”相和保健康</t>
  </si>
  <si>
    <t>9787547834077</t>
  </si>
  <si>
    <t>詹红生</t>
  </si>
  <si>
    <t>航运大数据</t>
  </si>
  <si>
    <t>9787547826836</t>
  </si>
  <si>
    <t>张云，韩彦岭</t>
  </si>
  <si>
    <t>彭培初医论集</t>
  </si>
  <si>
    <t>9787547833940</t>
  </si>
  <si>
    <t>王怡，彭煜</t>
  </si>
  <si>
    <t>旖旎数据：100分钟读懂大数据</t>
  </si>
  <si>
    <t>9787547841723</t>
  </si>
  <si>
    <t>朱扬勇</t>
  </si>
  <si>
    <t>漫谈光通信</t>
  </si>
  <si>
    <t>9787547839591</t>
  </si>
  <si>
    <t>匡国华</t>
  </si>
  <si>
    <t>沿着达尔文环球考察的足迹旅行</t>
  </si>
  <si>
    <t>9787547841273</t>
  </si>
  <si>
    <t>褚嘉祐</t>
  </si>
  <si>
    <t>363</t>
  </si>
  <si>
    <t>建筑群空间布局艺术</t>
  </si>
  <si>
    <t>9787547835654</t>
  </si>
  <si>
    <t>陈业伟</t>
  </si>
  <si>
    <t>921</t>
  </si>
  <si>
    <t>胡氏中医妇科百例医案</t>
  </si>
  <si>
    <t>9787547833261</t>
  </si>
  <si>
    <t>胡宗德，蒋鲁艺</t>
  </si>
  <si>
    <t>轻松吃掉脂肪肝</t>
  </si>
  <si>
    <t>9787547832721</t>
  </si>
  <si>
    <t>沈红艺，阮洁，俞璐</t>
  </si>
  <si>
    <t>中国社会学的历史与理论：阐释、调适与融合</t>
  </si>
  <si>
    <t>9787509786826</t>
  </si>
  <si>
    <t>何祎金</t>
  </si>
  <si>
    <t>中国都市中的消费实践：符号化及其根源</t>
  </si>
  <si>
    <t>9787520121620</t>
  </si>
  <si>
    <t>郑震</t>
  </si>
  <si>
    <t>战略威慑论</t>
  </si>
  <si>
    <t>9787520122672</t>
  </si>
  <si>
    <t>张岩</t>
  </si>
  <si>
    <t>华侨华人与侨乡发展</t>
  </si>
  <si>
    <t>9787520128407</t>
  </si>
  <si>
    <t>侯志强，叶新才，陈金华，方旭红 等</t>
  </si>
  <si>
    <t>577</t>
  </si>
  <si>
    <t>农民工家庭的性别政治</t>
  </si>
  <si>
    <t>9787520130325</t>
  </si>
  <si>
    <t>罗小锋</t>
  </si>
  <si>
    <t>南阳地区汉墓的考古学研究</t>
  </si>
  <si>
    <t>9787520139021</t>
  </si>
  <si>
    <t>陈亚军</t>
  </si>
  <si>
    <t>大数据时代个人隐私的分级保护研究</t>
  </si>
  <si>
    <t>9787520139120</t>
  </si>
  <si>
    <t>王敏</t>
  </si>
  <si>
    <t>“白银时代”的落地：明代货币白银化与银钱并行格局的形成</t>
  </si>
  <si>
    <t>9787509779057</t>
  </si>
  <si>
    <t>邱永志</t>
  </si>
  <si>
    <t>求索：中国古典舞创建历程</t>
  </si>
  <si>
    <t>9787520100847</t>
  </si>
  <si>
    <t>李正一，李馨</t>
  </si>
  <si>
    <t>中国古代戏曲研究文集</t>
  </si>
  <si>
    <t>9787520116138</t>
  </si>
  <si>
    <t>金宁芬</t>
  </si>
  <si>
    <t>文明碰撞与范式转变：19世纪来华德国人与中国</t>
  </si>
  <si>
    <t>9787520122610</t>
  </si>
  <si>
    <t>温馨</t>
  </si>
  <si>
    <t>冲突与引导：文化资源开发中的价值选择</t>
  </si>
  <si>
    <t>9787520125734</t>
  </si>
  <si>
    <t>王伟杰</t>
  </si>
  <si>
    <t>638</t>
  </si>
  <si>
    <t>中国演艺院团改革发展：现实与出路</t>
  </si>
  <si>
    <t>9787520126533</t>
  </si>
  <si>
    <t>李小牧 等</t>
  </si>
  <si>
    <t>906</t>
  </si>
  <si>
    <t>被资助的文化：中外文化资助体系及制度设计</t>
  </si>
  <si>
    <t>9787520132299</t>
  </si>
  <si>
    <t>黄玉蓉</t>
  </si>
  <si>
    <t>狄式白話【總體經濟學】</t>
  </si>
  <si>
    <t>9789865899431</t>
  </si>
  <si>
    <t>翻轉性別教育</t>
  </si>
  <si>
    <t>9789577325631</t>
  </si>
  <si>
    <t>周祝瑛</t>
  </si>
  <si>
    <t>《老子》怎麼讀　怎麼讀《老子》</t>
  </si>
  <si>
    <t>9789864900282</t>
  </si>
  <si>
    <t>吳銘宏</t>
  </si>
  <si>
    <t>科技世代一定要會的英文：EZ TALK總編嚴選特刊</t>
  </si>
  <si>
    <t>9789862487921</t>
  </si>
  <si>
    <t>柏林HOLIDAY：柏林圍牆．帝國建築．文化遺產．歷史蛻變軌跡，德國啤酒與傳統料理，一本就GO！</t>
  </si>
  <si>
    <t>9789862488003</t>
  </si>
  <si>
    <t>柳相鉉</t>
  </si>
  <si>
    <t>743.719</t>
  </si>
  <si>
    <t>減鹽料理可以這麼好吃！：NHK嚴選80道家常食譜，少用一半鹽，美味又健康</t>
  </si>
  <si>
    <t>9789862487976</t>
  </si>
  <si>
    <t>小田真規子</t>
  </si>
  <si>
    <t>下一座世界工廠：黑土變黃金，未來全球經濟引擎與商戰必爭之地——非洲</t>
  </si>
  <si>
    <t>9789862487983</t>
  </si>
  <si>
    <t>孫轅（Irene Yuan Sun）</t>
  </si>
  <si>
    <t>552.6</t>
  </si>
  <si>
    <t>新零售狂潮：數據賦能X坪效革命X短路經濟，優化人、貨、場效率，迎接零售新未來</t>
  </si>
  <si>
    <t>9789862487990</t>
  </si>
  <si>
    <t>寶鼎出版</t>
  </si>
  <si>
    <t>劉潤</t>
  </si>
  <si>
    <t>498.2</t>
  </si>
  <si>
    <t>基本護理學（上）</t>
  </si>
  <si>
    <t>9789869611664</t>
  </si>
  <si>
    <t>王桂芸</t>
  </si>
  <si>
    <t>基本護理學（下）</t>
  </si>
  <si>
    <t>9789869611671</t>
  </si>
  <si>
    <t>9789869611695</t>
  </si>
  <si>
    <t>黃宣宜 等</t>
  </si>
  <si>
    <t>社區衛生護理學</t>
  </si>
  <si>
    <t>9789869611688</t>
  </si>
  <si>
    <t>吳瑞文 等</t>
  </si>
  <si>
    <t>最新實用內外科護理學（上冊）</t>
  </si>
  <si>
    <t>9789869611626</t>
  </si>
  <si>
    <t>蔡秀鸞 等</t>
  </si>
  <si>
    <t>最新實用內外科護理學（下冊）</t>
  </si>
  <si>
    <t>9789869611633</t>
  </si>
  <si>
    <t>沒擊垮你的逆境，將使你變得更強大</t>
  </si>
  <si>
    <t>9789869025560</t>
  </si>
  <si>
    <t>一〇一教室</t>
  </si>
  <si>
    <t>9789869560658</t>
  </si>
  <si>
    <t>柳橋小鹿有限公司</t>
  </si>
  <si>
    <t>似鳥雞</t>
  </si>
  <si>
    <t>品讀三國</t>
  </si>
  <si>
    <t>9789869397926</t>
  </si>
  <si>
    <t>新文創</t>
  </si>
  <si>
    <t>羅貫中</t>
  </si>
  <si>
    <t>857.4523</t>
  </si>
  <si>
    <t>&lt;&lt;全彩圖解&gt;&gt;3分鐘讀懂霍金.時間簡史: 找出穿越千年的時空奧祕,黑洞.蟲洞.時光機的科學知識</t>
  </si>
  <si>
    <t>9789869610452</t>
  </si>
  <si>
    <t>Dr. Shen</t>
  </si>
  <si>
    <t>323.9</t>
  </si>
  <si>
    <t>越玩越聰明的邏輯推理遊戲</t>
  </si>
  <si>
    <t>9789869702805</t>
  </si>
  <si>
    <t>全能開發研究室</t>
  </si>
  <si>
    <t>孕產婦飲食宜忌大百科（暢銷增值版）</t>
  </si>
  <si>
    <t>9789869702836</t>
  </si>
  <si>
    <t>健康醫點靈團隊</t>
  </si>
  <si>
    <t>會說話的文學經典：每天讀一點三十六計</t>
  </si>
  <si>
    <t>9789869543972</t>
  </si>
  <si>
    <t>東籬子</t>
  </si>
  <si>
    <t>592.09</t>
  </si>
  <si>
    <t>會說話的文學經典：每天讀一點三國志</t>
  </si>
  <si>
    <t>9789869702812</t>
  </si>
  <si>
    <t>（西晉）陳壽</t>
  </si>
  <si>
    <t>622.301</t>
  </si>
  <si>
    <t>一起出發玩吧！玩翻沖繩全攻略</t>
  </si>
  <si>
    <t>9789869610421</t>
  </si>
  <si>
    <t>王大胖</t>
  </si>
  <si>
    <t>強圖解：讓你無往不利的聊天說話
術</t>
  </si>
  <si>
    <t>9789869702867</t>
  </si>
  <si>
    <t>楊岳城</t>
  </si>
  <si>
    <t>煲一碗好湯【暢銷新增版】</t>
  </si>
  <si>
    <t>9789869702829</t>
  </si>
  <si>
    <t>陳志田</t>
  </si>
  <si>
    <t>萬人之上：30位名相排排坐</t>
  </si>
  <si>
    <t>9789864491469</t>
  </si>
  <si>
    <t>創新中文教育：生態語言教育觀</t>
  </si>
  <si>
    <t>9789862956427</t>
  </si>
  <si>
    <t>戴金惠</t>
  </si>
  <si>
    <t>實務必考熱區：物權法</t>
  </si>
  <si>
    <t>9789862955925</t>
  </si>
  <si>
    <t>學稔出版股份有限公司</t>
  </si>
  <si>
    <t>張璐</t>
  </si>
  <si>
    <t>實務必考熱區：行政法</t>
  </si>
  <si>
    <t>9789862956939</t>
  </si>
  <si>
    <t>鳴仁</t>
  </si>
  <si>
    <t>實務必考熱區：憲法</t>
  </si>
  <si>
    <t>9789862956366</t>
  </si>
  <si>
    <t>詹祐維律師</t>
  </si>
  <si>
    <t>實務必考熱區：商事法</t>
  </si>
  <si>
    <t>9789862955031</t>
  </si>
  <si>
    <t>格法</t>
  </si>
  <si>
    <t>票據法關鍵選擇</t>
  </si>
  <si>
    <t>9789862956816</t>
  </si>
  <si>
    <t>孟齊</t>
  </si>
  <si>
    <t>國際私法關鍵選擇</t>
  </si>
  <si>
    <t>9789862955598</t>
  </si>
  <si>
    <t>陸奕</t>
  </si>
  <si>
    <t>民總、債總關鍵選擇</t>
  </si>
  <si>
    <t>9789862955062</t>
  </si>
  <si>
    <t>綺夢，殷越</t>
  </si>
  <si>
    <t>債各、物權關鍵選擇</t>
  </si>
  <si>
    <t>9789862955055</t>
  </si>
  <si>
    <t>殷越，高啟霈律師（宋世傑）</t>
  </si>
  <si>
    <t>公司法關鍵選擇</t>
  </si>
  <si>
    <t>9789862955642</t>
  </si>
  <si>
    <t>齊軒</t>
  </si>
  <si>
    <t>學會專案管理的12堂課</t>
  </si>
  <si>
    <t>9789864342822</t>
  </si>
  <si>
    <t>鍾文武</t>
  </si>
  <si>
    <t>App Inventor2 輕鬆學：手機應用程式簡單做</t>
  </si>
  <si>
    <t>9789864343225</t>
  </si>
  <si>
    <t>吳燦銘，榮欽科技策畫</t>
  </si>
  <si>
    <t>C＋＋程式設計與運算思維實務</t>
  </si>
  <si>
    <t>9789864343249</t>
  </si>
  <si>
    <t>吳燦銘，ZCT</t>
  </si>
  <si>
    <t>312.320</t>
  </si>
  <si>
    <t>Python程式設計入門：金融商管實務案例</t>
  </si>
  <si>
    <t>9789864343300</t>
  </si>
  <si>
    <t>Excel即學即用超效率500招速成技</t>
  </si>
  <si>
    <t>9789864343331</t>
  </si>
  <si>
    <t>天工開畫：專業級電繪全技法超詳解</t>
  </si>
  <si>
    <t>9789864343348</t>
  </si>
  <si>
    <t>曹傑凱</t>
  </si>
  <si>
    <t>312.86</t>
  </si>
  <si>
    <t>Python 網路爬蟲與資料分析入門實戰</t>
  </si>
  <si>
    <t>9789864343386</t>
  </si>
  <si>
    <t>林俊瑋，林修博</t>
  </si>
  <si>
    <t>行動與社群行銷：善用App訊息推播．LINE＠經營．AI 技術．Google Analytics來打造品牌自媒力</t>
  </si>
  <si>
    <t>9789864343393</t>
  </si>
  <si>
    <t>大數據專案經理的實戰心法：善用視覺化工具</t>
  </si>
  <si>
    <t>9789864343423</t>
  </si>
  <si>
    <t>這樣玩才有趣！iPhone XS／XR、iPad 與iOS 12：果迷必學的250招超狂解密實用技</t>
  </si>
  <si>
    <t>9789864343447</t>
  </si>
  <si>
    <t>蘋果梗，施暹</t>
  </si>
  <si>
    <t>Mac 活用萬事通：Mojave一本就學會！</t>
  </si>
  <si>
    <t>9789864343553</t>
  </si>
  <si>
    <t>社群行銷的十二堂嚴選課程</t>
  </si>
  <si>
    <t>9789864343607</t>
  </si>
  <si>
    <t>走到比錢更遠的地方：一個台灣家庭離開矽谷優渥生活，搬至火山小島的宣教故事</t>
  </si>
  <si>
    <t>9789869716819</t>
  </si>
  <si>
    <t>陳維恩</t>
  </si>
  <si>
    <t>245.6</t>
  </si>
  <si>
    <t>迷路台灣</t>
  </si>
  <si>
    <t>9789674192303</t>
  </si>
  <si>
    <t>大將出版社</t>
  </si>
  <si>
    <t>黑白琪</t>
  </si>
  <si>
    <t>新制多益閱讀模擬試題解析：3週就能掌握600分【有聲】</t>
  </si>
  <si>
    <t>9789869660112</t>
  </si>
  <si>
    <t>Johnson Mo，阿莉莎．歐普夫</t>
  </si>
  <si>
    <t>新制多益聽力模擬試題解析：3週就能掌握600分【有聲】</t>
  </si>
  <si>
    <t>9789869660105</t>
  </si>
  <si>
    <t>美達．波斯基，張小怡</t>
  </si>
  <si>
    <t>新制多益聽力模擬試題解析：3週就能掌握700分【有聲】</t>
  </si>
  <si>
    <t>9789869660136</t>
  </si>
  <si>
    <t>張小怡，拉斯．菲拉</t>
  </si>
  <si>
    <t>新制多益閱讀模擬試題解析：3週就能掌握700分【有聲】</t>
  </si>
  <si>
    <t>9789869660143</t>
  </si>
  <si>
    <t>Johnson Mo，珊德．沃克</t>
  </si>
  <si>
    <t>換鵝書法家</t>
  </si>
  <si>
    <t>9789869572262</t>
  </si>
  <si>
    <t>施筱雲</t>
  </si>
  <si>
    <t>943.6</t>
  </si>
  <si>
    <t>短歌行</t>
  </si>
  <si>
    <t>9787201139722</t>
  </si>
  <si>
    <t>天津人民出版社</t>
  </si>
  <si>
    <t>尚攀</t>
  </si>
  <si>
    <t>工業基本控制程式設計（手機APP控制篇）</t>
  </si>
  <si>
    <t>9789865629847</t>
  </si>
  <si>
    <t>無形文化資產框架下的傳統工藝</t>
  </si>
  <si>
    <t>9789869703062</t>
  </si>
  <si>
    <t>江明親</t>
  </si>
  <si>
    <t>初級韓國語詞彙</t>
  </si>
  <si>
    <t>9789869763400</t>
  </si>
  <si>
    <t>李京保，劉素晶</t>
  </si>
  <si>
    <t>兩岸關係之治理：制度分析之觀點</t>
  </si>
  <si>
    <t>9789869763417</t>
  </si>
  <si>
    <t>曾玉祥</t>
  </si>
  <si>
    <t>全圖解正位瑜伽教科書（增量升級版）</t>
  </si>
  <si>
    <t>9789869543927</t>
  </si>
  <si>
    <t>美梓</t>
  </si>
  <si>
    <t>韓語40音就該這樣學！</t>
  </si>
  <si>
    <t>9789862488058</t>
  </si>
  <si>
    <t>晉升吧！A級職員：職場苦手必讀，把上班阻力變動力，打造職場勝利組</t>
  </si>
  <si>
    <t>9789862488072</t>
  </si>
  <si>
    <t>小山昇</t>
  </si>
  <si>
    <t>品牌親密度：6大原型Ｘ3大階段Ｘ3大層級，增強品牌與消費者互動與共鳴，圈粉又圈錢</t>
  </si>
  <si>
    <t>9789862488065</t>
  </si>
  <si>
    <t>馬里奧．納塔雷利，蕾娜．普拉派爾</t>
  </si>
  <si>
    <t>慢遊首爾小巷弄：精選12大區148個新潮景點，跟著在地人關鍵字玩出不一樣的首爾</t>
  </si>
  <si>
    <t>9789862488041</t>
  </si>
  <si>
    <t>山岳出版</t>
  </si>
  <si>
    <t>SK Planet</t>
  </si>
  <si>
    <t>謝謝生命中的討厭鬼：學會心靈轉化法，讓笨蛋天使幫你重拾平靜與快樂！</t>
  </si>
  <si>
    <t>9789862488096</t>
  </si>
  <si>
    <t>羅伯特．貝茨</t>
  </si>
  <si>
    <t>與自己相遇：家族治療師的陪伴之旅</t>
  </si>
  <si>
    <t>9789863571407</t>
  </si>
  <si>
    <t>賴杞豐</t>
  </si>
  <si>
    <t>工業流程控制系統開發（流程雲端化－自動化條碼掃描驗收）</t>
  </si>
  <si>
    <t>9789865629892</t>
  </si>
  <si>
    <t>第31屆梁實秋文學獎得獎作品集</t>
  </si>
  <si>
    <t>9789865624521</t>
  </si>
  <si>
    <t>臺灣師大出版社</t>
  </si>
  <si>
    <t>830.86</t>
  </si>
  <si>
    <t>民营经济改变中国：改革开放40年民营经济主要数据简明分析</t>
  </si>
  <si>
    <t>9787520134521</t>
  </si>
  <si>
    <t>大成企业研究院</t>
  </si>
  <si>
    <t>城市北京与文化书写：北京题材影视剧研究（1978～2018）</t>
  </si>
  <si>
    <t>9787520134729</t>
  </si>
  <si>
    <t>张慧瑜</t>
  </si>
  <si>
    <t>文化资本与北京文化创意产业</t>
  </si>
  <si>
    <t>9787520135122</t>
  </si>
  <si>
    <t>陈镭</t>
  </si>
  <si>
    <t>“一带一路”：多边推进与务实建设</t>
  </si>
  <si>
    <t>9787520136280</t>
  </si>
  <si>
    <t>王灵桂，李永强</t>
  </si>
  <si>
    <t>拒日图存：中国对日“二十一条”交涉及其影响</t>
  </si>
  <si>
    <t>9787520136778</t>
  </si>
  <si>
    <t>李斌</t>
  </si>
  <si>
    <t>643</t>
  </si>
  <si>
    <t>都市漫步者：漫步巴黎的艺术</t>
  </si>
  <si>
    <t>9787520139595</t>
  </si>
  <si>
    <t>孙双</t>
  </si>
  <si>
    <t>877</t>
  </si>
  <si>
    <t>共享经济及其商业模式</t>
  </si>
  <si>
    <t>9787520139946</t>
  </si>
  <si>
    <t>董晓松，尧军文，陈运娟，徐志，罗浩</t>
  </si>
  <si>
    <t>当代中印关系研究：理论创新与战略选择</t>
  </si>
  <si>
    <t>9787520140546</t>
  </si>
  <si>
    <t>叶海林</t>
  </si>
  <si>
    <t>太极运动法防治常见病</t>
  </si>
  <si>
    <t>9787547835791</t>
  </si>
  <si>
    <t>朱清广</t>
  </si>
  <si>
    <t>能源互联网技术与产业</t>
  </si>
  <si>
    <t>9787547835074</t>
  </si>
  <si>
    <t>朱共山，徐拥军，曹军威，陈新国，张驰</t>
  </si>
  <si>
    <t>457</t>
  </si>
  <si>
    <t>菜香百事</t>
  </si>
  <si>
    <t>9787547830703</t>
  </si>
  <si>
    <t>朱为民</t>
  </si>
  <si>
    <t>中医辨证论治之路</t>
  </si>
  <si>
    <t>9787547834442</t>
  </si>
  <si>
    <t>徐建，招萼華</t>
  </si>
  <si>
    <t>“一带一路”倡议与欧盟多瑙河地区战略对接研究</t>
  </si>
  <si>
    <t>9787520134477</t>
  </si>
  <si>
    <t>龙静，刘作奎，姬文刚</t>
  </si>
  <si>
    <t>数据经济时代企业跨境数据流动风险管理</t>
  </si>
  <si>
    <t>9787520134408</t>
  </si>
  <si>
    <t>惠志斌</t>
  </si>
  <si>
    <t>走近非遗：历史、祖先与苗族女性服饰变迁</t>
  </si>
  <si>
    <t>9787520133395</t>
  </si>
  <si>
    <t>聂羽彤</t>
  </si>
  <si>
    <t>探寻全球经济治理新格局</t>
  </si>
  <si>
    <t>9787520133036</t>
  </si>
  <si>
    <t>周宇</t>
  </si>
  <si>
    <t>地方政府对网络公共舆论的应对管理与回应机制建设研究</t>
  </si>
  <si>
    <t>9787520133012</t>
  </si>
  <si>
    <t>李伟权</t>
  </si>
  <si>
    <t>先秦古礼探研</t>
  </si>
  <si>
    <t>9787520132275</t>
  </si>
  <si>
    <t>曹建墩</t>
  </si>
  <si>
    <t>621</t>
  </si>
  <si>
    <t>商业广告伦理构建</t>
  </si>
  <si>
    <t>9787520131575</t>
  </si>
  <si>
    <t>徐鸣</t>
  </si>
  <si>
    <t>天下为公：中国共产党与人类命运共同体</t>
  </si>
  <si>
    <t>9787520131544</t>
  </si>
  <si>
    <t>田鹏颖，武雯婧</t>
  </si>
  <si>
    <t>丝路列国志（新版）</t>
  </si>
  <si>
    <t>9787520130738</t>
  </si>
  <si>
    <t>李永全</t>
  </si>
  <si>
    <t>家天下的家族世界：《红楼梦》建构的历史语境</t>
  </si>
  <si>
    <t>9787520130264</t>
  </si>
  <si>
    <t>雷戈</t>
  </si>
  <si>
    <t>827</t>
  </si>
  <si>
    <t>电视媒介融合论：融媒时代的大电视产业创新发展</t>
  </si>
  <si>
    <t>9787520129497</t>
  </si>
  <si>
    <t>高红波</t>
  </si>
  <si>
    <t>897</t>
  </si>
  <si>
    <t>近代青海河湟地区社会文化变迁</t>
  </si>
  <si>
    <t>9787520129145</t>
  </si>
  <si>
    <t>赵小花</t>
  </si>
  <si>
    <t>历史文化资源开发研究</t>
  </si>
  <si>
    <t>9787520126878</t>
  </si>
  <si>
    <t>赵东</t>
  </si>
  <si>
    <t>以色列阿拉伯人：身份地位与生存状况（1948～2018）</t>
  </si>
  <si>
    <t>9787520126175</t>
  </si>
  <si>
    <t>王宇</t>
  </si>
  <si>
    <t>735</t>
  </si>
  <si>
    <t>搅动世界的伊拉克</t>
  </si>
  <si>
    <t>9787520126113</t>
  </si>
  <si>
    <t>顾正龙</t>
  </si>
  <si>
    <t>生态文明与低冲击开发：贵安“绿色金融＋”城市质量体系实践探索</t>
  </si>
  <si>
    <t>9787520125994</t>
  </si>
  <si>
    <t>梁盛平</t>
  </si>
  <si>
    <t>大数据时代科研人员个人学术信息管理行为</t>
  </si>
  <si>
    <t>9787520125574</t>
  </si>
  <si>
    <t>占南</t>
  </si>
  <si>
    <t>中国与转型国家在“一带一路”框架下的合作</t>
  </si>
  <si>
    <t>9787520125079</t>
  </si>
  <si>
    <t>曲文轶，崔铮</t>
  </si>
  <si>
    <t>金砖国家合作机制研究</t>
  </si>
  <si>
    <t>9787520124935</t>
  </si>
  <si>
    <t>魏建国，李锋 等</t>
  </si>
  <si>
    <t>日本创意城市战略研究</t>
  </si>
  <si>
    <t>9787520124799</t>
  </si>
  <si>
    <t>赵敬</t>
  </si>
  <si>
    <t>926</t>
  </si>
  <si>
    <t>温州模式再研究</t>
  </si>
  <si>
    <t>9787520123839</t>
  </si>
  <si>
    <t>胡方松，林坚强</t>
  </si>
  <si>
    <t>人和自然关系的探讨：从马克思到当代</t>
  </si>
  <si>
    <t>9787520123433</t>
  </si>
  <si>
    <t>黄雯</t>
  </si>
  <si>
    <t>新媒体视域下语言的后现代化变异</t>
  </si>
  <si>
    <t>9787520122832</t>
  </si>
  <si>
    <t>唐厚广 等</t>
  </si>
  <si>
    <t>金源女真的英雄时代</t>
  </si>
  <si>
    <t>9787520122993</t>
  </si>
  <si>
    <t>李秀莲</t>
  </si>
  <si>
    <t>湾区经济：探索与实践</t>
  </si>
  <si>
    <t>9787520122856</t>
  </si>
  <si>
    <t>卢文彬</t>
  </si>
  <si>
    <t>走向决裂：弱国退出同盟之谜</t>
  </si>
  <si>
    <t>9787520122740</t>
  </si>
  <si>
    <t>周建仁</t>
  </si>
  <si>
    <t>再全球化：理解中国与世界互动的新视角</t>
  </si>
  <si>
    <t>9787520121736</t>
  </si>
  <si>
    <t>王栋，曹德军</t>
  </si>
  <si>
    <t>岩石上的信仰：中国北方人面岩画</t>
  </si>
  <si>
    <t>9787520119689</t>
  </si>
  <si>
    <t>王晓琨，张文静</t>
  </si>
  <si>
    <t>791</t>
  </si>
  <si>
    <t>坚守与变革？遭遇大数据时代的传统出版业</t>
  </si>
  <si>
    <t>9787520118316</t>
  </si>
  <si>
    <t>张立，介晶，梁楠楠，李大美，陆希宇 等</t>
  </si>
  <si>
    <t>477</t>
  </si>
  <si>
    <t>哈尔滨地名与城史纪元研究</t>
  </si>
  <si>
    <t>9787520116152</t>
  </si>
  <si>
    <t>王禹浪</t>
  </si>
  <si>
    <t>674</t>
  </si>
  <si>
    <t>國文：公文格式用語</t>
  </si>
  <si>
    <t>9789864876525</t>
  </si>
  <si>
    <t>815</t>
  </si>
  <si>
    <t>一擊必中初考英文</t>
  </si>
  <si>
    <t>9789864876495</t>
  </si>
  <si>
    <t>黃亭瑋</t>
  </si>
  <si>
    <t>行政學大意</t>
  </si>
  <si>
    <t>9789864876730</t>
  </si>
  <si>
    <t>公民</t>
  </si>
  <si>
    <t>9789864876518</t>
  </si>
  <si>
    <t>國文測驗（包含公文格式用語）焦點速成</t>
  </si>
  <si>
    <t>9789864876532</t>
  </si>
  <si>
    <t>電子學（含概要）</t>
  </si>
  <si>
    <t>9789574548217_10</t>
  </si>
  <si>
    <t>徐梁棟</t>
  </si>
  <si>
    <t>樹下的尋思</t>
  </si>
  <si>
    <t>9789577275592</t>
  </si>
  <si>
    <t>黃小石，張德健</t>
  </si>
  <si>
    <t>風向、風速、溫溼度整合系統開發（氣象物聯網）</t>
  </si>
  <si>
    <t>9789865629854</t>
  </si>
  <si>
    <t>曹永忠，黃朝恭</t>
  </si>
  <si>
    <t>“一带一路”背景下的多语种人才培养研究</t>
  </si>
  <si>
    <t>9787520105187</t>
  </si>
  <si>
    <t>赵阳</t>
  </si>
  <si>
    <t>生物技术的德性</t>
  </si>
  <si>
    <t>9787520104999</t>
  </si>
  <si>
    <t>刘科</t>
  </si>
  <si>
    <t>368</t>
  </si>
  <si>
    <t>社区防震减灾路径探究</t>
  </si>
  <si>
    <t>9787520104920</t>
  </si>
  <si>
    <t>沈文伟，崔珂</t>
  </si>
  <si>
    <t>“一带一路”投资保护的国际法研究</t>
  </si>
  <si>
    <t>9787520103312</t>
  </si>
  <si>
    <t>张瑾</t>
  </si>
  <si>
    <t>后“9．11”时代美国和土耳其关系研究</t>
  </si>
  <si>
    <t>9787509784860</t>
  </si>
  <si>
    <t>郑东超</t>
  </si>
  <si>
    <t>地中海南欧七国联盟</t>
  </si>
  <si>
    <t>9787509769867</t>
  </si>
  <si>
    <t>王战，刘天乔，张瑾</t>
  </si>
  <si>
    <t>台灣之「國」</t>
  </si>
  <si>
    <t>9789862942178</t>
  </si>
  <si>
    <t>玉山社出版事業股份有限公司</t>
  </si>
  <si>
    <t>李筱峰</t>
  </si>
  <si>
    <t>573.07</t>
  </si>
  <si>
    <t>墓誌銘風景：生命的亮光，人間的印記</t>
  </si>
  <si>
    <t>9789862941980</t>
  </si>
  <si>
    <t>李敏勇</t>
  </si>
  <si>
    <t>入門溪州：外省媳婦愛農鄉</t>
  </si>
  <si>
    <t>9789864782048</t>
  </si>
  <si>
    <t>劉克敏</t>
  </si>
  <si>
    <t>詩語言的美學革命：臺灣五0、六0年代新詩論戰與現代軌跡</t>
  </si>
  <si>
    <t>9789864782185</t>
  </si>
  <si>
    <t>陳康芬</t>
  </si>
  <si>
    <t>863.21</t>
  </si>
  <si>
    <t>臺灣兒童文學史</t>
  </si>
  <si>
    <t>9789864781614</t>
  </si>
  <si>
    <t>林文寶，邱各容</t>
  </si>
  <si>
    <t>863.099</t>
  </si>
  <si>
    <t>用圖片說歷史：從古典神廟到科技建築透視54位頂尖建築師的築夢工程</t>
  </si>
  <si>
    <t>9789869545174</t>
  </si>
  <si>
    <t>920.9</t>
  </si>
  <si>
    <t>悲慘地球</t>
  </si>
  <si>
    <t>9789869645430</t>
  </si>
  <si>
    <t>林登科</t>
  </si>
  <si>
    <t>琴弓的藝術：提琴收藏大師教你看懂琴弓的價值</t>
  </si>
  <si>
    <t>9789869545198</t>
  </si>
  <si>
    <t>莊仲平，鄭亞拿</t>
  </si>
  <si>
    <t>471.8</t>
  </si>
  <si>
    <t>殭屍企業：拯救七步驟，讓公司重新啟動</t>
  </si>
  <si>
    <t>9789869545167</t>
  </si>
  <si>
    <t>茱莉．雷利斯（JulieC．Lellis），瑪莉莎．伊格斯頓（MelissaEggleston）</t>
  </si>
  <si>
    <t>費米推定筆記：用費米來解題，讓頂尖企業錄取你：透過6＋1模式，15個核心問題，高效鍛鍊假說思考力!</t>
  </si>
  <si>
    <t>9789869438339</t>
  </si>
  <si>
    <t>吉田雅裕，脇田俊輔</t>
  </si>
  <si>
    <t>319.59</t>
  </si>
  <si>
    <t>費米解題推斷：職場即戰場，職涯必備的「問題解決力」，就讓圖像思考幫助你</t>
  </si>
  <si>
    <t>9789869475013</t>
  </si>
  <si>
    <t>吉田雅裕，木本篤茂</t>
  </si>
  <si>
    <t>悲劇的誕生</t>
  </si>
  <si>
    <t>9789869354844</t>
  </si>
  <si>
    <t>弗里德里希．尼采（FriedrichNietzsche）</t>
  </si>
  <si>
    <t>147.66</t>
  </si>
  <si>
    <t>情商高就是說話做事讓人舒服：一個人的成功20%來自IQ，80%來自情商EQ</t>
  </si>
  <si>
    <t>9789865756826</t>
  </si>
  <si>
    <t>克里．摩斯（KellyMorth）</t>
  </si>
  <si>
    <t>176.5</t>
  </si>
  <si>
    <t>從頭到腳，勝過補藥的30個特效穴位：養生又健康的簡易穴位按摩</t>
  </si>
  <si>
    <t>9789865756697</t>
  </si>
  <si>
    <t>李嵐醫師</t>
  </si>
  <si>
    <t>簡單按摩指壓：100個妙招讓你全身輕鬆</t>
  </si>
  <si>
    <t>9789865756710</t>
  </si>
  <si>
    <t>王書友，蔡鳴醫師</t>
  </si>
  <si>
    <t>413.93</t>
  </si>
  <si>
    <t>回到九○年代：九○年代的旅遊熱</t>
  </si>
  <si>
    <t>9789576396212</t>
  </si>
  <si>
    <t>回到六○年代：六○年代的爬山精神</t>
  </si>
  <si>
    <t>9789576396137</t>
  </si>
  <si>
    <t>啟動未來式頭腦：關鍵12密碼，職場潛力X競爭力翻倍</t>
  </si>
  <si>
    <t>9789862485996</t>
  </si>
  <si>
    <t>珍妮．布羅姬（JennyBrockis）</t>
  </si>
  <si>
    <t>最直覺的英文文法：學習英文文法其實Supereasy</t>
  </si>
  <si>
    <t>9789869608640</t>
  </si>
  <si>
    <t>潘威廉</t>
  </si>
  <si>
    <t>一用就靈：高血壓、高血脂、高血糖三高特效療法</t>
  </si>
  <si>
    <t>9789869635745</t>
  </si>
  <si>
    <t>孫呈祥醫師</t>
  </si>
  <si>
    <t>陌生開發故事多：一部用腳走出來的保險陌生開發的故事書</t>
  </si>
  <si>
    <t>9789869635738</t>
  </si>
  <si>
    <t>葛京寧</t>
  </si>
  <si>
    <t>勵志聖經：卡耐基之人性的弱點與優點</t>
  </si>
  <si>
    <t>9789865636890</t>
  </si>
  <si>
    <t>戴爾．卡內基（DaleCarnegie）</t>
  </si>
  <si>
    <t>我們到底是誰?</t>
  </si>
  <si>
    <t>9789869084758</t>
  </si>
  <si>
    <t>弗拉狄米爾．米格烈（VladimirMegre）</t>
  </si>
  <si>
    <t>秘書實務與商務禮儀</t>
  </si>
  <si>
    <t>9789866134685</t>
  </si>
  <si>
    <t>豪風出版有限公司</t>
  </si>
  <si>
    <t>佐伯真代，陳月紅</t>
  </si>
  <si>
    <t>大人走了，小孩老了：一九四九中國人大災難七十年</t>
  </si>
  <si>
    <t>9789576396335</t>
  </si>
  <si>
    <t>贏在格局，輸在心計</t>
  </si>
  <si>
    <t>9789865719920</t>
  </si>
  <si>
    <t>蘇維晨</t>
  </si>
  <si>
    <t>打人不打臉，說人不說短：46則人際關係學中的黃金定律</t>
  </si>
  <si>
    <t>9789864110537</t>
  </si>
  <si>
    <t>王泓逸</t>
  </si>
  <si>
    <t>地表上最強的冷知識</t>
  </si>
  <si>
    <t>9789869546478</t>
  </si>
  <si>
    <t>羅書宇</t>
  </si>
  <si>
    <t>提防那些「好心人」：職場經驗談</t>
  </si>
  <si>
    <t>9789864530717</t>
  </si>
  <si>
    <t>呂承華</t>
  </si>
  <si>
    <t>策展人工作指南</t>
  </si>
  <si>
    <t>9789869478199</t>
  </si>
  <si>
    <t>典藏藝術家庭股份有限公司</t>
  </si>
  <si>
    <t>亞德里安．喬治</t>
  </si>
  <si>
    <t>901.6</t>
  </si>
  <si>
    <t>拍案叫好！史上最精采的法拍屋案例，操盤內幕無私全揭露</t>
  </si>
  <si>
    <t>9789869384216</t>
  </si>
  <si>
    <t>蘇小強</t>
  </si>
  <si>
    <t>EBK10200011284</t>
  </si>
  <si>
    <t>韓國大學校園巡禮：學習殿堂我來了</t>
  </si>
  <si>
    <t>EBK10200011288</t>
  </si>
  <si>
    <t>偽造者：阿道弗‧凱明斯基的一生</t>
  </si>
  <si>
    <t>9789869668286</t>
  </si>
  <si>
    <t>莎拉‧凱明斯基（SarahKaminsky）</t>
  </si>
  <si>
    <t>细节的力量：从细节中发现人生机遇</t>
  </si>
  <si>
    <t>9787569019889</t>
  </si>
  <si>
    <t>四川大学出版社</t>
  </si>
  <si>
    <t>赵辉</t>
  </si>
  <si>
    <t>固脾補氣不上火食療方</t>
  </si>
  <si>
    <t>4715443043298</t>
  </si>
  <si>
    <t>武國忠</t>
  </si>
  <si>
    <t>這樣吃有效降高血壓、高血脂、高血糖</t>
  </si>
  <si>
    <t>9789865962883</t>
  </si>
  <si>
    <t>腎虛要養腎強腎消百病</t>
  </si>
  <si>
    <t>9789865962807</t>
  </si>
  <si>
    <t>沈志順</t>
  </si>
  <si>
    <t>有效降血糖家常菜</t>
  </si>
  <si>
    <t>9789865962869</t>
  </si>
  <si>
    <t>150道四季電鍋燉補</t>
  </si>
  <si>
    <t>4715443043052</t>
  </si>
  <si>
    <t>8週降血糖最有效食療</t>
  </si>
  <si>
    <t>4715443043069</t>
  </si>
  <si>
    <t>水果這樣吃營養又健康</t>
  </si>
  <si>
    <t>4715443043083</t>
  </si>
  <si>
    <t>食療降三高不用再吃藥</t>
  </si>
  <si>
    <t>4715443043090</t>
  </si>
  <si>
    <t>降膽固醇醫生教你這樣吃</t>
  </si>
  <si>
    <t>9789865962906</t>
  </si>
  <si>
    <t>一個律師的文字戰場</t>
  </si>
  <si>
    <t>9789863264217</t>
  </si>
  <si>
    <t>江秀雪</t>
  </si>
  <si>
    <t>八十文存：大時代中的史家與史學</t>
  </si>
  <si>
    <t>9789863264286</t>
  </si>
  <si>
    <t>陳三井</t>
  </si>
  <si>
    <t>628.07</t>
  </si>
  <si>
    <t>那一年，我在劍橋揭下佛地魔的面具</t>
  </si>
  <si>
    <t>9789864451401</t>
  </si>
  <si>
    <t>許復</t>
  </si>
  <si>
    <t>第一次創業就上手：微型創業全方位教戰守則</t>
  </si>
  <si>
    <t>9789864451821</t>
  </si>
  <si>
    <t>原來</t>
  </si>
  <si>
    <t>在耶路撒冷醒來：30天暢遊以色列耶路撒冷、特拉維夫、加利利與鹽海</t>
  </si>
  <si>
    <t>9789864451920</t>
  </si>
  <si>
    <t>陳舜儀</t>
  </si>
  <si>
    <t>735.39</t>
  </si>
  <si>
    <t>一個女生走看巴爾幹：馬其頓、科索沃、阿爾巴尼亞</t>
  </si>
  <si>
    <t>9789864451975</t>
  </si>
  <si>
    <t>劉怡君</t>
  </si>
  <si>
    <t>恩仇之外：日本大正時代文豪傑作選</t>
  </si>
  <si>
    <t>9789864452026</t>
  </si>
  <si>
    <t>谷崎潤一郎，芥川龍之介，菊池寬，森鷗外</t>
  </si>
  <si>
    <t>點翠師：金車奇幻小說獎傑作選</t>
  </si>
  <si>
    <t>9789864452040</t>
  </si>
  <si>
    <t>溫亞，彭靖文，蕭逸清，迷雅</t>
  </si>
  <si>
    <t>高行健小說裡的流亡聲音</t>
  </si>
  <si>
    <t>9789869407113</t>
  </si>
  <si>
    <t>羅華炎</t>
  </si>
  <si>
    <t>清藏住持時代推理：當和尚買了髮簪</t>
  </si>
  <si>
    <t>9789869429856</t>
  </si>
  <si>
    <t>唐墨</t>
  </si>
  <si>
    <t>善用語言元素及知識，英文學習快N倍</t>
  </si>
  <si>
    <t>9789869468626</t>
  </si>
  <si>
    <t>黃淑鴻</t>
  </si>
  <si>
    <t>味蕾下的詩想：平民菜譜及其他</t>
  </si>
  <si>
    <t>9789869486408</t>
  </si>
  <si>
    <t>徐望雲</t>
  </si>
  <si>
    <t>圖書館管理（含概要）</t>
  </si>
  <si>
    <t>9789574792009_04</t>
  </si>
  <si>
    <t>孔德仁 等</t>
  </si>
  <si>
    <t>022</t>
  </si>
  <si>
    <t>圖解推拿手法：快速記憶速查速用</t>
  </si>
  <si>
    <t>9789869635776</t>
  </si>
  <si>
    <t>沈國權，嚴雋陶醫師</t>
  </si>
  <si>
    <t>喚醒的力量：人類不能被浮華的表象蒙蔽心靈的智慧</t>
  </si>
  <si>
    <t>9789869635783</t>
  </si>
  <si>
    <t>（美）克里斯汀．拉爾森（Christian Larsson）</t>
  </si>
  <si>
    <t>好流利！用英語聊不停：說流利英語，超簡單【有聲】</t>
  </si>
  <si>
    <t>9789869628273</t>
  </si>
  <si>
    <t>805.165</t>
  </si>
  <si>
    <t>用很簡單的單字，說很流利的英語【有聲】</t>
  </si>
  <si>
    <t>9789869628235</t>
  </si>
  <si>
    <t>好流利！我的第一本英語會話與文法【有聲】</t>
  </si>
  <si>
    <t>9789869628297</t>
  </si>
  <si>
    <t>好流利！用日語聊不停【有聲】</t>
  </si>
  <si>
    <t>9789869628280</t>
  </si>
  <si>
    <t>中古雙音並列身體詞組合研究</t>
  </si>
  <si>
    <t>9789864781195</t>
  </si>
  <si>
    <t>周玟慧</t>
  </si>
  <si>
    <t>802.18</t>
  </si>
  <si>
    <t>世俗想像與歷史記憶：晚明話本帝王故事新考</t>
  </si>
  <si>
    <t>9789864781577</t>
  </si>
  <si>
    <t>陳煒舜</t>
  </si>
  <si>
    <t>827.2</t>
  </si>
  <si>
    <t>經濟史家宋敘五教授紀念論文集</t>
  </si>
  <si>
    <t>9789864782062</t>
  </si>
  <si>
    <t>楊永漢，張偉保，趙善軒</t>
  </si>
  <si>
    <t>607</t>
  </si>
  <si>
    <t>清代中晚期理學研究：思想轉化、群體建構與實踐</t>
  </si>
  <si>
    <t>9789864782109</t>
  </si>
  <si>
    <t>田富美</t>
  </si>
  <si>
    <t>127.4</t>
  </si>
  <si>
    <t>鑄勒功名：春秋青銅禮器銘文的演變與特色</t>
  </si>
  <si>
    <t>9789864782192</t>
  </si>
  <si>
    <t>黃庭頎</t>
  </si>
  <si>
    <t>793.2</t>
  </si>
  <si>
    <t>觀瀾索源：先秦兩漢思想史新探</t>
  </si>
  <si>
    <t>9789864782093</t>
  </si>
  <si>
    <t>張偉保，趙善軒，溫如嘉</t>
  </si>
  <si>
    <t>文学语言论集</t>
  </si>
  <si>
    <t>9789864781478</t>
  </si>
  <si>
    <t>陈家骏</t>
  </si>
  <si>
    <t>影響中國命運的答卷：董仲舒《賢良對策》與儒學的興盛</t>
  </si>
  <si>
    <t>9789864782215</t>
  </si>
  <si>
    <t>深川真樹</t>
  </si>
  <si>
    <t>122.14</t>
  </si>
  <si>
    <t>傳說的高砂族</t>
  </si>
  <si>
    <t>9789864782208</t>
  </si>
  <si>
    <t>秋澤烏川</t>
  </si>
  <si>
    <t>539.5339</t>
  </si>
  <si>
    <t>影響一生最有意義的44句話</t>
  </si>
  <si>
    <t>9789865756963</t>
  </si>
  <si>
    <t>捨得是人生智慧的最高境界</t>
  </si>
  <si>
    <t>9789865756949</t>
  </si>
  <si>
    <t>劉襄淇</t>
  </si>
  <si>
    <t>DIY自創自己的中文輸入</t>
  </si>
  <si>
    <t>9789865756970</t>
  </si>
  <si>
    <t>312.929</t>
  </si>
  <si>
    <t>超神奇的活學活用心理學</t>
  </si>
  <si>
    <t>9789865756987</t>
  </si>
  <si>
    <t>林建華教授</t>
  </si>
  <si>
    <t>看透人心：辨別人性的真假遊戲</t>
  </si>
  <si>
    <t>9789865756994</t>
  </si>
  <si>
    <t>做人做事要學會拿捏尺度</t>
  </si>
  <si>
    <t>9789869745925</t>
  </si>
  <si>
    <t>凌志華</t>
  </si>
  <si>
    <t>生活需要抓住大智慧，放棄小智慧</t>
  </si>
  <si>
    <t>9789869745932</t>
  </si>
  <si>
    <t>中醫到底是怎麼回事：告訴你一個真中醫</t>
  </si>
  <si>
    <t>9789869745918</t>
  </si>
  <si>
    <t>漆浩</t>
  </si>
  <si>
    <t>大道至簡的養生術：長壽之路其實就在腳下</t>
  </si>
  <si>
    <t>9789869745949</t>
  </si>
  <si>
    <t>海外生活會話指南：EZ TALK 總編嚴選特刊</t>
  </si>
  <si>
    <t>9789862488126</t>
  </si>
  <si>
    <t>從心學教養：兒童發展專家教你這樣做！啟發0～10歲孩子成長×學習×正向情緒指南</t>
  </si>
  <si>
    <t>9789862488157</t>
  </si>
  <si>
    <t>徐瑜亭</t>
  </si>
  <si>
    <t>明日醫學：終結絕症Ｘ訂製基因Ｘ永生不死，迎接無病新世紀</t>
  </si>
  <si>
    <t>9789862488140</t>
  </si>
  <si>
    <t>湯瑪斯．舒茲（Thomas Schulz）</t>
  </si>
  <si>
    <t>410.1636</t>
  </si>
  <si>
    <t>驚悚大師：愛倫坡〈II〉</t>
  </si>
  <si>
    <t>9789864110865</t>
  </si>
  <si>
    <t>埃德加‧愛倫‧坡</t>
  </si>
  <si>
    <t>相信命運，不如相信自己！</t>
  </si>
  <si>
    <t>9789864110872</t>
  </si>
  <si>
    <t>陳姿華</t>
  </si>
  <si>
    <t>智慧人生：人生短短幾個秋，不醉不罷休！</t>
  </si>
  <si>
    <t>9789864110889</t>
  </si>
  <si>
    <t>葉楓</t>
  </si>
  <si>
    <t>人生哪能多如意，萬事只求半稱心</t>
  </si>
  <si>
    <t>9789864110902</t>
  </si>
  <si>
    <t>謝育琳</t>
  </si>
  <si>
    <t>成功不難，貴在用心</t>
  </si>
  <si>
    <t>9789864110919</t>
  </si>
  <si>
    <t>平凡是真，平淡是福</t>
  </si>
  <si>
    <t>9789864110926</t>
  </si>
  <si>
    <t>潘瑞和</t>
  </si>
  <si>
    <t>人不能不壞：生活中絕對受用的處世技巧</t>
  </si>
  <si>
    <t>9789864110933</t>
  </si>
  <si>
    <t>張正晧</t>
  </si>
  <si>
    <t>人生不是非得令人稱羨才叫幸福</t>
  </si>
  <si>
    <t>9789864110940</t>
  </si>
  <si>
    <t>葉威壯</t>
  </si>
  <si>
    <t>你，可以超越每個不如意</t>
  </si>
  <si>
    <t>9789864110971</t>
  </si>
  <si>
    <t>謝浩任</t>
  </si>
  <si>
    <t>聰明大百科：物理常識有GO讚！</t>
  </si>
  <si>
    <t>9789864530885</t>
  </si>
  <si>
    <t>陳毅豪</t>
  </si>
  <si>
    <t>提防小人：職場厚黑心理學</t>
  </si>
  <si>
    <t>9789864530892</t>
  </si>
  <si>
    <t>人不要臉，鬼都怕：人性厚黑心理學</t>
  </si>
  <si>
    <t>9789864530908</t>
  </si>
  <si>
    <t>我在廟口撞鬼啦！</t>
  </si>
  <si>
    <t>9789864530939</t>
  </si>
  <si>
    <t>成敗論英雄：商場厚黑心理學</t>
  </si>
  <si>
    <t>9789864530946</t>
  </si>
  <si>
    <t>聰明大百科：生物常識有GO讚！</t>
  </si>
  <si>
    <t>9789864530953</t>
  </si>
  <si>
    <t>鄭允浩</t>
  </si>
  <si>
    <t>見鬼之校園鬼話4</t>
  </si>
  <si>
    <t>9789864530960</t>
  </si>
  <si>
    <t>聰明大百科：地理常識有GO讚！</t>
  </si>
  <si>
    <t>9789864530977</t>
  </si>
  <si>
    <t>王奕言</t>
  </si>
  <si>
    <t>聰明大百科：數學常識有GO讚！</t>
  </si>
  <si>
    <t>9789864530984</t>
  </si>
  <si>
    <t>許智庭</t>
  </si>
  <si>
    <t>我的菜日文．生活會話篇【有聲】</t>
  </si>
  <si>
    <t>9789869697323</t>
  </si>
  <si>
    <t>出國必備日語旅遊書【有聲】</t>
  </si>
  <si>
    <t>9789869697330</t>
  </si>
  <si>
    <t>脫口說英語：基礎篇【有聲】</t>
  </si>
  <si>
    <t>9789869697347</t>
  </si>
  <si>
    <t>初學者必備的日語文法【有聲】</t>
  </si>
  <si>
    <t>9789869697354</t>
  </si>
  <si>
    <t>商業實用英文E－mail．業務篇</t>
  </si>
  <si>
    <t>9789869697361</t>
  </si>
  <si>
    <t>懶人日語學習法：超好用日語文法書【有聲】</t>
  </si>
  <si>
    <t>9789869697378</t>
  </si>
  <si>
    <t>日檢單字＋文法一本搞定N5【有聲】</t>
  </si>
  <si>
    <t>9789869697385</t>
  </si>
  <si>
    <t>那些被神遺忘的古墓寶藏</t>
  </si>
  <si>
    <t>9789869697651</t>
  </si>
  <si>
    <t>吳柏勳</t>
  </si>
  <si>
    <t>798.82</t>
  </si>
  <si>
    <t>那些被神遺忘的傳奇寶藏</t>
  </si>
  <si>
    <t>9789869697668</t>
  </si>
  <si>
    <t>木曜日：物理化學常識知多少！</t>
  </si>
  <si>
    <t>9789869697675</t>
  </si>
  <si>
    <t>李泰佑</t>
  </si>
  <si>
    <t>348</t>
  </si>
  <si>
    <t>金曜日：自然科學常識知多少！</t>
  </si>
  <si>
    <t>9789869697682</t>
  </si>
  <si>
    <t>陳星宇</t>
  </si>
  <si>
    <t>那些被神遺忘的神祕寶藏</t>
  </si>
  <si>
    <t>9789869739306</t>
  </si>
  <si>
    <t>厲害了，我的神：超精彩的希臘神話故事</t>
  </si>
  <si>
    <t>9789869739320</t>
  </si>
  <si>
    <t>徐正澤</t>
  </si>
  <si>
    <t>284</t>
  </si>
  <si>
    <t>厲害了，我的神：超精彩的希臘傳奇故事</t>
  </si>
  <si>
    <t>9789869739344</t>
  </si>
  <si>
    <t>習近平要做什麼樣的皇帝</t>
  </si>
  <si>
    <t>9781630329792</t>
  </si>
  <si>
    <t>明鏡有限公司</t>
  </si>
  <si>
    <t>何頻</t>
  </si>
  <si>
    <t>習近平川普的贏局</t>
  </si>
  <si>
    <t>9781940063492</t>
  </si>
  <si>
    <t>美国银行业开放史：从权利限制到权利开放</t>
  </si>
  <si>
    <t>9787509765913</t>
  </si>
  <si>
    <t>路乾</t>
  </si>
  <si>
    <t>山东大学史话</t>
  </si>
  <si>
    <t>9787509791073</t>
  </si>
  <si>
    <t>刘培平，李彦英</t>
  </si>
  <si>
    <t>摔跤史话</t>
  </si>
  <si>
    <t>9787509786345</t>
  </si>
  <si>
    <t>傅砚农</t>
  </si>
  <si>
    <t>河北师范大学史话</t>
  </si>
  <si>
    <t>9787509777107</t>
  </si>
  <si>
    <t>王运敏，孙鑫煜</t>
  </si>
  <si>
    <t>南开大学史话</t>
  </si>
  <si>
    <t>9787509779552</t>
  </si>
  <si>
    <t>龚克</t>
  </si>
  <si>
    <t>赤峰史话</t>
  </si>
  <si>
    <t>9787509774267</t>
  </si>
  <si>
    <t>张立平，吕富华</t>
  </si>
  <si>
    <t>汝城史话</t>
  </si>
  <si>
    <t>9787509782118</t>
  </si>
  <si>
    <t>方南玲</t>
  </si>
  <si>
    <t>太仓史话</t>
  </si>
  <si>
    <t>9787509782620</t>
  </si>
  <si>
    <t>凌鼎年</t>
  </si>
  <si>
    <t>特色小镇</t>
  </si>
  <si>
    <t>9787520130202</t>
  </si>
  <si>
    <t>李宽</t>
  </si>
  <si>
    <t>中国自贸区发展评估</t>
  </si>
  <si>
    <t>9787520123556</t>
  </si>
  <si>
    <t>徐奇渊，毛日昇，高凌云，董维佳</t>
  </si>
  <si>
    <t>教师礼仪</t>
  </si>
  <si>
    <t>9787555361541</t>
  </si>
  <si>
    <t>吉林教育出版社</t>
  </si>
  <si>
    <t>拙耕</t>
  </si>
  <si>
    <t>学生礼仪</t>
  </si>
  <si>
    <t>9787555361558</t>
  </si>
  <si>
    <t>穆清</t>
  </si>
  <si>
    <t>誠與恆的體現：王振鵠教授與臺灣圖書館</t>
  </si>
  <si>
    <t>9789864371617</t>
  </si>
  <si>
    <t>Ainosco Press</t>
  </si>
  <si>
    <t>顧力仁</t>
  </si>
  <si>
    <t>026.133</t>
  </si>
  <si>
    <t>LIZ關鍵詞：美食家的自學之路與口袋名單</t>
  </si>
  <si>
    <t>9789865813963</t>
  </si>
  <si>
    <t>高琹雯</t>
  </si>
  <si>
    <t>蔣公銅像的復仇</t>
  </si>
  <si>
    <t>9789869683760</t>
  </si>
  <si>
    <t>唐澄暐</t>
  </si>
  <si>
    <t>超好學！我的第一本泰語學習書【有聲】</t>
  </si>
  <si>
    <t>9789869337014</t>
  </si>
  <si>
    <t>林思妍</t>
  </si>
  <si>
    <t>第一次學法語，超簡單！【有聲】</t>
  </si>
  <si>
    <t>9789865616823</t>
  </si>
  <si>
    <t>林曉葳</t>
  </si>
  <si>
    <t>第一次學台灣話，超簡單！【有聲】</t>
  </si>
  <si>
    <t>9789865616915</t>
  </si>
  <si>
    <t>803.38</t>
  </si>
  <si>
    <t>第一次學德語，超簡單！【有聲】</t>
  </si>
  <si>
    <t>9789865616830</t>
  </si>
  <si>
    <t>魏立言</t>
  </si>
  <si>
    <t>“互联网+”与图书馆</t>
  </si>
  <si>
    <t>9787564750954</t>
  </si>
  <si>
    <t>电子科技大学出版社</t>
  </si>
  <si>
    <t>徐岚</t>
  </si>
  <si>
    <t>服务礼仪</t>
  </si>
  <si>
    <t>9787555361480</t>
  </si>
  <si>
    <t>工業安全技師歷年經典題庫總彙（含工安管理、工安工程、人因工程、工衛概論、風險危害評估、工安衛生法規）</t>
  </si>
  <si>
    <t>9789864876891</t>
  </si>
  <si>
    <t>9789864877003</t>
  </si>
  <si>
    <t>看這本就夠了：英文</t>
  </si>
  <si>
    <t>9789864876839</t>
  </si>
  <si>
    <t>行政學大意歷年試題澈底解說</t>
  </si>
  <si>
    <t>9789864876860</t>
  </si>
  <si>
    <t>愛的儀式</t>
  </si>
  <si>
    <t>9789869084796</t>
  </si>
  <si>
    <t>和解：文學研究的省思</t>
  </si>
  <si>
    <t>9789574457717</t>
  </si>
  <si>
    <t>李有成</t>
  </si>
  <si>
    <t>在此／在彼：旅行的辯證</t>
  </si>
  <si>
    <t>9789574458073</t>
  </si>
  <si>
    <t>胡錦媛</t>
  </si>
  <si>
    <t>亞陶事件簿</t>
  </si>
  <si>
    <t>9789574458141</t>
  </si>
  <si>
    <t>蘇子中</t>
  </si>
  <si>
    <t>英語教學的文學觀點</t>
  </si>
  <si>
    <t>9789574457151</t>
  </si>
  <si>
    <t>莊坤良</t>
  </si>
  <si>
    <t>805.103</t>
  </si>
  <si>
    <t>符號與修辭：古典詩學文獻的現代詮釋學意義</t>
  </si>
  <si>
    <t>9789574458219</t>
  </si>
  <si>
    <t>張漢良</t>
  </si>
  <si>
    <t>810.13</t>
  </si>
  <si>
    <t>不想生病，血液要乾淨！疾病是大自然的內部清潔</t>
  </si>
  <si>
    <t>9789869700689</t>
  </si>
  <si>
    <t>約翰‧亨利‧提爾頓（John Henry Tilden）</t>
  </si>
  <si>
    <t>好卡路里，壞卡路里：醫師、營養專家、生酮高手都在研究的碳水化合物、脂肪的驚人真相！</t>
  </si>
  <si>
    <t>9789869700696</t>
  </si>
  <si>
    <t>蓋瑞．陶布斯（Gary Taubes）</t>
  </si>
  <si>
    <t>Eiko的吃喝玩樂日本語： 掌握「聽」「說」關鍵字，秒懂秒回日本人！【有聲】</t>
  </si>
  <si>
    <t>9789862488164</t>
  </si>
  <si>
    <t>Eiko</t>
  </si>
  <si>
    <t>打造英文閱讀力：帶孩子看懂文章、學會文法【有聲】</t>
  </si>
  <si>
    <t>9789862488171</t>
  </si>
  <si>
    <t>周昱葳（葳姐）</t>
  </si>
  <si>
    <t>親情，也需要界限：認清10種家庭問題X8種告別傷害的方法，找回圓滿的自己</t>
  </si>
  <si>
    <t>9789862488201</t>
  </si>
  <si>
    <t>艾瑞克．梅西爾（Eric Maisel）</t>
  </si>
  <si>
    <t>成功語錄超實踐！松下幸之助的職場心法：從思考優先轉為行動優先的「紙一張」思考工作術</t>
  </si>
  <si>
    <t>9789862488195</t>
  </si>
  <si>
    <t>淺田卓（Asada Suguru）</t>
  </si>
  <si>
    <t>網紅這樣當：從社群經營到議價簽約，爆紅撇步、業配攻略、合作眉角全解析</t>
  </si>
  <si>
    <t>9789862488188</t>
  </si>
  <si>
    <t>布莉塔妮．漢納希（Brittany Hennessy ）</t>
  </si>
  <si>
    <t>餐桌上的紅色經濟風暴：黑心、暴利、壟斷，從一顆番茄看市場全球化的跨國商機與運作陰謀</t>
  </si>
  <si>
    <t>9789862488102</t>
  </si>
  <si>
    <t>尚－巴普提斯特・馬雷（Jean－Baptiste Malet）</t>
  </si>
  <si>
    <t>558.32</t>
  </si>
  <si>
    <t>愛字的人：因為你對書的愛情，我們存在</t>
  </si>
  <si>
    <t>9789869131384</t>
  </si>
  <si>
    <t>李偉麟，虹風（沙貓），陳安弦</t>
  </si>
  <si>
    <t>一本書教你聰明學習幸福手冊：成績不好不是程度不好或不用功，念書靠方法不完全靠智慧</t>
  </si>
  <si>
    <t>9789577357328</t>
  </si>
  <si>
    <t>崧燁文化事業有限公司</t>
  </si>
  <si>
    <t>羅鮮</t>
  </si>
  <si>
    <t>524.7</t>
  </si>
  <si>
    <t>導遊領隊的冷知識大全集</t>
  </si>
  <si>
    <t>9789577356673</t>
  </si>
  <si>
    <t>曹維存</t>
  </si>
  <si>
    <t>卡卡女性主義</t>
  </si>
  <si>
    <t>9789881423368</t>
  </si>
  <si>
    <t>手民出版社</t>
  </si>
  <si>
    <t>傑克（ 朱迪斯 ）．哈伯斯坦（J. Jack Halberstam）</t>
  </si>
  <si>
    <t>194</t>
  </si>
  <si>
    <t>公共场所礼仪</t>
  </si>
  <si>
    <t>9787555361510</t>
  </si>
  <si>
    <t>态度的力量：工作态度决定人生高度</t>
  </si>
  <si>
    <t>9787569019940</t>
  </si>
  <si>
    <t>吕晓燕</t>
  </si>
  <si>
    <t>推销员培训手册：原一平的成功之道</t>
  </si>
  <si>
    <t>9787569019933</t>
  </si>
  <si>
    <t>高原</t>
  </si>
  <si>
    <t>公关礼仪</t>
  </si>
  <si>
    <t>9787555361527</t>
  </si>
  <si>
    <t>萝薇</t>
  </si>
  <si>
    <t>吻THE KISS</t>
  </si>
  <si>
    <t>9789867101846</t>
  </si>
  <si>
    <t>Alain Montandon</t>
  </si>
  <si>
    <t>538.35</t>
  </si>
  <si>
    <t>所有動人的故事：文學閱讀與批評</t>
  </si>
  <si>
    <t>9789574457427</t>
  </si>
  <si>
    <t>陳義芝（Chen I-Chih）</t>
  </si>
  <si>
    <t>人類智慧最重要的9個定律</t>
  </si>
  <si>
    <t>9789869745970</t>
  </si>
  <si>
    <t>勞倫斯．彼得 等</t>
  </si>
  <si>
    <t>决定你成功的不是情商，是逆商AQ：打造成功人生的競爭智慧</t>
  </si>
  <si>
    <t>9789869745987</t>
  </si>
  <si>
    <t>不迷茫，給生命中的安然和平靜：最好的救贖是對心靈的療傷</t>
  </si>
  <si>
    <t>9789869745994</t>
  </si>
  <si>
    <t>個人退休理財行為調查分析</t>
  </si>
  <si>
    <t>9789865795368</t>
  </si>
  <si>
    <t>蔡鳳凰，吳中書，黃勢璋，廖珈燕</t>
  </si>
  <si>
    <t>台灣歷史228事件第1集</t>
  </si>
  <si>
    <t>EBK10200011306</t>
  </si>
  <si>
    <t>張瑋玲</t>
  </si>
  <si>
    <t>台灣歷史228事件第2集</t>
  </si>
  <si>
    <t>EBK10200011307</t>
  </si>
  <si>
    <t>台灣歷史228事件第3集</t>
  </si>
  <si>
    <t>EBK10200011308</t>
  </si>
  <si>
    <t>社會平等：當代的挑戰</t>
  </si>
  <si>
    <t>9789576939266</t>
  </si>
  <si>
    <t>魯道夫．德瑞克斯（Rudolf Dreikurs）</t>
  </si>
  <si>
    <t>540.9</t>
  </si>
  <si>
    <t>水面上與水面下：用戲劇轉化人生</t>
  </si>
  <si>
    <t>9789576939280</t>
  </si>
  <si>
    <t>張嘉容</t>
  </si>
  <si>
    <t>980.7</t>
  </si>
  <si>
    <t>韌性配方：如何在創痛中活出豐富與意義</t>
  </si>
  <si>
    <t>9789576939303</t>
  </si>
  <si>
    <t>羅斯．哈里斯（Dr. Russ Harris）</t>
  </si>
  <si>
    <t>傾聽自然：如何深化你的自然意識</t>
  </si>
  <si>
    <t>9789576939310</t>
  </si>
  <si>
    <t>約瑟夫‧柯內爾（Joseph Bharat Cornell）</t>
  </si>
  <si>
    <t>榮敬老師的生活必備韓語文法：只要學會23項文法，就能和韓國人日常溝通！【有聲】</t>
  </si>
  <si>
    <t>9789862488249_1</t>
  </si>
  <si>
    <t>李榮敬</t>
  </si>
  <si>
    <t>榮敬老師的韓國旅遊實境會話【有聲】</t>
  </si>
  <si>
    <t>9789862488249_2</t>
  </si>
  <si>
    <t>日檢單字＋文法一本搞定N1【有聲】</t>
  </si>
  <si>
    <t>9789869608657</t>
  </si>
  <si>
    <t>日檢單字＋文法一本搞定N2【有聲】</t>
  </si>
  <si>
    <t>9789869608633</t>
  </si>
  <si>
    <t>日檢單字＋文法一本搞定N3【有聲】</t>
  </si>
  <si>
    <t>9789865753993</t>
  </si>
  <si>
    <t>怎樣活到100歲：銀髮族的四季養生療癒</t>
  </si>
  <si>
    <t>9789869635790</t>
  </si>
  <si>
    <t>彭啟明醫師</t>
  </si>
  <si>
    <t>墨子全書</t>
  </si>
  <si>
    <t>9789869746014</t>
  </si>
  <si>
    <t>墨子（翟）</t>
  </si>
  <si>
    <t>121.417</t>
  </si>
  <si>
    <t>瀰來彌去：跨域觀念小小說</t>
  </si>
  <si>
    <t>9789869746007</t>
  </si>
  <si>
    <t>周慶華</t>
  </si>
  <si>
    <t>解讀素書：一位深藏不露奇人，一本治國興邦奇書</t>
  </si>
  <si>
    <t>9789869746021</t>
  </si>
  <si>
    <t>何清遠教授</t>
  </si>
  <si>
    <t>592.0951</t>
  </si>
  <si>
    <t>人體63個特效止痛穴位</t>
  </si>
  <si>
    <t>9789869746038</t>
  </si>
  <si>
    <t>李春深醫師</t>
  </si>
  <si>
    <t>蘇格拉底之死</t>
  </si>
  <si>
    <t>9789869746045</t>
  </si>
  <si>
    <t>柏拉圖 (Ploto)</t>
  </si>
  <si>
    <t>141.28</t>
  </si>
  <si>
    <t>走出新詩銅像國</t>
  </si>
  <si>
    <t>9789869746052</t>
  </si>
  <si>
    <t>812.11</t>
  </si>
  <si>
    <t>微養生奇蹟：用平凡小細節，守住你的健康</t>
  </si>
  <si>
    <t>9789869746069</t>
  </si>
  <si>
    <t>楊力醫師</t>
  </si>
  <si>
    <t>斯巴達式：新制多益10回聽力試題解析【有聲】</t>
  </si>
  <si>
    <t>9789869637664</t>
  </si>
  <si>
    <t>元晶瑞</t>
  </si>
  <si>
    <t>斯巴達式：新制多益10回閱讀試題解析</t>
  </si>
  <si>
    <t>9789869637657</t>
  </si>
  <si>
    <t>金富露，朴宣映</t>
  </si>
  <si>
    <t>1秒開口說：我的第一本越南語會話【有聲】</t>
  </si>
  <si>
    <t>9789869550369</t>
  </si>
  <si>
    <t>張小怡，阮文翰</t>
  </si>
  <si>
    <t>越南語333超快速學習法：3個訣竅，3個階段，3天說一口流利越南語【有聲】</t>
  </si>
  <si>
    <t>9789869637671</t>
  </si>
  <si>
    <t>全球通語研社</t>
  </si>
  <si>
    <t>金色證書：新制TOEIC必考片語大全【有聲】</t>
  </si>
  <si>
    <t>9789869587235</t>
  </si>
  <si>
    <t>印尼語333超快速學習法：3個訣竅，3個階段，3天說一口流利印尼語【有聲】</t>
  </si>
  <si>
    <t>9789869637688</t>
  </si>
  <si>
    <t>讀霸！多益閱讀模擬測驗【有聲】</t>
  </si>
  <si>
    <t>9789869628228</t>
  </si>
  <si>
    <t>張瑪麗，Steve King</t>
  </si>
  <si>
    <t>聽霸！英語聽力模擬測驗：2018新制多益LC高分關鍵書【有聲】</t>
  </si>
  <si>
    <t>9789869628204</t>
  </si>
  <si>
    <t>流行美語排行榜：美國人最愛說的100句話【有聲】</t>
  </si>
  <si>
    <t>9789869628211</t>
  </si>
  <si>
    <t>大膽說：流利英語的捷徑【有聲】</t>
  </si>
  <si>
    <t>9789869496698</t>
  </si>
  <si>
    <t>日語333超快速學習法：3個訣竅，3個階段，3天說一口流利日語【有聲】</t>
  </si>
  <si>
    <t>9789869637626</t>
  </si>
  <si>
    <t>英語333超快速學習法：3個訣竅，3個階段，3天說一口流利英語【有聲】</t>
  </si>
  <si>
    <t>9789869637633</t>
  </si>
  <si>
    <t>金色證書：新制TOEIC單字聽力大全【有聲】</t>
  </si>
  <si>
    <t>9789869587259</t>
  </si>
  <si>
    <t>金色證書：新制TOEIC單字、聽力、閱讀【有聲】</t>
  </si>
  <si>
    <t>9789869587297</t>
  </si>
  <si>
    <t>金色證書：新制TOEIC必考單字文法【有聲】</t>
  </si>
  <si>
    <t>9789869587211</t>
  </si>
  <si>
    <t>金色證書：新制TOEIC必考單字大全【有聲】</t>
  </si>
  <si>
    <t>9789869587266</t>
  </si>
  <si>
    <t>金色證書：新制TOEIC必考句型大全【有聲】</t>
  </si>
  <si>
    <t>9789869587242</t>
  </si>
  <si>
    <t>珍妮芙，Johnson Mo</t>
  </si>
  <si>
    <t>金色證書：新制TOEIC必考文法大全</t>
  </si>
  <si>
    <t>9789869637619</t>
  </si>
  <si>
    <t>張小怡，珍妮芙</t>
  </si>
  <si>
    <t>字首、字根、字尾，背單字最輕鬆：TOEIC激增200分【有聲】</t>
  </si>
  <si>
    <t>9789869587273</t>
  </si>
  <si>
    <t>5天學會KK音標：我的第一本發音學習書【有聲】</t>
  </si>
  <si>
    <t>9789869587280</t>
  </si>
  <si>
    <t>10000單字，多益拿高分【有聲】</t>
  </si>
  <si>
    <t>9789869637695</t>
  </si>
  <si>
    <t>兩岸奇蹟六十年：從臺灣經濟奇蹟到中國崛起</t>
  </si>
  <si>
    <t>9789869763424</t>
  </si>
  <si>
    <t>周朝國</t>
  </si>
  <si>
    <t>各國制憲運動</t>
  </si>
  <si>
    <t>9789869748506</t>
  </si>
  <si>
    <t>施正鋒</t>
  </si>
  <si>
    <t>581.1</t>
  </si>
  <si>
    <t>各國憲政體制選擇</t>
  </si>
  <si>
    <t>9789869748513</t>
  </si>
  <si>
    <t>571.6</t>
  </si>
  <si>
    <t>小信號防萬病：頭暈、打鼾、腳麻、盜汗、便祕、眉毛脫落……都是身體在求救的訊號，最精準的中醫疾病預測學。</t>
  </si>
  <si>
    <t>9789579654074</t>
  </si>
  <si>
    <t>大是文化</t>
  </si>
  <si>
    <t>邪惡的20個樣貌：殺人、強暴、傷害、霸凌，那些「平常人很好呀」的人，怎麼瞬間變邪惡？你我心裡也有一兩個這樣的特徵</t>
  </si>
  <si>
    <t>9789579654173</t>
  </si>
  <si>
    <t>張蔚</t>
  </si>
  <si>
    <t>548.52</t>
  </si>
  <si>
    <t>冷戰光影：地緣政治下的香港電影審查史</t>
  </si>
  <si>
    <t>9789869745819</t>
  </si>
  <si>
    <t>季風帶文化有限公司</t>
  </si>
  <si>
    <t>李淑敏</t>
  </si>
  <si>
    <t>987.092</t>
  </si>
  <si>
    <t>菜英文．生活基礎篇</t>
  </si>
  <si>
    <t>9789869608619</t>
  </si>
  <si>
    <t>菜英文．實用會話篇</t>
  </si>
  <si>
    <t>9789869608626</t>
  </si>
  <si>
    <t>NewTOEIC多益新制黃金團隊FINAL終極版：5回全真試題＋詳解【有聲】</t>
  </si>
  <si>
    <t>9789862488287</t>
  </si>
  <si>
    <t>Jade Kim，Sun－hee Kim，NEXUS多益研究所</t>
  </si>
  <si>
    <t>觸動人心，非暴力溝通的27個練習：學狼發洩情緒，像長頸鹿一樣用心傾聽</t>
  </si>
  <si>
    <t>9789862488263</t>
  </si>
  <si>
    <t>古恩蒂．蓋斯樂（Gundi Gaschler）</t>
  </si>
  <si>
    <t>日本浪漫愛情100談：Nippon所藏日語嚴選講座【有聲】</t>
  </si>
  <si>
    <t>9789862487846</t>
  </si>
  <si>
    <t>科見日語， EZ Japan</t>
  </si>
  <si>
    <t>NEW TOEIC多益新制突破650分：解題技巧全攻略【有聲】</t>
  </si>
  <si>
    <t>9789862487525</t>
  </si>
  <si>
    <t>能率英語教育研究所</t>
  </si>
  <si>
    <t>New TOEIC多益新制黃金團隊5回全真試題＋詳解【有聲】</t>
  </si>
  <si>
    <t>9789862487068</t>
  </si>
  <si>
    <t>洪鎮杰，李住恩，NEXUS多益研究所</t>
  </si>
  <si>
    <t>金色證書：新制TOEIC必考單字片語【有聲】</t>
  </si>
  <si>
    <t>9789869587204</t>
  </si>
  <si>
    <t>Living＆Design2018年特刊：Before＆After改造王</t>
  </si>
  <si>
    <t>4718018821833</t>
  </si>
  <si>
    <t>圓祥大眾傳播有限公司</t>
  </si>
  <si>
    <t>侯志忠</t>
  </si>
  <si>
    <t>幸福住宅系列2019年：必看！室內裝修實用500祕招</t>
  </si>
  <si>
    <t>4718018825053</t>
  </si>
  <si>
    <t>2018設計現場：各種空間坪數的運用方法，給您最適切的解析！</t>
  </si>
  <si>
    <t>4718018824353</t>
  </si>
  <si>
    <t>會展概論</t>
  </si>
  <si>
    <t>9789577356987</t>
  </si>
  <si>
    <t>「會展策劃與實務」崗位資格考試系列教材委會</t>
  </si>
  <si>
    <t>文創地圖：指引，一條文創的經營路徑。</t>
  </si>
  <si>
    <t>9789869663342</t>
  </si>
  <si>
    <t>周鈺庭</t>
  </si>
  <si>
    <t>玩美新娘髮型</t>
  </si>
  <si>
    <t>9789863710462</t>
  </si>
  <si>
    <t>黃瑞媚（Jessie）</t>
  </si>
  <si>
    <t>425.5</t>
  </si>
  <si>
    <t>藝術的歷史（上）</t>
  </si>
  <si>
    <t>9789869645447</t>
  </si>
  <si>
    <t>許汝紘，黃可萱</t>
  </si>
  <si>
    <t>909.1</t>
  </si>
  <si>
    <t>藝術的歷史（下）</t>
  </si>
  <si>
    <t>9789869693219</t>
  </si>
  <si>
    <t>90%女人都會忽略的恐怖疾病：擺脫壞菌感染、再造免疫力的人體平衡飲食法</t>
  </si>
  <si>
    <t>9789869768023</t>
  </si>
  <si>
    <t>唐娜．蓋茲（Donna Gates），琳達．夏茲（Linda Schatz）</t>
  </si>
  <si>
    <t>415.282</t>
  </si>
  <si>
    <t>MBTI實用性格解析：結合實例與經驗十六種性格的專業剖析</t>
  </si>
  <si>
    <t>9789863588023</t>
  </si>
  <si>
    <t>張立昕</t>
  </si>
  <si>
    <t>首爾大學韓國語1A練習本【有聲】</t>
  </si>
  <si>
    <t>9789862487815</t>
  </si>
  <si>
    <t>首爾大學語言教育院</t>
  </si>
  <si>
    <t>首爾大學韓國語1B練習本【有聲】</t>
  </si>
  <si>
    <t>9789862487822</t>
  </si>
  <si>
    <t>首爾大學韓國語2A練習本【有聲】</t>
  </si>
  <si>
    <t>9789862487860</t>
  </si>
  <si>
    <t>首爾大學韓國語2B練習本【有聲】</t>
  </si>
  <si>
    <t>9789862487877</t>
  </si>
  <si>
    <t>公主變成貓：從榮格觀點探索童話世界</t>
  </si>
  <si>
    <t>9789863571292</t>
  </si>
  <si>
    <t>瑪麗－路薏絲．馮．法蘭茲（Marie－Louise von Franz）</t>
  </si>
  <si>
    <t>815.92</t>
  </si>
  <si>
    <t>走走日本：京都</t>
  </si>
  <si>
    <t>EBK10200011407</t>
  </si>
  <si>
    <t>原來這就是鳥取</t>
  </si>
  <si>
    <t>EBK10200011408</t>
  </si>
  <si>
    <t>一切破碎，一切成灰</t>
  </si>
  <si>
    <t>9789869278188</t>
  </si>
  <si>
    <t>威爾斯．陶爾（Wells Tower）</t>
  </si>
  <si>
    <t>看得到的中國史：用100件文物，見證中華文明的誕生、融合和擴展。文物與歷史碰
撞，你對世界來龍去脈的理解馬上不一樣</t>
  </si>
  <si>
    <t>9789579654166</t>
  </si>
  <si>
    <t>佟洵，王雲松</t>
  </si>
  <si>
    <t>若無相見，怎會相欠：民國大師的愛情─縱橫江湖的他們，最後卻愛成了凡夫俗子</t>
  </si>
  <si>
    <t>9789869720847</t>
  </si>
  <si>
    <t>任性出版</t>
  </si>
  <si>
    <t>何灩</t>
  </si>
  <si>
    <t>空服人員化妝技巧與形象塑造</t>
  </si>
  <si>
    <t>9789577356598</t>
  </si>
  <si>
    <t>李勤</t>
  </si>
  <si>
    <t>557.948</t>
  </si>
  <si>
    <t>遊戲動漫CG插圖設計與製作</t>
  </si>
  <si>
    <t>9789577357694</t>
  </si>
  <si>
    <t>喬斌</t>
  </si>
  <si>
    <t>9789864877416</t>
  </si>
  <si>
    <t>導遊實務（二）［華語、外語導遊人員］</t>
  </si>
  <si>
    <t>9789864876884</t>
  </si>
  <si>
    <t>領隊實務（二）［華語、外語導遊人員］</t>
  </si>
  <si>
    <t>9789864876969</t>
  </si>
  <si>
    <t>9789864877430</t>
  </si>
  <si>
    <t>三的誘惑</t>
  </si>
  <si>
    <t>9789888568659</t>
  </si>
  <si>
    <t>李佩芬</t>
  </si>
  <si>
    <t>不用錢的投資術</t>
  </si>
  <si>
    <t>9789888568321</t>
  </si>
  <si>
    <t>藍天圖書</t>
  </si>
  <si>
    <t>曾琦殷</t>
  </si>
  <si>
    <t>金的法庭日誌：一不小心變被告</t>
  </si>
  <si>
    <t>9789888568710</t>
  </si>
  <si>
    <t>潘展平大律師</t>
  </si>
  <si>
    <t>是甚麼感情重要嗎</t>
  </si>
  <si>
    <t>9789888568611</t>
  </si>
  <si>
    <t>我</t>
  </si>
  <si>
    <t>珍珠串</t>
  </si>
  <si>
    <t>9789888568574</t>
  </si>
  <si>
    <t>余達明</t>
  </si>
  <si>
    <t>旅程</t>
  </si>
  <si>
    <t>9789888568543</t>
  </si>
  <si>
    <t>季輝</t>
  </si>
  <si>
    <t>象你這麼懶！有些懶現在不偷一輩子都不會懶了！</t>
  </si>
  <si>
    <t>9789888568840</t>
  </si>
  <si>
    <t>so象</t>
  </si>
  <si>
    <t>Nala Cat的彩繪世界：貓界表情帝的喵星哲學</t>
  </si>
  <si>
    <t>9789869602600</t>
  </si>
  <si>
    <t>SUNRISE－J文靜</t>
  </si>
  <si>
    <t>不抱怨的你很美</t>
  </si>
  <si>
    <t>9789863901563</t>
  </si>
  <si>
    <t>紅娘子工作室</t>
  </si>
  <si>
    <t>語言．意識．哲學</t>
  </si>
  <si>
    <t>9789865670535</t>
  </si>
  <si>
    <t>呂新炎</t>
  </si>
  <si>
    <t>進階法文詞彙與文法</t>
  </si>
  <si>
    <t>9789866089855</t>
  </si>
  <si>
    <t>總有天光日照來：蔡文傑散文集</t>
  </si>
  <si>
    <t>9789863587378</t>
  </si>
  <si>
    <t>蔡文傑</t>
  </si>
  <si>
    <t>城市速寫：讓阿貴建築師帶你城市漫遊</t>
  </si>
  <si>
    <t>9789863588009</t>
  </si>
  <si>
    <t>曹登貴</t>
  </si>
  <si>
    <t>921.1</t>
  </si>
  <si>
    <t>賀成交！超級業務金牌手冊</t>
  </si>
  <si>
    <t>9789864110995</t>
  </si>
  <si>
    <t>林文豪</t>
  </si>
  <si>
    <t>叫我第一名：事半功倍的銷售成交術！</t>
  </si>
  <si>
    <t>9789864111008</t>
  </si>
  <si>
    <t>張奕安</t>
  </si>
  <si>
    <t>人生本來就不完美：相信自己，創造奇蹟</t>
  </si>
  <si>
    <t>9789864111015</t>
  </si>
  <si>
    <t>鐘紀緯</t>
  </si>
  <si>
    <t>用腦袋思考：你不能總把希望寄託在好運上</t>
  </si>
  <si>
    <t>9789864111022</t>
  </si>
  <si>
    <t>別讓自己不高興：50條不生氣法則</t>
  </si>
  <si>
    <t>9789864111046</t>
  </si>
  <si>
    <t>高非</t>
  </si>
  <si>
    <t>連愛因斯坦都會抓狂的益智推理遊戲</t>
  </si>
  <si>
    <t>9789864531004</t>
  </si>
  <si>
    <t>佐藤次郎</t>
  </si>
  <si>
    <t>面對不愉快，你可以選擇一笑置之</t>
  </si>
  <si>
    <t>9789864531011</t>
  </si>
  <si>
    <t>鄭雅方</t>
  </si>
  <si>
    <t>9789864531028</t>
  </si>
  <si>
    <t>都是機會，絕不放棄：業務高手培訓班</t>
  </si>
  <si>
    <t>9789864531059</t>
  </si>
  <si>
    <t>林姮妃</t>
  </si>
  <si>
    <t>失落的古文明：神祕消失的繁華世界</t>
  </si>
  <si>
    <t>9789864531066</t>
  </si>
  <si>
    <t>艾賓斯</t>
  </si>
  <si>
    <t>隨時要為最壞的狀況做準備</t>
  </si>
  <si>
    <t>9789864531073</t>
  </si>
  <si>
    <t>吳麗娜</t>
  </si>
  <si>
    <t>日檢單字＋文法一本搞定N4【有聲】</t>
  </si>
  <si>
    <t>9789869697392</t>
  </si>
  <si>
    <t>從歷史悟人生：最經典的歷史故事</t>
  </si>
  <si>
    <t>9789869739382</t>
  </si>
  <si>
    <t>李銘峰</t>
  </si>
  <si>
    <t>9789869779500</t>
  </si>
  <si>
    <t>絕無冷場！為聊天準備的日語會話Q＆A【有聲】</t>
  </si>
  <si>
    <t>9789869779517</t>
  </si>
  <si>
    <t>9789869779524</t>
  </si>
  <si>
    <t>懶人日語單字：舉一反三的日語單字書【有聲】</t>
  </si>
  <si>
    <t>9789869779531</t>
  </si>
  <si>
    <t>9789869779548</t>
  </si>
  <si>
    <t>從歷史悟人生：最偉大的歷史故事</t>
  </si>
  <si>
    <t>9789869805704</t>
  </si>
  <si>
    <t>女兒房</t>
  </si>
  <si>
    <t>9789869772228</t>
  </si>
  <si>
    <t>文書e學園3：Word 2016</t>
  </si>
  <si>
    <t>9789869633437</t>
  </si>
  <si>
    <t>張志仁</t>
  </si>
  <si>
    <t>一張椅子的生活態度</t>
  </si>
  <si>
    <t>9789577275622</t>
  </si>
  <si>
    <t>863.55</t>
  </si>
  <si>
    <t>一定會考！雅思超高分單字【有聲】</t>
  </si>
  <si>
    <t>9789869703796</t>
  </si>
  <si>
    <t>張小怡，李思純</t>
  </si>
  <si>
    <t>微信傳奇張小龍：一個內向孤獨的理工男，如何讓馬雲如坐針氈，改變10億人生活。</t>
  </si>
  <si>
    <t>9789579654302</t>
  </si>
  <si>
    <t>劉志則</t>
  </si>
  <si>
    <t>490.99</t>
  </si>
  <si>
    <t>寫給情人的詩詞：讀了詩詞、懂了愛情，為初相遇、將離別、甫分手、長相思的你。</t>
  </si>
  <si>
    <t>9789869720854</t>
  </si>
  <si>
    <t>桑妮</t>
  </si>
  <si>
    <t>學中醫，救自己：打造不生病的體質，最好自己來。過敏、常感冒、失眠、憂鬱、坐骨神經痛……通通能不藥而癒。</t>
  </si>
  <si>
    <t>9789579654234</t>
  </si>
  <si>
    <t>陳懿琳</t>
  </si>
  <si>
    <t>文学与电影改编研究</t>
  </si>
  <si>
    <t>9787520121842</t>
  </si>
  <si>
    <t>章颜</t>
  </si>
  <si>
    <t>“亚洲校园”跨境高等教育项目质量报告</t>
  </si>
  <si>
    <t>9787520126144</t>
  </si>
  <si>
    <t>周爱军，刘振天，郑觅</t>
  </si>
  <si>
    <t>CHINESE PARENTS' EDUCATIONAL INVOLVEMENT：Supporting Activities，Beliefs and Context</t>
  </si>
  <si>
    <t>9787520134125</t>
  </si>
  <si>
    <t>Tongyou Zhao（赵同友）</t>
  </si>
  <si>
    <t>苗族银饰文化产业调查研究</t>
  </si>
  <si>
    <t>9787520132633</t>
  </si>
  <si>
    <t>郑泓灏</t>
  </si>
  <si>
    <t>文化资源产业化研究：以河南为例</t>
  </si>
  <si>
    <t>9787520140515</t>
  </si>
  <si>
    <t>侯燕</t>
  </si>
  <si>
    <t>絕對上榜！導遊、領隊常考題型特訓</t>
  </si>
  <si>
    <t>9789864877652</t>
  </si>
  <si>
    <t>百年女史在臺灣：臺灣女性文化地標【增訂版】</t>
  </si>
  <si>
    <t>9789579528498</t>
  </si>
  <si>
    <t>鄭美里 等</t>
  </si>
  <si>
    <t>783.322</t>
  </si>
  <si>
    <t>流體太極：長壽又健康的真髓：身•心•靈•魂調和</t>
  </si>
  <si>
    <t>9789869693790</t>
  </si>
  <si>
    <t>謝長廷，周東寬</t>
  </si>
  <si>
    <t>疾病，從大腦失衡開始：環境變異影響大腦功能，造成文明病、慢性病、癌症人口遽增</t>
  </si>
  <si>
    <t>9789579528535</t>
  </si>
  <si>
    <t>李政家</t>
  </si>
  <si>
    <t>恩英老師韓文（一）：韓語40音、基礎會話和語法規則【有聲】</t>
  </si>
  <si>
    <t>9789862488362</t>
  </si>
  <si>
    <t>鄭恩英</t>
  </si>
  <si>
    <t>新制多益聽力滿分攻略</t>
  </si>
  <si>
    <t>9789862488294</t>
  </si>
  <si>
    <t>洪欣（Olivia）</t>
  </si>
  <si>
    <t>終結失業，還是窮忙一場？擺脫了打卡人生，我們為何仍感焦慮，還得承擔更多風險</t>
  </si>
  <si>
    <t>9789862488355</t>
  </si>
  <si>
    <t>莎拉．柯斯勒（Sarah Kessler）</t>
  </si>
  <si>
    <t>556</t>
  </si>
  <si>
    <t>3天搞懂技術分析：看懂走勢、解讀線圖，橫掃股市乘風破浪！</t>
  </si>
  <si>
    <t>9789862488324</t>
  </si>
  <si>
    <t>跟阿德勒學正向教養：教師篇－打造互助合作的教室，引導學生彼此尊重、勇於負責，學習成功人生所需的技能</t>
  </si>
  <si>
    <t>9789862488331</t>
  </si>
  <si>
    <t>簡．尼爾森（Jane Nelsen），琳．洛特（Lynn Lott），史蒂芬．格林（H. Stephen Glenn）</t>
  </si>
  <si>
    <t>527</t>
  </si>
  <si>
    <t>台灣的後基因體時代：新科技的典範轉移與挑戰</t>
  </si>
  <si>
    <t>9789578614239</t>
  </si>
  <si>
    <t>蔡友月，潘美玲，陳宗文</t>
  </si>
  <si>
    <t>368.4</t>
  </si>
  <si>
    <t>考古偵探：解讀歷史就像閱讀推理小說，帶你踏查文明起源，思辨炎黃子孫、大禹治水是否神話傳說？（上）校園遇見「席明納」先生</t>
  </si>
  <si>
    <t>9789869622004_1</t>
  </si>
  <si>
    <t>郭靜云，郭立新，范梓浩</t>
  </si>
  <si>
    <t>考古偵探：解讀歷史就像閱讀推理小說，帶你踏查文明起源，思辨炎黃子孫、大禹治水是否神話傳說？（下）田野考察日記</t>
  </si>
  <si>
    <t>9789869622004_2</t>
  </si>
  <si>
    <t>砂糖之島：日治初期的臺灣糖業史1895－1911</t>
  </si>
  <si>
    <t>9789578614277</t>
  </si>
  <si>
    <t>黃紹恆</t>
  </si>
  <si>
    <t>481.8093</t>
  </si>
  <si>
    <t>傾聽獅潭：鄉村日常、生計與地方創生</t>
  </si>
  <si>
    <t>9789869622035</t>
  </si>
  <si>
    <t>連瑞枝，程惠芳</t>
  </si>
  <si>
    <t>讀圖漫記：漫畫文學的工具與臺灣軌跡</t>
  </si>
  <si>
    <t>9789869477284</t>
  </si>
  <si>
    <t>周文鵬</t>
  </si>
  <si>
    <t>948</t>
  </si>
  <si>
    <t>走走日本：大阪</t>
  </si>
  <si>
    <t>EBK10200011433</t>
  </si>
  <si>
    <t>禪修教觀：教理與實修操作手冊（下）</t>
  </si>
  <si>
    <t>9789574473281</t>
  </si>
  <si>
    <t>大千出版社</t>
  </si>
  <si>
    <t>鄭振煌</t>
  </si>
  <si>
    <t>禪修教觀：教理與實修操作手冊（上）</t>
  </si>
  <si>
    <t>9789574472987</t>
  </si>
  <si>
    <t>肇論白話輕鬆讀：用智慧尋找佛道</t>
  </si>
  <si>
    <t>9789869646345</t>
  </si>
  <si>
    <t>蕭振士</t>
  </si>
  <si>
    <t>220.1</t>
  </si>
  <si>
    <t>勝鬘經輕鬆讀：男女平等成佛的關鍵根據</t>
  </si>
  <si>
    <t>9789869646338</t>
  </si>
  <si>
    <t>221.32</t>
  </si>
  <si>
    <t>素食者的雞精－－啤酒酵母：缺乏維他命B群，頭暈、心悸、痠痛、便秘和慢性疾病通通找上門</t>
  </si>
  <si>
    <t>9789869646321</t>
  </si>
  <si>
    <t>梁崇明</t>
  </si>
  <si>
    <t>華嚴經開悟後的生活智慧：入法界品精要</t>
  </si>
  <si>
    <t>9789869751834</t>
  </si>
  <si>
    <t>實叉難陀，蕭振士，梁崇明</t>
  </si>
  <si>
    <t>221.2</t>
  </si>
  <si>
    <t>法華經精要，不可思議的今生成佛智慧：開發您本有的無限潛能</t>
  </si>
  <si>
    <t>9789869751841</t>
  </si>
  <si>
    <t>（姚秦）鳩摩羅什，梁崇明</t>
  </si>
  <si>
    <t>221</t>
  </si>
  <si>
    <t>大般涅槃經精要，最惡的人也能成佛的智慧：開發每個人本有的覺性</t>
  </si>
  <si>
    <t>9789869751858</t>
  </si>
  <si>
    <t>天竺三藏曇無讖，梁崇明</t>
  </si>
  <si>
    <t>221.63</t>
  </si>
  <si>
    <t>東告雨的蝴蝶夢：死者如是說</t>
  </si>
  <si>
    <t>9789869787949</t>
  </si>
  <si>
    <t>東告雨</t>
  </si>
  <si>
    <t>救命防癌抗老聖果：諾麗果的自癒奇蹟－－喝出不罹癌體質的飲食療癒聖經</t>
  </si>
  <si>
    <t>9789869751896</t>
  </si>
  <si>
    <t>醫道求真：用藥心得筆記</t>
  </si>
  <si>
    <t>9789869569880</t>
  </si>
  <si>
    <t>今日軒圖書文化事業有限公司</t>
  </si>
  <si>
    <t>吳南京</t>
  </si>
  <si>
    <t>懸壺雜記：民間屢試屢效方</t>
  </si>
  <si>
    <t>9789869569873</t>
  </si>
  <si>
    <t>唐偉華</t>
  </si>
  <si>
    <t>413.8</t>
  </si>
  <si>
    <t>帝國．臺灣：1895～1945年寫真書</t>
  </si>
  <si>
    <t>9789869696456</t>
  </si>
  <si>
    <t>孟子道德發展思想與教育：由心性而行為的自主模式</t>
  </si>
  <si>
    <t>9789578843110</t>
  </si>
  <si>
    <t>輔仁大學出版社</t>
  </si>
  <si>
    <t>121.26</t>
  </si>
  <si>
    <t>從中西造形思考探討文字墨畫：以設計創意春聯為例</t>
  </si>
  <si>
    <t>9789578843332</t>
  </si>
  <si>
    <t>李孟玲</t>
  </si>
  <si>
    <t>942.01</t>
  </si>
  <si>
    <t>東西文明會通之哲學要點：自然數及其意義之延伸</t>
  </si>
  <si>
    <t>9789578843363</t>
  </si>
  <si>
    <t>史作檉</t>
  </si>
  <si>
    <t>107</t>
  </si>
  <si>
    <t>南都印象：2019鄭京水彩畫集</t>
  </si>
  <si>
    <t>9789869262484</t>
  </si>
  <si>
    <t>台灣東門美術股份有限公司</t>
  </si>
  <si>
    <t>鄭福源</t>
  </si>
  <si>
    <t>948.5</t>
  </si>
  <si>
    <t>2017津夫個展：奇觀城市物語，影像改變的世界</t>
  </si>
  <si>
    <t>9789899262446</t>
  </si>
  <si>
    <t>黃金福（津夫）</t>
  </si>
  <si>
    <t>城市轨道交通新技术</t>
  </si>
  <si>
    <t>9787564345648</t>
  </si>
  <si>
    <t>成都西南交大出版社有限公司</t>
  </si>
  <si>
    <t>薛锋，朱志国，陈钉均</t>
  </si>
  <si>
    <t>公路桥隧施工测量放样：基于CASIO施工测量放样程序＋全站仪／GPS－RTK</t>
  </si>
  <si>
    <t>9787564347574</t>
  </si>
  <si>
    <t>李从德</t>
  </si>
  <si>
    <t>电气化铁路供电文集</t>
  </si>
  <si>
    <t>9787564347598</t>
  </si>
  <si>
    <t>谭秀炳</t>
  </si>
  <si>
    <t>物流营销管理</t>
  </si>
  <si>
    <t>9787564348618</t>
  </si>
  <si>
    <t>史思乡，陈俊杰</t>
  </si>
  <si>
    <t>仓储与配送管理</t>
  </si>
  <si>
    <t>9787564349493</t>
  </si>
  <si>
    <t>舒文，邹海</t>
  </si>
  <si>
    <t>建筑工程质量控制与验收</t>
  </si>
  <si>
    <t>9787564350123</t>
  </si>
  <si>
    <t>王翔，马小林，胡洪菊</t>
  </si>
  <si>
    <t>绘画：开启儿童创造力</t>
  </si>
  <si>
    <t>9787220100420</t>
  </si>
  <si>
    <t>四川人民出版社有限公司</t>
  </si>
  <si>
    <t>（澳）苏珊．赖特</t>
  </si>
  <si>
    <t>西方的丑学：感性的多元取向</t>
  </si>
  <si>
    <t>9787220108617</t>
  </si>
  <si>
    <t>刘东</t>
  </si>
  <si>
    <t>东方的西方：华西大学老建筑</t>
  </si>
  <si>
    <t>9787220104657</t>
  </si>
  <si>
    <t>罗照田</t>
  </si>
  <si>
    <t>苏东坡</t>
  </si>
  <si>
    <t>9787220099953</t>
  </si>
  <si>
    <t>徐棻</t>
  </si>
  <si>
    <t>大学之魂：中国工程院院士、四川大学校长谢和平</t>
  </si>
  <si>
    <t>9787220098246</t>
  </si>
  <si>
    <t>宓月</t>
  </si>
  <si>
    <t>清代学术概论</t>
  </si>
  <si>
    <t>9787220105593</t>
  </si>
  <si>
    <t>梁启超</t>
  </si>
  <si>
    <t>科学管理原理</t>
  </si>
  <si>
    <t>9787220103513</t>
  </si>
  <si>
    <t>（美）弗雷德里克．温斯洛．泰勒</t>
  </si>
  <si>
    <t>工业管理与一般管理</t>
  </si>
  <si>
    <t>9787220103520</t>
  </si>
  <si>
    <t>［法］亨利．法约尔</t>
  </si>
  <si>
    <t>大国崛起的新政治经济学</t>
  </si>
  <si>
    <t>9787220098970</t>
  </si>
  <si>
    <t>聂永有，殷凤 等</t>
  </si>
  <si>
    <t>国家宝藏：100件文物讲述中华文明史</t>
  </si>
  <si>
    <t>9787220109935</t>
  </si>
  <si>
    <t>佟洵，王云松</t>
  </si>
  <si>
    <t>新編內外科護理學（上冊）</t>
  </si>
  <si>
    <t>9789869778824</t>
  </si>
  <si>
    <t>王桂芸，馮容芬，李惠玲，丘周萍，周桂如 等</t>
  </si>
  <si>
    <t>新編內外科護理學（下冊）</t>
  </si>
  <si>
    <t>9789869778831</t>
  </si>
  <si>
    <t>中英雙向翻譯輕鬆學：資訊網路應用與文體習作</t>
  </si>
  <si>
    <t>9789866089930</t>
  </si>
  <si>
    <t>王慧娟</t>
  </si>
  <si>
    <t>改變：12位公民實踐者的故事</t>
  </si>
  <si>
    <t>9789869639118</t>
  </si>
  <si>
    <t>社團法人台灣公民參與協會</t>
  </si>
  <si>
    <t>何宗勳，文海珍，王唯治，陳明里，吳宗憲 等</t>
  </si>
  <si>
    <t>讓牠活下去：台灣收容所「零撲殺」紀實</t>
  </si>
  <si>
    <t>9789869680318</t>
  </si>
  <si>
    <t>台灣動物保護行政督導聯盟</t>
  </si>
  <si>
    <t>田智雄</t>
  </si>
  <si>
    <t>专等一个人</t>
  </si>
  <si>
    <t>9787220104442</t>
  </si>
  <si>
    <t>朱湘</t>
  </si>
  <si>
    <t>月牙儿</t>
  </si>
  <si>
    <t>9787220100949</t>
  </si>
  <si>
    <t>老舍</t>
  </si>
  <si>
    <t>中国2017年度诗歌精选</t>
  </si>
  <si>
    <t>9787220109492</t>
  </si>
  <si>
    <t>梁平</t>
  </si>
  <si>
    <t>罗生门</t>
  </si>
  <si>
    <t>9787220103032</t>
  </si>
  <si>
    <t>（日）芥川龙之介</t>
  </si>
  <si>
    <t>我是猫</t>
  </si>
  <si>
    <t>9787220103124</t>
  </si>
  <si>
    <t>（日）夏目漱石</t>
  </si>
  <si>
    <t>人间失格</t>
  </si>
  <si>
    <t>9787220101861</t>
  </si>
  <si>
    <t>（日）太宰治</t>
  </si>
  <si>
    <t>春琴抄</t>
  </si>
  <si>
    <t>9787220108228</t>
  </si>
  <si>
    <t>（日）谷崎润一郎</t>
  </si>
  <si>
    <t>起风了</t>
  </si>
  <si>
    <t>9787220108280</t>
  </si>
  <si>
    <t>（日）堀辰雄</t>
  </si>
  <si>
    <t>布里格手记</t>
  </si>
  <si>
    <t>9787220104572</t>
  </si>
  <si>
    <t>（奧）里尔克</t>
  </si>
  <si>
    <t>875</t>
  </si>
  <si>
    <t>特拉克尔诗选</t>
  </si>
  <si>
    <t>9787220104619</t>
  </si>
  <si>
    <t>（奧）特拉克尔</t>
  </si>
  <si>
    <t>Leviathan《利维坦》</t>
  </si>
  <si>
    <t>9787220102387</t>
  </si>
  <si>
    <t>（英）托马斯．霍布斯</t>
  </si>
  <si>
    <t>The Social Contract《社会契约论》</t>
  </si>
  <si>
    <t>9787220102363</t>
  </si>
  <si>
    <t>（法）让－雅克．卢梭</t>
  </si>
  <si>
    <t>146</t>
  </si>
  <si>
    <t>On Liberty《论自由》</t>
  </si>
  <si>
    <t>9787220102370</t>
  </si>
  <si>
    <t>（英）约翰．斯图亚特．密尔</t>
  </si>
  <si>
    <t>The Second Treatise of Government《政府论》</t>
  </si>
  <si>
    <t>9787220102356</t>
  </si>
  <si>
    <t>（英）约翰．洛克</t>
  </si>
  <si>
    <t>心灵的世界</t>
  </si>
  <si>
    <t>9787220109003</t>
  </si>
  <si>
    <t>马萨罗卓</t>
  </si>
  <si>
    <t>山沟的忧伤</t>
  </si>
  <si>
    <t>9787220108990</t>
  </si>
  <si>
    <t>交巴草</t>
  </si>
  <si>
    <t>回归</t>
  </si>
  <si>
    <t>9787220108976</t>
  </si>
  <si>
    <t>卡毛加</t>
  </si>
  <si>
    <t>阿妈与厨房</t>
  </si>
  <si>
    <t>9787220108969</t>
  </si>
  <si>
    <t>卓玛才让</t>
  </si>
  <si>
    <t>制天命而用：星占、术数与中国古代社会</t>
  </si>
  <si>
    <t>9787220108464</t>
  </si>
  <si>
    <t>黄一农</t>
  </si>
  <si>
    <t>不負好食光：暢銷200年的食譜，袁枚教你懂吃學做菜</t>
  </si>
  <si>
    <t>9789867101921</t>
  </si>
  <si>
    <t>（清）袁枚，許汝紘</t>
  </si>
  <si>
    <t>航空衛生保健與急救（含大陸航空醫療相關法規）</t>
  </si>
  <si>
    <t>9789577356932</t>
  </si>
  <si>
    <t>姚紅光，李程</t>
  </si>
  <si>
    <t>412.85</t>
  </si>
  <si>
    <t>消遣繁華</t>
  </si>
  <si>
    <t>9789887936701</t>
  </si>
  <si>
    <t>李浩榮</t>
  </si>
  <si>
    <t>開飯囉！下班食堂！上班族、小家庭適用的雪平鍋終極料理：77 道速成料理 ＋22 種獨門醬汁配方，煎煮炒湯，主食、配菜到湯底，一鍋搞定！</t>
  </si>
  <si>
    <t>9789869717328</t>
  </si>
  <si>
    <t>柏樂出版&amp;小果文創</t>
  </si>
  <si>
    <t>角田真秀</t>
  </si>
  <si>
    <t>吃飯囉！幸福食堂！兩個人的餐桌饗宴，平底鍋必備食譜：77 道奢華料理 ＋ 24 種獨門醬汁配方，炒煮燜蒸，快速上菜，一鍋搞定！</t>
  </si>
  <si>
    <t>9789869717335</t>
  </si>
  <si>
    <t>我的第一本專門日語文法書</t>
  </si>
  <si>
    <t>9789869717342</t>
  </si>
  <si>
    <t>朴才煥，李賢淑</t>
  </si>
  <si>
    <t>30天考前衝刺！新制多益聽力攻略詳解【有聲】</t>
  </si>
  <si>
    <t>9789869717366</t>
  </si>
  <si>
    <t>30天考前衝刺！新制多益閱讀攻略＋詳解：專為久未接觸英文、多益新手考生設計，戰勝心魔！一舉突破 650 分！</t>
  </si>
  <si>
    <t>9789869717380</t>
  </si>
  <si>
    <t>30天考前衝刺！新制多益閱讀關鍵單字：專為久未接觸英文、多益新手考生設計，善用字根字首字尾，前進金色證書！</t>
  </si>
  <si>
    <t>9789869717397</t>
  </si>
  <si>
    <t>NE Neungyule, Inc.</t>
  </si>
  <si>
    <t>享受減醣人生：糖尿病也能吃的美味料理</t>
  </si>
  <si>
    <t>9789869788205</t>
  </si>
  <si>
    <t>WEN（渝雯）</t>
  </si>
  <si>
    <t>金色證書之路：TOEIC最強滿分教師團隊的閱讀全真模擬試題＋解析</t>
  </si>
  <si>
    <t>9789869788236</t>
  </si>
  <si>
    <t>金丙奇</t>
  </si>
  <si>
    <t>金色證書之路：TOEIC最強滿分教師團隊的聽力全真模擬試題＋解析</t>
  </si>
  <si>
    <t>9789869788243</t>
  </si>
  <si>
    <t>白熒植</t>
  </si>
  <si>
    <t>烘焙學姊的只講重點愛心筆記</t>
  </si>
  <si>
    <t>9789869788212</t>
  </si>
  <si>
    <t>超超超圓腳豆</t>
  </si>
  <si>
    <t>創造展覽：如何團隊合作、體貼設計打造一檔創新體驗的展覽</t>
  </si>
  <si>
    <t>9789869711319</t>
  </si>
  <si>
    <t>阿橋社文化事業有限公司</t>
  </si>
  <si>
    <t>寶莉．麥肯娜－克萊思（Polly  McKenna－Cress ），珍娜．卡緬（Janet A. 
Kamien）</t>
  </si>
  <si>
    <t>069.72</t>
  </si>
  <si>
    <t>集装箱运输管理</t>
  </si>
  <si>
    <t>9787564350277</t>
  </si>
  <si>
    <t>郭敏，陈俊杰</t>
  </si>
  <si>
    <t>第三方物流</t>
  </si>
  <si>
    <t>9787564350437</t>
  </si>
  <si>
    <t>易伟，马莉</t>
  </si>
  <si>
    <t>大跨度自锚悬索桥的设计与分析</t>
  </si>
  <si>
    <t>9787564350475</t>
  </si>
  <si>
    <t>栗怀广，郑凯锋</t>
  </si>
  <si>
    <t>基础工程施工</t>
  </si>
  <si>
    <t>9787564350543</t>
  </si>
  <si>
    <t>张明</t>
  </si>
  <si>
    <t>建筑主体工程施工</t>
  </si>
  <si>
    <t>9787564350550</t>
  </si>
  <si>
    <t>汪静然</t>
  </si>
  <si>
    <t>房屋建筑与装饰工程计量与计价实训指南</t>
  </si>
  <si>
    <t>9787564350666</t>
  </si>
  <si>
    <t>夏友福，李晓璠</t>
  </si>
  <si>
    <t>结构阻燃与新技术教程</t>
  </si>
  <si>
    <t>9787564350819</t>
  </si>
  <si>
    <t>陈宝书</t>
  </si>
  <si>
    <t>无机化学实验</t>
  </si>
  <si>
    <t>9787564352370</t>
  </si>
  <si>
    <t>刘云霞</t>
  </si>
  <si>
    <t>百鬼夜行：妖魔起源</t>
  </si>
  <si>
    <t>9789869545150</t>
  </si>
  <si>
    <t>298.6</t>
  </si>
  <si>
    <t>赤裸裸的米開朗基羅</t>
  </si>
  <si>
    <t>9789867101877</t>
  </si>
  <si>
    <t>高談文化出版事業有限公司</t>
  </si>
  <si>
    <t>羅曼．羅蘭</t>
  </si>
  <si>
    <t>909.945</t>
  </si>
  <si>
    <t>西洋藝術便利貼：你不可不知道的藝術家故事與藝術小辭典</t>
  </si>
  <si>
    <t>9789869645416</t>
  </si>
  <si>
    <t>你不可不知道的100位電影大咖</t>
  </si>
  <si>
    <t>9789869645409</t>
  </si>
  <si>
    <t>987.31</t>
  </si>
  <si>
    <t>美到禍國殃民的名女人：從「女神」到「女人」，78個紅顏禍水的故事</t>
  </si>
  <si>
    <t>9789869602686</t>
  </si>
  <si>
    <t>喬凡尼‧薄伽丘</t>
  </si>
  <si>
    <t>781.052</t>
  </si>
  <si>
    <t>經典100貝多芬（全新修訂版）</t>
  </si>
  <si>
    <t>9789867101938</t>
  </si>
  <si>
    <t>910.9943</t>
  </si>
  <si>
    <t>給不小心就會太在意的你：停止腦中小劇場，輕鬆卸下內心的重擔！</t>
  </si>
  <si>
    <t>9789862488416</t>
  </si>
  <si>
    <t>水島廣子</t>
  </si>
  <si>
    <t>415.9516</t>
  </si>
  <si>
    <t>跟著Winny勇闖中美洲：從墨西哥、古巴到巴拿馬，深入動盪又動人的神祕國度</t>
  </si>
  <si>
    <t>9789862488386</t>
  </si>
  <si>
    <t>機器人會變成人嗎？33則最令現代人焦慮的邏輯議題</t>
  </si>
  <si>
    <t>9789862488379</t>
  </si>
  <si>
    <t>彼得．凱夫（Peter Cave）</t>
  </si>
  <si>
    <t>Rhinoceros 6全攻略：自學設計與3D建模寶典</t>
  </si>
  <si>
    <t>9789864343652</t>
  </si>
  <si>
    <t>馮國書</t>
  </si>
  <si>
    <t>402.9</t>
  </si>
  <si>
    <t>R語言資料分析：從機器學習、資料探勘、文字探勘到巨量資料分析（第三版）</t>
  </si>
  <si>
    <t>9789864343669</t>
  </si>
  <si>
    <t>資料探勘：人工智慧與機器學習發展以SPSS Modeler為範例</t>
  </si>
  <si>
    <t>9789864343676</t>
  </si>
  <si>
    <t>廖述賢，溫志皓</t>
  </si>
  <si>
    <t>JSP 2.3動態網頁技術（第六版）</t>
  </si>
  <si>
    <t>9789864343737</t>
  </si>
  <si>
    <t>榮欽科技，呂文達</t>
  </si>
  <si>
    <t>超實用！Word．Excel．PowerPoint辦公室Office必備50招省時技</t>
  </si>
  <si>
    <t>9789864343768</t>
  </si>
  <si>
    <t>打造集客瘋潮的微電影行銷術：影音剪輯實戰╳行動影音剪輯╳特效處理╳微電影實作╳影音社群行銷</t>
  </si>
  <si>
    <t>9789864343706</t>
  </si>
  <si>
    <t>APCS大學程式設計先修檢測：Python超效解題致勝祕笈</t>
  </si>
  <si>
    <t>9789864343799</t>
  </si>
  <si>
    <t>白話AIoT數位轉型：一個掌握創新升級商機的故事</t>
  </si>
  <si>
    <t>9789864343843</t>
  </si>
  <si>
    <t>裴有恆</t>
  </si>
  <si>
    <t>掌握Java SE11程式設計</t>
  </si>
  <si>
    <t>9789864344109</t>
  </si>
  <si>
    <t>電腦軟體應用丙級技能檢定：學科／共同科目試題解析（109年完整版）</t>
  </si>
  <si>
    <t>9789864344222</t>
  </si>
  <si>
    <t>博碩文化，姚瞻海，劉齊光，陳鞠伎</t>
  </si>
  <si>
    <t>312.4902</t>
  </si>
  <si>
    <t>所有命運贈送的禮物，早已在暗中標好了價格：越長大越不知自己要什麼？那就讓命運拋來禮物吧。但，你知道怎麼接住嗎？</t>
  </si>
  <si>
    <t>9789869720861</t>
  </si>
  <si>
    <t>徐多多</t>
  </si>
  <si>
    <t>电工实验（第二版）</t>
  </si>
  <si>
    <t>9787564353384</t>
  </si>
  <si>
    <t>谭述芝</t>
  </si>
  <si>
    <t>数据通信设备运行与维护</t>
  </si>
  <si>
    <t>9787564353445</t>
  </si>
  <si>
    <t>范新龙，张华，郭芊彤</t>
  </si>
  <si>
    <t>區塊鏈財富革命</t>
  </si>
  <si>
    <t>9789865670900</t>
  </si>
  <si>
    <t>李光斗</t>
  </si>
  <si>
    <t>563.146</t>
  </si>
  <si>
    <t>神啊！教我如何把二個聖筊問出三個聖筊：突破擲筊問不下去的窘境，小心得到三個聖筊卻出錯的陷阱！</t>
  </si>
  <si>
    <t>9789869768078</t>
  </si>
  <si>
    <t>王崇禮</t>
  </si>
  <si>
    <t>292.8</t>
  </si>
  <si>
    <t>旅行社經營管理精選案例解析</t>
  </si>
  <si>
    <t>9789577356611</t>
  </si>
  <si>
    <t>梁智，劉春梅，張杰</t>
  </si>
  <si>
    <t>旅遊營銷英語</t>
  </si>
  <si>
    <t>9789577356628</t>
  </si>
  <si>
    <t>王向寧</t>
  </si>
  <si>
    <t>史記綜論</t>
  </si>
  <si>
    <t>9789577356741</t>
  </si>
  <si>
    <t>張學成</t>
  </si>
  <si>
    <t>交際英語</t>
  </si>
  <si>
    <t>9789577356789</t>
  </si>
  <si>
    <t>中華文化史十七講</t>
  </si>
  <si>
    <t>9789577356871</t>
  </si>
  <si>
    <t>常耀華，李洪波</t>
  </si>
  <si>
    <t>630.7</t>
  </si>
  <si>
    <t>會展實用英語（聽說口譯篇）</t>
  </si>
  <si>
    <t>9789577357199</t>
  </si>
  <si>
    <t>吳雲</t>
  </si>
  <si>
    <t>景區景點英語360句輕鬆學</t>
  </si>
  <si>
    <t>9789577357243</t>
  </si>
  <si>
    <t>馮海霞</t>
  </si>
  <si>
    <t>旅遊資源開發與規劃（第3版）</t>
  </si>
  <si>
    <t>9789577357274</t>
  </si>
  <si>
    <t>劉代泉，汪瑞軍</t>
  </si>
  <si>
    <t>導遊語言概論（第2版）</t>
  </si>
  <si>
    <t>9789577357298</t>
  </si>
  <si>
    <t>韓荔華</t>
  </si>
  <si>
    <t>空服服務溝通與播音技巧</t>
  </si>
  <si>
    <t>9789577357342</t>
  </si>
  <si>
    <t>劉暉</t>
  </si>
  <si>
    <t>557.94</t>
  </si>
  <si>
    <t>別墅空間設計</t>
  </si>
  <si>
    <t>9789577357588</t>
  </si>
  <si>
    <t>童沁，鐘崢嶸</t>
  </si>
  <si>
    <t>遊戲美術製作流程</t>
  </si>
  <si>
    <t>9789577357649</t>
  </si>
  <si>
    <t>師濤</t>
  </si>
  <si>
    <t>遊戲關卡設計</t>
  </si>
  <si>
    <t>9789577357663</t>
  </si>
  <si>
    <t>工程控制测量（第2版）</t>
  </si>
  <si>
    <t>9787564354411</t>
  </si>
  <si>
    <t>杨柳，左智刚</t>
  </si>
  <si>
    <t>水质监测与评价</t>
  </si>
  <si>
    <t>9787564354671</t>
  </si>
  <si>
    <t>王雪琴，童赛红，陈萍花</t>
  </si>
  <si>
    <t>城市轨道交通列车运行自动控制系统</t>
  </si>
  <si>
    <t>9787564354831</t>
  </si>
  <si>
    <t>张建平</t>
  </si>
  <si>
    <t>工程制图习题集与任务指导书</t>
  </si>
  <si>
    <t>9787564355043</t>
  </si>
  <si>
    <t>罗美莲</t>
  </si>
  <si>
    <t>嵌入式技术基础</t>
  </si>
  <si>
    <t>9787564355210</t>
  </si>
  <si>
    <t>吴畏，唐丽均</t>
  </si>
  <si>
    <t>工程应用力学实训（第2版）</t>
  </si>
  <si>
    <t>9787564355814</t>
  </si>
  <si>
    <t>杨新伟，朱爱军</t>
  </si>
  <si>
    <t>高铁问答</t>
  </si>
  <si>
    <t>9787564362836</t>
  </si>
  <si>
    <t>胡启洲，李香红</t>
  </si>
  <si>
    <t>有机污染土壤植物生态修复研究</t>
  </si>
  <si>
    <t>9787564359225</t>
  </si>
  <si>
    <t>刁春燕</t>
  </si>
  <si>
    <t>蜀都名儒：五老七贤演绎成都</t>
  </si>
  <si>
    <t>9787564365219</t>
  </si>
  <si>
    <t>王跃</t>
  </si>
  <si>
    <t>食品生物化学实验</t>
  </si>
  <si>
    <t>9787564364557</t>
  </si>
  <si>
    <t>李玉奇，赵慧君，孙永林</t>
  </si>
  <si>
    <t>347</t>
  </si>
  <si>
    <t>交通系统分析方法</t>
  </si>
  <si>
    <t>9787564364052</t>
  </si>
  <si>
    <t>艾瑶，邓明君，王淑芳</t>
  </si>
  <si>
    <t>光通信传输技术及设备</t>
  </si>
  <si>
    <t>9787564360627</t>
  </si>
  <si>
    <t>文杰斌，谭毅</t>
  </si>
  <si>
    <t>智能交通系统（IntelligentTransportationSystems）</t>
  </si>
  <si>
    <t>9787564360269</t>
  </si>
  <si>
    <t>王晓原，郭永青，孙锋</t>
  </si>
  <si>
    <t>现代移动通信技术与系统（第2版）</t>
  </si>
  <si>
    <t>9787564359584</t>
  </si>
  <si>
    <t>李崇鞅</t>
  </si>
  <si>
    <t>高铁简史</t>
  </si>
  <si>
    <t>9787564362591</t>
  </si>
  <si>
    <t>胡启洲，李香红，曲思源</t>
  </si>
  <si>
    <t>哈萨克斯坦</t>
  </si>
  <si>
    <t>9787509784198</t>
  </si>
  <si>
    <t>中国银行股份有限公司，社会科学文献出版社</t>
  </si>
  <si>
    <t>726</t>
  </si>
  <si>
    <t>约旦（第二版）</t>
  </si>
  <si>
    <t>9787509784709</t>
  </si>
  <si>
    <t>唐志超</t>
  </si>
  <si>
    <t>736</t>
  </si>
  <si>
    <t>比利时（第二版）</t>
  </si>
  <si>
    <t>9787509796306</t>
  </si>
  <si>
    <t>马胜利</t>
  </si>
  <si>
    <t>欧洲智库对欧盟中东政策的影响机制研究</t>
  </si>
  <si>
    <t>9787520101837</t>
  </si>
  <si>
    <t>忻华</t>
  </si>
  <si>
    <t>英美学者对中国外交研究的信息源分析</t>
  </si>
  <si>
    <t>9787520101899</t>
  </si>
  <si>
    <t>严丹</t>
  </si>
  <si>
    <t>丝路文明对话：刘智对贾米思想的诠释</t>
  </si>
  <si>
    <t>9787520102773</t>
  </si>
  <si>
    <t>刘慧</t>
  </si>
  <si>
    <t>佛得角</t>
  </si>
  <si>
    <t>9787520103718</t>
  </si>
  <si>
    <t>邝艳湘，李广一</t>
  </si>
  <si>
    <t>769</t>
  </si>
  <si>
    <t>“一带一路”沿线国家环境法概论</t>
  </si>
  <si>
    <t>9787520106597</t>
  </si>
  <si>
    <t>华瑀欣</t>
  </si>
  <si>
    <t>中苏（俄）银行体制演变史：从“大一统”到市场化</t>
  </si>
  <si>
    <t>9787520110334</t>
  </si>
  <si>
    <t>肖翔</t>
  </si>
  <si>
    <t>赤道几内亚</t>
  </si>
  <si>
    <t>9787520110990</t>
  </si>
  <si>
    <t>凌云志，李广一</t>
  </si>
  <si>
    <t>764</t>
  </si>
  <si>
    <t>马里（Mali）</t>
  </si>
  <si>
    <t>9787520112826</t>
  </si>
  <si>
    <t>张忠祥，石海龙</t>
  </si>
  <si>
    <t>766</t>
  </si>
  <si>
    <t>巴基斯坦（Pakistan）</t>
  </si>
  <si>
    <t>9787520116732</t>
  </si>
  <si>
    <t>杨翠柏，胡柳映，刘成琼</t>
  </si>
  <si>
    <t>737</t>
  </si>
  <si>
    <t>巴布亚新几内亚</t>
  </si>
  <si>
    <t>9787520117081</t>
  </si>
  <si>
    <t>韩锋，赵江林</t>
  </si>
  <si>
    <t>723</t>
  </si>
  <si>
    <t>荷兰</t>
  </si>
  <si>
    <t>9787520123372</t>
  </si>
  <si>
    <t>张健雄</t>
  </si>
  <si>
    <t>十八大以来中国文化政策与法规研究</t>
  </si>
  <si>
    <t>9787520123624</t>
  </si>
  <si>
    <t>祁述裕</t>
  </si>
  <si>
    <t>马耳他（Malta）</t>
  </si>
  <si>
    <t>9787520124980</t>
  </si>
  <si>
    <t>蔡雅洁</t>
  </si>
  <si>
    <t>塞内加尔（Senegal）</t>
  </si>
  <si>
    <t>9787520125123</t>
  </si>
  <si>
    <t>潘华琼，张象</t>
  </si>
  <si>
    <t>牙买加（Jamaica）</t>
  </si>
  <si>
    <t>9787520126045</t>
  </si>
  <si>
    <t>秦善进</t>
  </si>
  <si>
    <t>755</t>
  </si>
  <si>
    <t>几内亚比绍（Guines Bissau）</t>
  </si>
  <si>
    <t>9787520126106</t>
  </si>
  <si>
    <t>乔旋，李广一</t>
  </si>
  <si>
    <t>塔吉克斯坦（Tajikistan）</t>
  </si>
  <si>
    <t>9787520126656</t>
  </si>
  <si>
    <t>刘启芸</t>
  </si>
  <si>
    <t>黄帝思想与中华引擎（二）</t>
  </si>
  <si>
    <t>9787520127370</t>
  </si>
  <si>
    <t>廖凯原</t>
  </si>
  <si>
    <t>英国金融组织变迁</t>
  </si>
  <si>
    <t>9787520128599</t>
  </si>
  <si>
    <t>马金华</t>
  </si>
  <si>
    <t>近代日本在华交易所（1906～1945年）</t>
  </si>
  <si>
    <t>9787520129480</t>
  </si>
  <si>
    <t>孙建华</t>
  </si>
  <si>
    <t>匈牙利（Hungary）</t>
  </si>
  <si>
    <t>9787520131476</t>
  </si>
  <si>
    <t>李丹琳</t>
  </si>
  <si>
    <t>744</t>
  </si>
  <si>
    <t>古巴（Cuba）</t>
  </si>
  <si>
    <t>9787520131605</t>
  </si>
  <si>
    <t>徐世澄，贺钦</t>
  </si>
  <si>
    <t>老挝（Laos）</t>
  </si>
  <si>
    <t>9787520131698</t>
  </si>
  <si>
    <t>方芸，马树洪</t>
  </si>
  <si>
    <t>社会治理智库建设：北京市信访矛盾分析研究中心评估报告</t>
  </si>
  <si>
    <t>9787520134668</t>
  </si>
  <si>
    <t>李传章，张青松</t>
  </si>
  <si>
    <t>缅甸（Myanmar）</t>
  </si>
  <si>
    <t>9787520138116</t>
  </si>
  <si>
    <t>贺圣达，孔鹏，李堂英</t>
  </si>
  <si>
    <t>互联网与中国青少年：多维视角下的网络使用与网络安全</t>
  </si>
  <si>
    <t>9787520139724</t>
  </si>
  <si>
    <t>郭冉，田丰，朱迪</t>
  </si>
  <si>
    <t>守護失智病友的法律攻略：親友失智了，在法律上怎麼保護他們、也保護自己？</t>
  </si>
  <si>
    <t>9789579528559</t>
  </si>
  <si>
    <t>林致平，方瑋晨，黃麗容，廖國翔，李佑均</t>
  </si>
  <si>
    <t>415.9340</t>
  </si>
  <si>
    <t>古老商學院：搞懂你所處的現實</t>
  </si>
  <si>
    <t>9789869475068</t>
  </si>
  <si>
    <t>許汝紘暨編輯企劃小組</t>
  </si>
  <si>
    <t>連鎖店操作手冊（增訂六版）</t>
  </si>
  <si>
    <t>9789863690795</t>
  </si>
  <si>
    <t>部門績效考核的量化管理(增訂七版)</t>
  </si>
  <si>
    <t>9789863690801</t>
  </si>
  <si>
    <t>高效率的會議技巧</t>
  </si>
  <si>
    <t>9789863690856</t>
  </si>
  <si>
    <t>陳立航，黃憲仁</t>
  </si>
  <si>
    <t>各部門年度計劃工作（增訂三版）</t>
  </si>
  <si>
    <t>9789863690788</t>
  </si>
  <si>
    <t>章煌明，黃憲仁</t>
  </si>
  <si>
    <t>團隊合作培訓遊戲（增訂四版）</t>
  </si>
  <si>
    <t>9789863690863</t>
  </si>
  <si>
    <t>任賢旺</t>
  </si>
  <si>
    <t>三湘鎮神泰山軍：國民革命軍第十軍</t>
  </si>
  <si>
    <t>9789869721639</t>
  </si>
  <si>
    <t>628.5</t>
  </si>
  <si>
    <t>義烈孤雄：臨危授命、殿後抗共、寧死不降的最後國軍將領盧英龍</t>
  </si>
  <si>
    <t>9789869721646</t>
  </si>
  <si>
    <t>盧保湘，盧雪鄉</t>
  </si>
  <si>
    <t>592.9286</t>
  </si>
  <si>
    <t>表演藝術領導力</t>
  </si>
  <si>
    <t>9789860597509</t>
  </si>
  <si>
    <t>Tobie S．Stein</t>
  </si>
  <si>
    <t>980.9</t>
  </si>
  <si>
    <t>緬甸：伊洛瓦底江的璀璨</t>
  </si>
  <si>
    <t>9789860583106</t>
  </si>
  <si>
    <t>賴盈秀</t>
  </si>
  <si>
    <t>738.19</t>
  </si>
  <si>
    <t>約旦：褪去繽紛外衣的塵土之城</t>
  </si>
  <si>
    <t>9789860583090</t>
  </si>
  <si>
    <t>劉懷仁</t>
  </si>
  <si>
    <t>735.69</t>
  </si>
  <si>
    <t>漫步聖地：以色列與巴勒斯坦</t>
  </si>
  <si>
    <t>9789860583083</t>
  </si>
  <si>
    <t>朱筱琪</t>
  </si>
  <si>
    <t>印尼宮廷儀式舞蹈貝多優及其身體行動方法</t>
  </si>
  <si>
    <t>9789860576245</t>
  </si>
  <si>
    <t>林佑貞</t>
  </si>
  <si>
    <t>976.3393</t>
  </si>
  <si>
    <t>工程测量练习题与实训指导书</t>
  </si>
  <si>
    <t>9787564356842</t>
  </si>
  <si>
    <t>陈彦恒，耿文燕</t>
  </si>
  <si>
    <t>大型养路机械设备与运用</t>
  </si>
  <si>
    <t>9787564357535</t>
  </si>
  <si>
    <t>李德福</t>
  </si>
  <si>
    <t>现代外科健康教育：器官移植分册</t>
  </si>
  <si>
    <t>9787568022088</t>
  </si>
  <si>
    <t>华中科技大学出版社有限责任公司</t>
  </si>
  <si>
    <t>喻姣花，李素云</t>
  </si>
  <si>
    <t>现代外科健康教育：心血管外科分册</t>
  </si>
  <si>
    <t>9787568022071</t>
  </si>
  <si>
    <t>李燕君，徐芬</t>
  </si>
  <si>
    <t>现代外科健康教育：手外科分册</t>
  </si>
  <si>
    <t>9787568022019</t>
  </si>
  <si>
    <t>娄湘红，刘彦林</t>
  </si>
  <si>
    <t>现代外科健康教育：手术室分册</t>
  </si>
  <si>
    <t>9787568022026</t>
  </si>
  <si>
    <t>高兴莲，王曾妍</t>
  </si>
  <si>
    <t>现代外科健康教育：妇产科分册</t>
  </si>
  <si>
    <t>9787568022002</t>
  </si>
  <si>
    <t>王培红，程湘玮</t>
  </si>
  <si>
    <t>现代外科健康教育：血管外科分册</t>
  </si>
  <si>
    <t>9787568022194</t>
  </si>
  <si>
    <t>褚婕，谢芬</t>
  </si>
  <si>
    <t>现代外科健康教育：肝胆胰外科分册</t>
  </si>
  <si>
    <t>9787568022101</t>
  </si>
  <si>
    <t>田敏，左晓艳</t>
  </si>
  <si>
    <t>现代外科健康教育：乳腺甲状腺外科分册</t>
  </si>
  <si>
    <t>9787568021999</t>
  </si>
  <si>
    <t>付诗，周慧敏</t>
  </si>
  <si>
    <t>现代外科健康教育：泌尿外科分册</t>
  </si>
  <si>
    <t>9787568022095</t>
  </si>
  <si>
    <t>杨荆艳，徐丽芬</t>
  </si>
  <si>
    <t>现代外科健康教育：胃肠外科分册</t>
  </si>
  <si>
    <t>9787568022033</t>
  </si>
  <si>
    <t>谭翠莲，熊丹莉，李素云</t>
  </si>
  <si>
    <t>现代外科健康教育：神经外科分册</t>
  </si>
  <si>
    <t>9787568022170</t>
  </si>
  <si>
    <t>乐革芬，许妮娜</t>
  </si>
  <si>
    <t>现代外科健康教育：胸外科分册</t>
  </si>
  <si>
    <t>9787568022187</t>
  </si>
  <si>
    <t>张琳，李素云</t>
  </si>
  <si>
    <t>现代外科健康教育：整形外科分册</t>
  </si>
  <si>
    <t>9787568022057</t>
  </si>
  <si>
    <t>刘志荣，程芳</t>
  </si>
  <si>
    <t>文字芳華：第四屆全球華文作家論壇文集</t>
  </si>
  <si>
    <t>9789571517476</t>
  </si>
  <si>
    <t>胡衍南，黃子純</t>
  </si>
  <si>
    <t>839.9</t>
  </si>
  <si>
    <t>APP世代在想什麼？破解網路遊戲成癮、預防數位身心症狀</t>
  </si>
  <si>
    <t>9789863571551</t>
  </si>
  <si>
    <t>張立人</t>
  </si>
  <si>
    <t>312.014</t>
  </si>
  <si>
    <t>走走日本：神戶</t>
  </si>
  <si>
    <t>EBK10200011444</t>
  </si>
  <si>
    <t>我在微軟學到的模組簡報技術：同一產品你能用365種方式說明，從總經理到基層員工、從經銷商到客戶，專業與非專業通通點頭買單。</t>
  </si>
  <si>
    <t>9789579654272</t>
  </si>
  <si>
    <t>蘇書平</t>
  </si>
  <si>
    <t>破案的蟲：昆蟲的證詞與線報，警察靠我才聽懂。拿尺不拿刀、捧熱水杯出勤的法醫昆蟲學權威的神祕日常</t>
  </si>
  <si>
    <t>9789579654425</t>
  </si>
  <si>
    <t>三枝聖</t>
  </si>
  <si>
    <t>586.66</t>
  </si>
  <si>
    <t>智商稅，越聰明的人越吃虧</t>
  </si>
  <si>
    <t>9789579654449</t>
  </si>
  <si>
    <t>高德</t>
  </si>
  <si>
    <t>讀癮者的告解：文學巨著幾乎沒看過；沒給期限，一本書也看不完；有本書買了十年才翻開……怎樣？我就是正宗的讀癮患者</t>
  </si>
  <si>
    <t>9789869720878</t>
  </si>
  <si>
    <t>安妮．博吉爾（Anne Bogel）</t>
  </si>
  <si>
    <t>019.1</t>
  </si>
  <si>
    <t>医疗的背后：那些关于生命、健康和医疗的真相</t>
  </si>
  <si>
    <t>9787509788332</t>
  </si>
  <si>
    <t>张克镇</t>
  </si>
  <si>
    <t>多益拿高分，閱讀全攻略</t>
  </si>
  <si>
    <t>9789869660198</t>
  </si>
  <si>
    <t>六六八</t>
  </si>
  <si>
    <t>張小怡 ，Johnson Mo</t>
  </si>
  <si>
    <t>老去的小鎮：第31屆梁實秋文學獎散文創作類首獎作品集</t>
  </si>
  <si>
    <t>9789865624538</t>
  </si>
  <si>
    <t>棖不戒</t>
  </si>
  <si>
    <t>地方法制的理論與實踐</t>
  </si>
  <si>
    <t>9789869808071</t>
  </si>
  <si>
    <t>羅承宗</t>
  </si>
  <si>
    <t>582.207</t>
  </si>
  <si>
    <t>當代大哲論國際正義：「普世價值」是否存在？</t>
  </si>
  <si>
    <t>9789869808088</t>
  </si>
  <si>
    <t>林立</t>
  </si>
  <si>
    <t>571.28</t>
  </si>
  <si>
    <t>黃宗羲儒學思想研究</t>
  </si>
  <si>
    <t>9789869840125</t>
  </si>
  <si>
    <t>朱光磊</t>
  </si>
  <si>
    <t>127.11</t>
  </si>
  <si>
    <t>圖書資訊服務機構管理</t>
  </si>
  <si>
    <t>9789864371730</t>
  </si>
  <si>
    <t>張慧銖，林呈潢，邱子恒，黃元鶴</t>
  </si>
  <si>
    <t>020</t>
  </si>
  <si>
    <t>方興未艾：學科補習效益在臺灣的發現</t>
  </si>
  <si>
    <t>9789864901371</t>
  </si>
  <si>
    <t>陳俊瑋</t>
  </si>
  <si>
    <t>528.46</t>
  </si>
  <si>
    <t>自助學習：自己就是Key</t>
  </si>
  <si>
    <t>9789864901456</t>
  </si>
  <si>
    <t>王政彥</t>
  </si>
  <si>
    <t>528.4</t>
  </si>
  <si>
    <t>欲望性公民：同性親密公民權讀本</t>
  </si>
  <si>
    <t>9789577325723</t>
  </si>
  <si>
    <t>陳美華，王秀雲，黃于玲</t>
  </si>
  <si>
    <t>544.707</t>
  </si>
  <si>
    <t>楷模學習：向楷模看齊</t>
  </si>
  <si>
    <t>9789864901432</t>
  </si>
  <si>
    <t>實習醫「聲」：敘事醫學倫理故事集</t>
  </si>
  <si>
    <t>9789866105326</t>
  </si>
  <si>
    <t>林慧如，王心運</t>
  </si>
  <si>
    <t>410.1619</t>
  </si>
  <si>
    <t>職災之後：補償的意義、困境與出路</t>
  </si>
  <si>
    <t>9789577325761</t>
  </si>
  <si>
    <t>鄭雅文 等</t>
  </si>
  <si>
    <t>556.82</t>
  </si>
  <si>
    <t>醫門好生意：醫療數位行銷指南</t>
  </si>
  <si>
    <t>9789866432934</t>
  </si>
  <si>
    <t>藍海文化事業(股)公司</t>
  </si>
  <si>
    <t>銀河iMarketing數位行銷領航員</t>
  </si>
  <si>
    <t>村上春樹における共鳴</t>
  </si>
  <si>
    <t>9789578736283</t>
  </si>
  <si>
    <t>中村三春，曾秋桂</t>
  </si>
  <si>
    <t>861.479</t>
  </si>
  <si>
    <t>川習時期：美中霸權競逐新關係</t>
  </si>
  <si>
    <t>9789578736306</t>
  </si>
  <si>
    <t>李大中</t>
  </si>
  <si>
    <t>592.4933</t>
  </si>
  <si>
    <t>一九五○年代日本對中國外交政策</t>
  </si>
  <si>
    <t>9789869607162</t>
  </si>
  <si>
    <t>徐浤馨</t>
  </si>
  <si>
    <t>578.312</t>
  </si>
  <si>
    <t>一个甲子的畅想：面向未来120项科技预见</t>
  </si>
  <si>
    <t>9787313146328</t>
  </si>
  <si>
    <t>上海交通大学出版社有限公司</t>
  </si>
  <si>
    <t>梅宏</t>
  </si>
  <si>
    <t>301</t>
  </si>
  <si>
    <t>天使与魔鬼：日本教育面面观</t>
  </si>
  <si>
    <t>9787313156112</t>
  </si>
  <si>
    <t>蒋丰</t>
  </si>
  <si>
    <t>北京路亚记</t>
  </si>
  <si>
    <t>9787313159946</t>
  </si>
  <si>
    <t>王铮，王松</t>
  </si>
  <si>
    <t>366</t>
  </si>
  <si>
    <t>蛋白质折叠速率与mRNA</t>
  </si>
  <si>
    <t>9787313162922</t>
  </si>
  <si>
    <t>李瑞芳</t>
  </si>
  <si>
    <t>361</t>
  </si>
  <si>
    <t>听谯楼，打初更</t>
  </si>
  <si>
    <t>9787313163028</t>
  </si>
  <si>
    <t>寇炳鹉</t>
  </si>
  <si>
    <t>互联网＋管理案例集</t>
  </si>
  <si>
    <t>9787313163332</t>
  </si>
  <si>
    <t>许鑫，王欣</t>
  </si>
  <si>
    <t>通信十年：拥抱互联网</t>
  </si>
  <si>
    <t>9787313163530</t>
  </si>
  <si>
    <t>郝俊慧</t>
  </si>
  <si>
    <t>我国微电影的发展与研究</t>
  </si>
  <si>
    <t>9787313164438</t>
  </si>
  <si>
    <t>李建强，童加勃</t>
  </si>
  <si>
    <t>走向文化之路：新传播视阈下的企业文化传播和企业形象构建</t>
  </si>
  <si>
    <t>9787313171740</t>
  </si>
  <si>
    <t>曹月娟，胡勇武</t>
  </si>
  <si>
    <t>人生成敗的靈性7法：讓一生圓融無遺憾的關鍵法則</t>
  </si>
  <si>
    <t>9789869768030</t>
  </si>
  <si>
    <t>狄帕克．喬布拉（Deepak Chopra）</t>
  </si>
  <si>
    <t>2020問神達人王崇禮 開運解厄生肖運籤農民曆</t>
  </si>
  <si>
    <t>9789869768092</t>
  </si>
  <si>
    <t>293.1</t>
  </si>
  <si>
    <t>天啟</t>
  </si>
  <si>
    <t>9789863588986</t>
  </si>
  <si>
    <t>Samantha</t>
  </si>
  <si>
    <t>另一個聲音</t>
  </si>
  <si>
    <t>9789863589006</t>
  </si>
  <si>
    <t>唐樂</t>
  </si>
  <si>
    <t>監獄裡的母親們</t>
  </si>
  <si>
    <t>9789863588894</t>
  </si>
  <si>
    <t>潘丁菡</t>
  </si>
  <si>
    <t>為了活命，你會吃人嗎？33則有夠弔詭的邏輯悖論</t>
  </si>
  <si>
    <t>9789862486863</t>
  </si>
  <si>
    <t>Peter Cave</t>
  </si>
  <si>
    <t>妳可以狼狽跌倒，但一定要優雅起身：法國大齡女子快樂╳自信的祕密，關於愛情、生活與家庭</t>
  </si>
  <si>
    <t>9789862488454</t>
  </si>
  <si>
    <t>米蓮．德克洛（Mylène Desclaux）</t>
  </si>
  <si>
    <t>氣候賭局：延緩氣候變遷 vs. 風險與不確定性，經濟學能拿全球暖化怎麼辦？</t>
  </si>
  <si>
    <t>9789862488300</t>
  </si>
  <si>
    <t>威廉．諾德豪斯（William Nordhaus）</t>
  </si>
  <si>
    <t>328.8018</t>
  </si>
  <si>
    <t>超簡單日文小日記：隨手寫，天天PO，日文表達容易！</t>
  </si>
  <si>
    <t>9789862488430</t>
  </si>
  <si>
    <t>林潔珏</t>
  </si>
  <si>
    <t>歡迎光臨台灣韓語導覽【有聲】</t>
  </si>
  <si>
    <t>9789862488492</t>
  </si>
  <si>
    <t>3天搞懂權證買賣（最新增訂版）：1000元就能投資，獲利最多15倍，存款簿多一個0！</t>
  </si>
  <si>
    <t>9789862488485</t>
  </si>
  <si>
    <t>超實用！飯店餐飲英語【有聲】</t>
  </si>
  <si>
    <t>9789579579810</t>
  </si>
  <si>
    <t>好用！暢銷！用中文說越南語【有聲】</t>
  </si>
  <si>
    <t>9789869834025</t>
  </si>
  <si>
    <t>Nguyen Kim Nga．陳依僑</t>
  </si>
  <si>
    <t>香港高鐵五小時旅行團：2019－2020最新版</t>
  </si>
  <si>
    <t>9789888179909</t>
  </si>
  <si>
    <t>中國旅遊編輯小組</t>
  </si>
  <si>
    <t>中國世界遺產遊</t>
  </si>
  <si>
    <t>9789888179916</t>
  </si>
  <si>
    <t>512</t>
  </si>
  <si>
    <t>俠遊江湖：武俠╳文化╳旅遊</t>
  </si>
  <si>
    <t>9789888179886</t>
  </si>
  <si>
    <t>柯炳鐘</t>
  </si>
  <si>
    <t>成長很難，願你不曾遺忘當初</t>
  </si>
  <si>
    <t>9789887940685</t>
  </si>
  <si>
    <t>蜂鳥出版有限公司</t>
  </si>
  <si>
    <t>寧若曦</t>
  </si>
  <si>
    <t>陪我繞一點遠路好嗎</t>
  </si>
  <si>
    <t>9789887992226</t>
  </si>
  <si>
    <t>Kanya Chan</t>
  </si>
  <si>
    <t>欲望与尊严：转型期中国的阶层、性别与亲密关系</t>
  </si>
  <si>
    <t>9787520132817</t>
  </si>
  <si>
    <t>肖索未</t>
  </si>
  <si>
    <t>阅读变迁与知识转型：晚清科举考试用书研究</t>
  </si>
  <si>
    <t>9787520137058</t>
  </si>
  <si>
    <t>曹南屏</t>
  </si>
  <si>
    <t>中西教育文化比较研究</t>
  </si>
  <si>
    <t>9787520134385</t>
  </si>
  <si>
    <t>袁长青</t>
  </si>
  <si>
    <t>503</t>
  </si>
  <si>
    <t>中国电影影像表达与跨文化传播</t>
  </si>
  <si>
    <t>9787520137928</t>
  </si>
  <si>
    <t>陈晓伟</t>
  </si>
  <si>
    <t>帝国之衰：奥斯曼帝国史六论</t>
  </si>
  <si>
    <t>9787520131636</t>
  </si>
  <si>
    <t>王三义</t>
  </si>
  <si>
    <t>看画识童心：儿童绘画心理解析</t>
  </si>
  <si>
    <t>9787520113960</t>
  </si>
  <si>
    <t>徐静茹</t>
  </si>
  <si>
    <t>明月清风：明清时代的人、契约与国家</t>
  </si>
  <si>
    <t>9787520133241</t>
  </si>
  <si>
    <t>王帅一</t>
  </si>
  <si>
    <t>电影美学</t>
  </si>
  <si>
    <t>9787562499183</t>
  </si>
  <si>
    <t>重庆大学电子音像出版社有限公司</t>
  </si>
  <si>
    <t>赵岚</t>
  </si>
  <si>
    <t>國文（作文、公文與測驗）焦點複習</t>
  </si>
  <si>
    <t>9789864878888</t>
  </si>
  <si>
    <t>駱英，歐恩</t>
  </si>
  <si>
    <t>人際關係老練了，路就通了 Ⅰ</t>
  </si>
  <si>
    <t>EBK10200011457</t>
  </si>
  <si>
    <t>周成功</t>
  </si>
  <si>
    <t>人際關係老練了，路就通了 Ⅱ</t>
  </si>
  <si>
    <t>EBK10200011458</t>
  </si>
  <si>
    <t>人際關係老練了，路就通了 Ⅲ</t>
  </si>
  <si>
    <t>EBK10200011459</t>
  </si>
  <si>
    <t>人際關係老練了，路就通了 Ⅳ</t>
  </si>
  <si>
    <t>EBK10200011460</t>
  </si>
  <si>
    <t>人際關係老練了，路就通了Ⅴ</t>
  </si>
  <si>
    <t>EBK10200011461</t>
  </si>
  <si>
    <t>跑步的安全與對策</t>
  </si>
  <si>
    <t>EBK10200011456</t>
  </si>
  <si>
    <t>催眠師的筆記（上）</t>
  </si>
  <si>
    <t>9789887934400_1</t>
  </si>
  <si>
    <t>文心</t>
  </si>
  <si>
    <t>催眠師的筆記（下）</t>
  </si>
  <si>
    <t>9789887934400_2</t>
  </si>
  <si>
    <t>你想知道的祕密</t>
  </si>
  <si>
    <t>9789887934424</t>
  </si>
  <si>
    <t>馮翠玲</t>
  </si>
  <si>
    <t>法學知識：法學緒論勝經（高普版）</t>
  </si>
  <si>
    <t>9789864878093</t>
  </si>
  <si>
    <t>9789864878451</t>
  </si>
  <si>
    <t>政治學概要頻出題庫</t>
  </si>
  <si>
    <t>9789864878628</t>
  </si>
  <si>
    <t>勞資關係（含概要）</t>
  </si>
  <si>
    <t>9789864878499</t>
  </si>
  <si>
    <t>就業安全制度（含概要）</t>
  </si>
  <si>
    <t>9789864878161</t>
  </si>
  <si>
    <t>542.7</t>
  </si>
  <si>
    <t>公共政策精析</t>
  </si>
  <si>
    <t>9789864878239</t>
  </si>
  <si>
    <t>陳俊文</t>
  </si>
  <si>
    <t>572.9</t>
  </si>
  <si>
    <t>民法親屬與繼承編（含概要）</t>
  </si>
  <si>
    <t>9789864878680</t>
  </si>
  <si>
    <t>成宜霖，羅格思</t>
  </si>
  <si>
    <t>584.4</t>
  </si>
  <si>
    <t>9789864878673</t>
  </si>
  <si>
    <t>王英，吳慶隆</t>
  </si>
  <si>
    <t>國文（作文、公文與測驗）頻出題庫</t>
  </si>
  <si>
    <t>9789864878772</t>
  </si>
  <si>
    <t>異國事物的轉譯：近代上海的跑馬、跑狗與回力球賽</t>
  </si>
  <si>
    <t>9789865432164</t>
  </si>
  <si>
    <t>張寧</t>
  </si>
  <si>
    <t>672.094</t>
  </si>
  <si>
    <t>網絡英雄傳之黑客訣</t>
  </si>
  <si>
    <t>9789869663373</t>
  </si>
  <si>
    <t>郭羽，劉波</t>
  </si>
  <si>
    <t>微笑，告別：對臨終者的精神幫助</t>
  </si>
  <si>
    <t>9789863571155</t>
  </si>
  <si>
    <t>陳世琦</t>
  </si>
  <si>
    <t>419.825</t>
  </si>
  <si>
    <t>沒有名字的人：平埔原住民族青年生命故事紀實</t>
  </si>
  <si>
    <t>9789869762731</t>
  </si>
  <si>
    <t>方惠閔，朱恩成，余奕德，陳以箴，潘宗儒</t>
  </si>
  <si>
    <t>536.339</t>
  </si>
  <si>
    <t>觀光人類學：旅行對在地文化的深遠影響</t>
  </si>
  <si>
    <t>9789869762748</t>
  </si>
  <si>
    <t>厄夫•錢伯斯（Erve Chambers）</t>
  </si>
  <si>
    <t>日本江戶時代古學派對朱熹《詩》觀之批評</t>
  </si>
  <si>
    <t>9789865432058</t>
  </si>
  <si>
    <t>中央研究院中國文哲研究所</t>
  </si>
  <si>
    <t>831.18</t>
  </si>
  <si>
    <t>盤山過嶺：林欣榮教授創新之路</t>
  </si>
  <si>
    <t>9789869660952</t>
  </si>
  <si>
    <t>經典雜誌</t>
  </si>
  <si>
    <t>涂心怡</t>
  </si>
  <si>
    <t>來醫生館聽故事</t>
  </si>
  <si>
    <t>9789869660976</t>
  </si>
  <si>
    <t>簡守信</t>
  </si>
  <si>
    <t>410.7</t>
  </si>
  <si>
    <t>大愛醫生館：簡守信院長的人文醫療探索</t>
  </si>
  <si>
    <t>9789869660969</t>
  </si>
  <si>
    <t>簡守信，蔡明憲，廖翊君</t>
  </si>
  <si>
    <t>校園裡長出了一棵向日葵：慈濟大學見晴醫療服務隊十年</t>
  </si>
  <si>
    <t>9789869660907</t>
  </si>
  <si>
    <t>吳宛霖</t>
  </si>
  <si>
    <t>525.39</t>
  </si>
  <si>
    <t>刎頸之交：簡瑞騰醫師與他的頸椎退化病友們</t>
  </si>
  <si>
    <t>9789869660983</t>
  </si>
  <si>
    <t>于劍興</t>
  </si>
  <si>
    <t>教會復興的四個關鍵密碼</t>
  </si>
  <si>
    <t>9789866314704</t>
  </si>
  <si>
    <t>喬瑟夫．基德</t>
  </si>
  <si>
    <t>247.1</t>
  </si>
  <si>
    <t>護理臨床教學方法與教案設計</t>
  </si>
  <si>
    <t>9789869221160</t>
  </si>
  <si>
    <t>台灣護理學會</t>
  </si>
  <si>
    <t>李秋香，邱敏惠，洪世欣，紀淑靜，高玉玲 等</t>
  </si>
  <si>
    <t>419.63</t>
  </si>
  <si>
    <t>住院病人臨床常見之護理問題：噁心嘔吐之辨證施護手冊</t>
  </si>
  <si>
    <t>9789869221139</t>
  </si>
  <si>
    <t>第31屆中醫護理委員會指引發展小組</t>
  </si>
  <si>
    <t>413.28</t>
  </si>
  <si>
    <t>打造沒有肝病的美麗島：破除肝病終極密碼</t>
  </si>
  <si>
    <t>9789869123839</t>
  </si>
  <si>
    <t>高嘉宏</t>
  </si>
  <si>
    <t>415.53</t>
  </si>
  <si>
    <t>乳癌康復新希望</t>
  </si>
  <si>
    <t>9789869371605</t>
  </si>
  <si>
    <t>李明瑱</t>
  </si>
  <si>
    <t>416.2352</t>
  </si>
  <si>
    <t>看電影說失智：在遺忘中更需要愛</t>
  </si>
  <si>
    <t>9789869371674</t>
  </si>
  <si>
    <t>巫瑩慧</t>
  </si>
  <si>
    <t>抗老！！免疫最給力</t>
  </si>
  <si>
    <t>9789869371667</t>
  </si>
  <si>
    <t>楊崑德</t>
  </si>
  <si>
    <t>血脂72問</t>
  </si>
  <si>
    <t>9789869490511</t>
  </si>
  <si>
    <t>台灣血脂衛教協會</t>
  </si>
  <si>
    <t>415.5932</t>
  </si>
  <si>
    <t>熟年的健康叮嚀</t>
  </si>
  <si>
    <t>9789869490535</t>
  </si>
  <si>
    <t>蔡甫昌</t>
  </si>
  <si>
    <t>福爾摩沙拾遺: 歐美的台灣初體驗1622-1895</t>
  </si>
  <si>
    <t>9789869716994</t>
  </si>
  <si>
    <t>藍柏</t>
  </si>
  <si>
    <t>新膝望：退化性膝關節炎</t>
  </si>
  <si>
    <t>9789866292514</t>
  </si>
  <si>
    <t>呂紹睿</t>
  </si>
  <si>
    <t>六祖惠能：禪源曹溪</t>
  </si>
  <si>
    <t>9789869802918</t>
  </si>
  <si>
    <t>李明書</t>
  </si>
  <si>
    <t>秋天咖啡室</t>
  </si>
  <si>
    <t>9789628870408</t>
  </si>
  <si>
    <t>拾出版</t>
  </si>
  <si>
    <t>湯歡斌</t>
  </si>
  <si>
    <t>Amazon的人為什麼這麼厲害？：日本亞馬遜創始成員告訴你，他在貝佐斯身旁學到的高成長工作法。</t>
  </si>
  <si>
    <t>9789579164795</t>
  </si>
  <si>
    <t>佐藤將之</t>
  </si>
  <si>
    <t>從文科生到醫科生：科學以外的人性觀察手記</t>
  </si>
  <si>
    <t>9789887940616</t>
  </si>
  <si>
    <t>文科生</t>
  </si>
  <si>
    <t>電影港義：香港電影的六十堂人生課</t>
  </si>
  <si>
    <t>9789887940654</t>
  </si>
  <si>
    <t>港唔斷戲</t>
  </si>
  <si>
    <t>木乃伊不容易：那些木乃伊生前死後的奇情怪事</t>
  </si>
  <si>
    <t>9789887940661</t>
  </si>
  <si>
    <t>李衍蒨</t>
  </si>
  <si>
    <t>761</t>
  </si>
  <si>
    <t>靜觀生活30天：活在當下，讓身心靈更自由</t>
  </si>
  <si>
    <t>9789887940692</t>
  </si>
  <si>
    <t>新生精神康復會</t>
  </si>
  <si>
    <t>勇敢，就能擁抱世界</t>
  </si>
  <si>
    <t>9789887940678</t>
  </si>
  <si>
    <t>梁珮珈</t>
  </si>
  <si>
    <t>欧阳修散文“风神”研究</t>
  </si>
  <si>
    <t>9787520117029</t>
  </si>
  <si>
    <t>卓希惠</t>
  </si>
  <si>
    <t>西游记：历代名家点评版（上）</t>
  </si>
  <si>
    <t>9787553109657_1</t>
  </si>
  <si>
    <t>四川巴蜀书社有限公司</t>
  </si>
  <si>
    <t>吴承恩，周公度</t>
  </si>
  <si>
    <t>西游记：历代名家点评版（下）</t>
  </si>
  <si>
    <t>9787553109657_2</t>
  </si>
  <si>
    <t>日本傳統趣味玩賞：Nippon所藏日語嚴選講座【有聲】</t>
  </si>
  <si>
    <t>9789862488393</t>
  </si>
  <si>
    <t>科見日語，EZ Japan編輯部</t>
  </si>
  <si>
    <t>韓國人為什麼偏要坐地板？！看短文搞懂50種韓國文化，打造韓語閱讀力【有聲】</t>
  </si>
  <si>
    <t>9789862488461</t>
  </si>
  <si>
    <t>台灣50產業地圖：5</t>
  </si>
  <si>
    <t>4710004781084</t>
  </si>
  <si>
    <t>你的思想決定業力：你的靈魂深處有什麼，就吸引什麼！</t>
  </si>
  <si>
    <t>9789869768047</t>
  </si>
  <si>
    <t>詹姆斯•艾倫（James Allen）</t>
  </si>
  <si>
    <t>秘修學徒的高等靈性修練法門：接通靈性世界、領悟生命真義的靈修指南</t>
  </si>
  <si>
    <t>9789869851305</t>
  </si>
  <si>
    <t>魯道夫．史代納（Rudolf Steiner）</t>
  </si>
  <si>
    <t>貓的癡情辭典</t>
  </si>
  <si>
    <t>9789869772242</t>
  </si>
  <si>
    <t>斐德列克．威圖</t>
  </si>
  <si>
    <t>437.36</t>
  </si>
  <si>
    <t>空橋上的少年</t>
  </si>
  <si>
    <t>9789863571674</t>
  </si>
  <si>
    <t>蔡伯鑫</t>
  </si>
  <si>
    <t>我們的搖滾樂</t>
  </si>
  <si>
    <t>9789869762762</t>
  </si>
  <si>
    <t>熊一蘋</t>
  </si>
  <si>
    <t>910.15</t>
  </si>
  <si>
    <t>阿納絲塔</t>
  </si>
  <si>
    <t>9789869789103</t>
  </si>
  <si>
    <t>GEPT 全民英檢模擬測驗題庫．初級【有聲】</t>
  </si>
  <si>
    <t>9789579579520</t>
  </si>
  <si>
    <t>馬格．保羅基</t>
  </si>
  <si>
    <t>GEPT 全民英檢模擬測驗題庫．中級（初級複試）【有聲】</t>
  </si>
  <si>
    <t>9789579579537</t>
  </si>
  <si>
    <t>何衣．菲利普</t>
  </si>
  <si>
    <t>新日檢N5必考文法：模擬測驗題庫＋解析大全【有聲】</t>
  </si>
  <si>
    <t>9789579579551</t>
  </si>
  <si>
    <t>田中紀子，渡邊由里</t>
  </si>
  <si>
    <t>GEPT 全民英檢模擬測驗題庫．中高級（初試複試）【有聲】</t>
  </si>
  <si>
    <t>9789579579568</t>
  </si>
  <si>
    <t>美式思考，自然流利！3000句英語就能和外國人輕鬆聊天【有聲】</t>
  </si>
  <si>
    <t>9789579579599</t>
  </si>
  <si>
    <t>施孝昌，珍妮芙</t>
  </si>
  <si>
    <t>高分．暢銷10000單字，搞定新日檢：N1．N2．N3．N4．N5必考單字（最新版）【有聲】</t>
  </si>
  <si>
    <t>9789579579612</t>
  </si>
  <si>
    <t>田中紀子， 杉本愛子</t>
  </si>
  <si>
    <t>金色證書：全新 TOEIC 900分必考單字【有聲】</t>
  </si>
  <si>
    <t>9789579579605</t>
  </si>
  <si>
    <t>張小怡， Johnson Mo</t>
  </si>
  <si>
    <t>5分鐘學會旅遊泰語【有聲】</t>
  </si>
  <si>
    <t>9789579579667</t>
  </si>
  <si>
    <t>泰語編輯團隊</t>
  </si>
  <si>
    <t>5分鐘學會旅遊日語【有聲】</t>
  </si>
  <si>
    <t>9789579579650</t>
  </si>
  <si>
    <t>日語編輯團隊</t>
  </si>
  <si>
    <t>第一次學廣東話，超簡單【有聲】</t>
  </si>
  <si>
    <t>9789579579674</t>
  </si>
  <si>
    <t>802.5234</t>
  </si>
  <si>
    <t>合格攻略：新日檢N3聽力解說版【有聲】</t>
  </si>
  <si>
    <t>9789579579704</t>
  </si>
  <si>
    <t>田中紀子，  杉本愛子</t>
  </si>
  <si>
    <t>突破900分：全新多益必考核心單字【有聲】</t>
  </si>
  <si>
    <t>9789579579728</t>
  </si>
  <si>
    <t>突破900分：全新多益必考核心文法</t>
  </si>
  <si>
    <t>9789579579735</t>
  </si>
  <si>
    <t>全民英檢初級寫作訓練【有聲】</t>
  </si>
  <si>
    <t>9789579579742</t>
  </si>
  <si>
    <t>塔拉麥克，張小怡</t>
  </si>
  <si>
    <t>7天學好流利英語會話：會話．聽力．口說，一學就會【有聲】</t>
  </si>
  <si>
    <t>9789869742528</t>
  </si>
  <si>
    <t>突破900分全新TOEIC必考單字【有聲】</t>
  </si>
  <si>
    <t>9789869742542</t>
  </si>
  <si>
    <t>美國老師教你輕鬆說英語【有聲】</t>
  </si>
  <si>
    <t>9789869742559</t>
  </si>
  <si>
    <t>30秒用英語和老外聊不停，超簡單！【有聲】</t>
  </si>
  <si>
    <t>9789869742566</t>
  </si>
  <si>
    <t>施孝昌，Scott Willians</t>
  </si>
  <si>
    <t>最新圖解我的第一本廣東話【有聲】</t>
  </si>
  <si>
    <t>9789869742573</t>
  </si>
  <si>
    <t>最新英語會考2000單【有聲】</t>
  </si>
  <si>
    <t>9789869742580</t>
  </si>
  <si>
    <t>張瑪麗，湯姆斯</t>
  </si>
  <si>
    <t>超好學！用中文學英語單字【有聲】</t>
  </si>
  <si>
    <t>9789869742597</t>
  </si>
  <si>
    <t>全新 TOEIC 900分必考單字＋文法【有聲】</t>
  </si>
  <si>
    <t>9789579579681</t>
  </si>
  <si>
    <t>新日檢N4必考文法：從零開始，8週通過檢定【有聲】</t>
  </si>
  <si>
    <t>9789579579544</t>
  </si>
  <si>
    <t>7天學好英語聽力和會話：好聽力！好流利！說英文，So Easy！【有聲】</t>
  </si>
  <si>
    <t>9789869742511</t>
  </si>
  <si>
    <t>新日檢N2必考文法：模擬測驗題庫＋解析大全【有聲】</t>
  </si>
  <si>
    <t>9789579579575</t>
  </si>
  <si>
    <t>5分鐘學會旅遊法語【有聲】</t>
  </si>
  <si>
    <t>9789579579643</t>
  </si>
  <si>
    <t>法語編輯團隊</t>
  </si>
  <si>
    <t>全民英檢初級口說能力【有聲】</t>
  </si>
  <si>
    <t>9789579579759</t>
  </si>
  <si>
    <t>何衣菲利</t>
  </si>
  <si>
    <t>超好學 ！用中文學韓語單字【有聲】</t>
  </si>
  <si>
    <t>9789579579803</t>
  </si>
  <si>
    <t>Da－Jun Lin，朴永美</t>
  </si>
  <si>
    <t>新媒體概論</t>
  </si>
  <si>
    <t>9789576819988</t>
  </si>
  <si>
    <t>周茂君</t>
  </si>
  <si>
    <t>541.83</t>
  </si>
  <si>
    <t>UI設計</t>
  </si>
  <si>
    <t>9789577357557</t>
  </si>
  <si>
    <t>張劍，李曼丹</t>
  </si>
  <si>
    <t>廣告人說茶中江湖：中國茶市場面面觀</t>
  </si>
  <si>
    <t>9789577359308</t>
  </si>
  <si>
    <t>黃大</t>
  </si>
  <si>
    <t>481.607</t>
  </si>
  <si>
    <t>旅遊項目：投資．開發．運營</t>
  </si>
  <si>
    <t>9789577359346</t>
  </si>
  <si>
    <t>王麗華</t>
  </si>
  <si>
    <t>99%的人輸在不懂拒絕：拒絕的話要怎麼說，你優雅，他溫暖；或只用一個動作，對方就自動放棄又不傷和氣</t>
  </si>
  <si>
    <t>9789579654289</t>
  </si>
  <si>
    <t>李勁</t>
  </si>
  <si>
    <t>金繕身心修復術：碎裂傷痕為何讓人與物增添價值？金繕這樣為你修復。將日本美學注入你的生活態度</t>
  </si>
  <si>
    <t>9789579164658</t>
  </si>
  <si>
    <t>坎蒂斯．熊井（Candice Kumai）</t>
  </si>
  <si>
    <t>538.7831</t>
  </si>
  <si>
    <t>苏联伟大卫国战争</t>
  </si>
  <si>
    <t>9787509788745</t>
  </si>
  <si>
    <t>王正泉</t>
  </si>
  <si>
    <t>748</t>
  </si>
  <si>
    <t>社会主义与生态文明</t>
  </si>
  <si>
    <t>9787509789001</t>
  </si>
  <si>
    <t>张剑</t>
  </si>
  <si>
    <t>欧洲共产党与反法西斯抵抗运动：镌刻史册的伟大贡献</t>
  </si>
  <si>
    <t>9787509788868</t>
  </si>
  <si>
    <t>于海青，童晋</t>
  </si>
  <si>
    <t>工程监理</t>
  </si>
  <si>
    <t>9787564367367</t>
  </si>
  <si>
    <t>樊敏，宋世军</t>
  </si>
  <si>
    <t>PLC与变频器控制</t>
  </si>
  <si>
    <t>9787564367732</t>
  </si>
  <si>
    <t>宋云波</t>
  </si>
  <si>
    <t>不如詩</t>
  </si>
  <si>
    <t>9789864451517</t>
  </si>
  <si>
    <t>楊沐子</t>
  </si>
  <si>
    <t>越獄吧，身體！</t>
  </si>
  <si>
    <t>9789864451678</t>
  </si>
  <si>
    <t>汪建輝</t>
  </si>
  <si>
    <t>不確定的風景：陳秀珍詩集</t>
  </si>
  <si>
    <t>9789864451791</t>
  </si>
  <si>
    <t>陳秀珍</t>
  </si>
  <si>
    <t>為何旅行：林鷺詩集</t>
  </si>
  <si>
    <t>9789864451845</t>
  </si>
  <si>
    <t>林鷺</t>
  </si>
  <si>
    <t>行屍別哭 Crying Walkers</t>
  </si>
  <si>
    <t>9789864451876</t>
  </si>
  <si>
    <t>拾穗集</t>
  </si>
  <si>
    <t>9789864451944</t>
  </si>
  <si>
    <t>舒蘭</t>
  </si>
  <si>
    <t>吹不散心頭上的身影：王建生散文選</t>
  </si>
  <si>
    <t>9789864452842</t>
  </si>
  <si>
    <t>王建生</t>
  </si>
  <si>
    <t>華文俳句選：吟詠當下的美學</t>
  </si>
  <si>
    <t>9789864453023</t>
  </si>
  <si>
    <t>吳衛峰，洪郁芬，郭至卿，趙紹球，永田満徳</t>
  </si>
  <si>
    <t>重修舊好</t>
  </si>
  <si>
    <t>9789864453054</t>
  </si>
  <si>
    <t>廖智賢</t>
  </si>
  <si>
    <t>匈牙利旅圖攻略：布達佩斯╳16座大城小鎮</t>
  </si>
  <si>
    <t>9789864453085</t>
  </si>
  <si>
    <t>744.2719</t>
  </si>
  <si>
    <t>寫作過活不是夢，你也可以靠搖筆桿子吃飯！：成為職業作家一定要知道的50件事</t>
  </si>
  <si>
    <t>9789864453092</t>
  </si>
  <si>
    <t>當我選擇了旅居歐洲</t>
  </si>
  <si>
    <t>9789864453122</t>
  </si>
  <si>
    <t>李懿祺</t>
  </si>
  <si>
    <t>740.9</t>
  </si>
  <si>
    <t>需要一場雨：翠希短篇、極短篇小說集</t>
  </si>
  <si>
    <t>9789864453146</t>
  </si>
  <si>
    <t>翠希</t>
  </si>
  <si>
    <t>定居寶島‧居住篇</t>
  </si>
  <si>
    <t>9789864453160</t>
  </si>
  <si>
    <t>傑拉德，黃文彪，林靚，藍色水銀，羅伊 等</t>
  </si>
  <si>
    <t>577.6</t>
  </si>
  <si>
    <t>台灣阿嬤好生活：碧山巖下樂齡誌</t>
  </si>
  <si>
    <t>9789864453177</t>
  </si>
  <si>
    <t>不說話的女孩：雖然我們有選擇性緘默症，但是有話想說</t>
  </si>
  <si>
    <t>9789864453184</t>
  </si>
  <si>
    <t>Rochelle，Ayaha</t>
  </si>
  <si>
    <t>阿帕拉契的火：金車奇幻小說獎傑作選</t>
  </si>
  <si>
    <t>9789864452248</t>
  </si>
  <si>
    <t>王麗雯，邱常婷，林子瑄，沈琬婷，江尋</t>
  </si>
  <si>
    <t>犬犬‧謙謙‧有禮：林煥彰詩畫集</t>
  </si>
  <si>
    <t>9789864452521</t>
  </si>
  <si>
    <t>林煥彰</t>
  </si>
  <si>
    <t>捕快的口袋書：從現代犯罪偵查看《折獄龜鑑》</t>
  </si>
  <si>
    <t>9789869430869</t>
  </si>
  <si>
    <t>鄒濬智</t>
  </si>
  <si>
    <t>548.692</t>
  </si>
  <si>
    <t>互联网3.0：云脑物联网创造DT新世界</t>
  </si>
  <si>
    <t>9787509786154</t>
  </si>
  <si>
    <t>田丰，张騄 等</t>
  </si>
  <si>
    <t>北京市国民经济和社会发展第十三个五年规划纲要</t>
  </si>
  <si>
    <t>9787509787816</t>
  </si>
  <si>
    <t>北京市发展和改革委员会</t>
  </si>
  <si>
    <t>台湾长期照顾服务体系的转型发展</t>
  </si>
  <si>
    <t>9787520142496</t>
  </si>
  <si>
    <t>沈君彬</t>
  </si>
  <si>
    <t>與地圖的時空對話：國家檔案地圖中的故事</t>
  </si>
  <si>
    <t>9789860567878</t>
  </si>
  <si>
    <t>國家發展委員會檔案管理局</t>
  </si>
  <si>
    <t>陳怡行</t>
  </si>
  <si>
    <t>733.35</t>
  </si>
  <si>
    <t>机械设计实验指导</t>
  </si>
  <si>
    <t>9787564362829</t>
  </si>
  <si>
    <t>尹怀仙，王正超，张艳平</t>
  </si>
  <si>
    <t>机械原理实验指导</t>
  </si>
  <si>
    <t>9787564362867</t>
  </si>
  <si>
    <t>尹怀仙，王正超</t>
  </si>
  <si>
    <t>城市公交车辆电气设备使用</t>
  </si>
  <si>
    <t>9787564364243</t>
  </si>
  <si>
    <t>汪亮，冉原野，李小燕</t>
  </si>
  <si>
    <t>线性代数及其应用</t>
  </si>
  <si>
    <t>9787564364595</t>
  </si>
  <si>
    <t>叶建军，宋军智，苗成双</t>
  </si>
  <si>
    <t>313</t>
  </si>
  <si>
    <t>工程力学实验</t>
  </si>
  <si>
    <t>9787564364939</t>
  </si>
  <si>
    <t>李君，徐飞鸿</t>
  </si>
  <si>
    <t>332</t>
  </si>
  <si>
    <t>数字逻辑实验及Multisim仿真教程</t>
  </si>
  <si>
    <t>9787564360160</t>
  </si>
  <si>
    <t>徐征</t>
  </si>
  <si>
    <t>工程造价控制</t>
  </si>
  <si>
    <t>9787564361037</t>
  </si>
  <si>
    <t>李华东，王艳梅</t>
  </si>
  <si>
    <t>影视特效基础教程</t>
  </si>
  <si>
    <t>9787562495871</t>
  </si>
  <si>
    <t>刘生亮，吴万明</t>
  </si>
  <si>
    <t>分析化学技术</t>
  </si>
  <si>
    <t>9787562495895</t>
  </si>
  <si>
    <t>宋丽华，任晓燕</t>
  </si>
  <si>
    <t>公文表解與案例解析</t>
  </si>
  <si>
    <t>9789864878956</t>
  </si>
  <si>
    <t>張甫任，楊安城</t>
  </si>
  <si>
    <t>9789864879151</t>
  </si>
  <si>
    <t>行政法輕鬆上手</t>
  </si>
  <si>
    <t>9789864879137</t>
  </si>
  <si>
    <t>國考大師教您輕鬆讀懂民法總則</t>
  </si>
  <si>
    <t>9789864879014</t>
  </si>
  <si>
    <t>任穎</t>
  </si>
  <si>
    <t>國考大師教您看圖學會刑法總則</t>
  </si>
  <si>
    <t>9789864878833</t>
  </si>
  <si>
    <t>585</t>
  </si>
  <si>
    <t>中唐詩境說研究</t>
  </si>
  <si>
    <t>9789864782307</t>
  </si>
  <si>
    <t>劉衛林</t>
  </si>
  <si>
    <t>天風應和潤物無聲：蕭蕭詩與詩學教育</t>
  </si>
  <si>
    <t>9789864782697</t>
  </si>
  <si>
    <t>黃金明，陳憲仁，羅文玲</t>
  </si>
  <si>
    <t>老子之人性論與無名思想</t>
  </si>
  <si>
    <t>9789864782369</t>
  </si>
  <si>
    <t>蕭振聲</t>
  </si>
  <si>
    <t>121.31</t>
  </si>
  <si>
    <t>修辭與考辨</t>
  </si>
  <si>
    <t>9789864782765</t>
  </si>
  <si>
    <t>王幼華</t>
  </si>
  <si>
    <t>802.75</t>
  </si>
  <si>
    <t>培生吟草</t>
  </si>
  <si>
    <t>9789864782277</t>
  </si>
  <si>
    <t>耿培生</t>
  </si>
  <si>
    <t>從明清到近代：史料與課題</t>
  </si>
  <si>
    <t>9789864781591</t>
  </si>
  <si>
    <t>李金強，郭嘉輝</t>
  </si>
  <si>
    <t>626.99</t>
  </si>
  <si>
    <t>通志七音略研究</t>
  </si>
  <si>
    <t>9789864780549</t>
  </si>
  <si>
    <t>葉鍵得</t>
  </si>
  <si>
    <t>微觀類型下的受動標記研究：基於音韻及語法介面</t>
  </si>
  <si>
    <t>9789864782352</t>
  </si>
  <si>
    <t>陳崧霖</t>
  </si>
  <si>
    <t>詩經故事</t>
  </si>
  <si>
    <t>9789864782291</t>
  </si>
  <si>
    <t>呂珍玉 等</t>
  </si>
  <si>
    <t>831.1</t>
  </si>
  <si>
    <t>實用修辭寫作學</t>
  </si>
  <si>
    <t>9789864782314</t>
  </si>
  <si>
    <t>敵道學史：從北宋到二十世紀</t>
  </si>
  <si>
    <t>9789864782345</t>
  </si>
  <si>
    <t>衷鑫恣</t>
  </si>
  <si>
    <t>潘麗珠的國文課：教課評課全紀錄</t>
  </si>
  <si>
    <t>9789864782703</t>
  </si>
  <si>
    <t>潘麗珠</t>
  </si>
  <si>
    <t>521.6</t>
  </si>
  <si>
    <t>聽聽諸子談藝術</t>
  </si>
  <si>
    <t>9789864782147</t>
  </si>
  <si>
    <t>王大智</t>
  </si>
  <si>
    <t>901.9201</t>
  </si>
  <si>
    <t>消逝的韓光：低薪、過勞、霸凌，揭發華麗韓劇幕後的血汗與悲鳴</t>
  </si>
  <si>
    <t>9789862488539</t>
  </si>
  <si>
    <t>李韓率</t>
  </si>
  <si>
    <t>556.0932</t>
  </si>
  <si>
    <t>購物革命：品牌╳價格╳體驗╳無阻力，卡恩零售象限掌握競爭優勢，贏得顧客青睞！</t>
  </si>
  <si>
    <t>9789862488522</t>
  </si>
  <si>
    <t>芭芭拉．E．卡恩</t>
  </si>
  <si>
    <t>慶祝失敗：從愛情、工作到生活，我在挫折裡學到的事</t>
  </si>
  <si>
    <t>9789862488546</t>
  </si>
  <si>
    <t>伊莉莎白．德依</t>
  </si>
  <si>
    <t>繪本裡的千言萬語：30個故事，30封給孩子的成長情書</t>
  </si>
  <si>
    <t>9789862488560</t>
  </si>
  <si>
    <t>李貞慧</t>
  </si>
  <si>
    <t>日檢N2聽解總合對策（全新修訂版）</t>
  </si>
  <si>
    <t>9789862488577</t>
  </si>
  <si>
    <t>今泉江利子，清水裕美子</t>
  </si>
  <si>
    <t>看美劇，說出一口好英文：一天30分鐘＋高效筆記術，訓練用英文思考的大腦，從聽說讀寫全面提昇英文實力！</t>
  </si>
  <si>
    <t>9789862488621</t>
  </si>
  <si>
    <t>出口武賴</t>
  </si>
  <si>
    <t>活用韓文擬聲擬態語：生動你的韓語表達</t>
  </si>
  <si>
    <t>9789862488584</t>
  </si>
  <si>
    <t>韓國語教育研究所</t>
  </si>
  <si>
    <t>如何幫雞洗澡：幫商業簡報脫胎換骨，個人品牌再升級，提升職場影響力</t>
  </si>
  <si>
    <t>9789862488553</t>
  </si>
  <si>
    <t>提姆．寇金茲（Tim Calkins）</t>
  </si>
  <si>
    <t>男孩一個人也可以獨力完成的「收納整理術」：2～12歲分齡收納提案，培養孩子時間╳資訊╳金錢管理能力</t>
  </si>
  <si>
    <t>9789862488614</t>
  </si>
  <si>
    <t>中村佳子</t>
  </si>
  <si>
    <t>首爾大學韓國語5A【有聲】</t>
  </si>
  <si>
    <t>9789862488645</t>
  </si>
  <si>
    <t>從Q到Q+：精準提問打破偏見僵局╳避開決策陷阱，關鍵時刻做出最佳決斷</t>
  </si>
  <si>
    <t>9789862488638</t>
  </si>
  <si>
    <t>華倫．伯格（Warren Berger）</t>
  </si>
  <si>
    <t>2028：三大法則預測未來媒體、娛樂、社會價值變化，發掘明日的機會與挑戰</t>
  </si>
  <si>
    <t>9789862488652</t>
  </si>
  <si>
    <t>岡田斗司夫</t>
  </si>
  <si>
    <t>541.49</t>
  </si>
  <si>
    <t>四弦一音：瓜奈里四重奏的故事</t>
  </si>
  <si>
    <t>9789888664313</t>
  </si>
  <si>
    <t>史坦哈特</t>
  </si>
  <si>
    <t>一分鐘降血壓操：日本藥學預防專家實證！躺、趴、坐，10天提升血管彈性，收縮壓降50！</t>
  </si>
  <si>
    <t>9789579654470</t>
  </si>
  <si>
    <t>加藤雅俊</t>
  </si>
  <si>
    <t>中國的人口危機：結婚難民、空巢青年、5億老人，了解這個超高齡大國的危機，你就知道中國為何突然急著統一臺灣</t>
  </si>
  <si>
    <t>9789579654586</t>
  </si>
  <si>
    <t>近藤大介</t>
  </si>
  <si>
    <t>542.092</t>
  </si>
  <si>
    <t>成熟：身段要軟、方法要硬、自尊能顧，這是做自己的最好方式</t>
  </si>
  <si>
    <t>9789579654494</t>
  </si>
  <si>
    <t>陶瓷兔子</t>
  </si>
  <si>
    <t>我畢業五年，用ETF賺到400萬：每月1,000元就能開始！不用兼差斜槓，兩檔ETF投資組合，年賺20％以上</t>
  </si>
  <si>
    <t>9789579654609</t>
  </si>
  <si>
    <t>PG 財經筆記</t>
  </si>
  <si>
    <t>AutoCAD 2018工程绘图实例教程</t>
  </si>
  <si>
    <t>9787564362102</t>
  </si>
  <si>
    <t>谢平，刘志红，陈海雷，涂晓斌</t>
  </si>
  <si>
    <t>太阳能电动车的设计研究与实践</t>
  </si>
  <si>
    <t>9787564362270</t>
  </si>
  <si>
    <t>王元良，李达，曾明华</t>
  </si>
  <si>
    <t>直线电机与磁浮驱动</t>
  </si>
  <si>
    <t>9787564362539</t>
  </si>
  <si>
    <t>李益民</t>
  </si>
  <si>
    <t>能源材料与化学电源综合实验教程</t>
  </si>
  <si>
    <t>9787564362546</t>
  </si>
  <si>
    <t>钟洪彬，胡传跃，刘鑫，陈占军，吴腾宴 等</t>
  </si>
  <si>
    <t>水处理实验技术</t>
  </si>
  <si>
    <t>9787564363253</t>
  </si>
  <si>
    <t>王爱丽，刘歆瑜</t>
  </si>
  <si>
    <t>R语言与统计计算</t>
  </si>
  <si>
    <t>9787564363369</t>
  </si>
  <si>
    <t>李艳颖，王丙参</t>
  </si>
  <si>
    <t>电工技术基础实验与实训教程（电工学I）：电路电机与控制仿真</t>
  </si>
  <si>
    <t>9787564363529</t>
  </si>
  <si>
    <t>王英</t>
  </si>
  <si>
    <t>机械工程实训</t>
  </si>
  <si>
    <t>9787564363734</t>
  </si>
  <si>
    <t>秦涛</t>
  </si>
  <si>
    <t>LabVIEW 2016程序设计教程</t>
  </si>
  <si>
    <t>9787564364151</t>
  </si>
  <si>
    <t>何小群，谢箭</t>
  </si>
  <si>
    <t>城市公共交通服务礼仪</t>
  </si>
  <si>
    <t>9787564365288</t>
  </si>
  <si>
    <t>钟晓芬，邱川鄂，彭月秋</t>
  </si>
  <si>
    <t>就業服務乙級技能檢定學術科題庫寶典</t>
  </si>
  <si>
    <t>9789864879274</t>
  </si>
  <si>
    <t>黃皇凱</t>
  </si>
  <si>
    <t>圖解式民法（含概要）重點精要＋嚴選題庫</t>
  </si>
  <si>
    <t>9789864879410</t>
  </si>
  <si>
    <t>主題式電子學（含概要）高分題庫</t>
  </si>
  <si>
    <t>9789864879427</t>
  </si>
  <si>
    <t>人身保險業務員資格測驗：重點整理＋試題演練</t>
  </si>
  <si>
    <t>9789864878543</t>
  </si>
  <si>
    <t>陳宣仲</t>
  </si>
  <si>
    <t>9789864879359</t>
  </si>
  <si>
    <t>民法概要（題庫＋歷年試題）</t>
  </si>
  <si>
    <t>9789864879441</t>
  </si>
  <si>
    <t>會計事務（人工記帳）乙級技能檢定術科實作秘笈</t>
  </si>
  <si>
    <t>9789864879342</t>
  </si>
  <si>
    <t>主題式會計事務（人工記帳、資訊）丙級技能檢定學科滿分題庫</t>
  </si>
  <si>
    <t>9789864879335</t>
  </si>
  <si>
    <t>林惠貞</t>
  </si>
  <si>
    <t>主題式會計事務（人工記帳、資訊）丙級技能檢定術科滿分題庫</t>
  </si>
  <si>
    <t>9789864879328</t>
  </si>
  <si>
    <t>基本電學致勝攻略</t>
  </si>
  <si>
    <t>9789864879182</t>
  </si>
  <si>
    <t>陳新</t>
  </si>
  <si>
    <t>9789864879687</t>
  </si>
  <si>
    <t>初考公民叮：照亮你的學習之路</t>
  </si>
  <si>
    <t>9789864878932</t>
  </si>
  <si>
    <t>許家豪</t>
  </si>
  <si>
    <t>反洗腦：自願為奴的真相</t>
  </si>
  <si>
    <t>9789570443646</t>
  </si>
  <si>
    <t>九韵文化</t>
  </si>
  <si>
    <t>艾瑞克・李</t>
  </si>
  <si>
    <t>541.825</t>
  </si>
  <si>
    <t>從譚鑫培到余叔岩</t>
  </si>
  <si>
    <t>9789863971276</t>
  </si>
  <si>
    <t>齊如山</t>
  </si>
  <si>
    <t>982.9</t>
  </si>
  <si>
    <t>公職小六法</t>
  </si>
  <si>
    <t>9789574791057_07</t>
  </si>
  <si>
    <t>9789866172274_12</t>
  </si>
  <si>
    <t>9789574549047_07</t>
  </si>
  <si>
    <t>機械原理大意</t>
  </si>
  <si>
    <t>9789574547708_07</t>
  </si>
  <si>
    <t>王勝利</t>
  </si>
  <si>
    <t>國文（作文、論文）</t>
  </si>
  <si>
    <t>9789574547463_09</t>
  </si>
  <si>
    <t>企業管理（含概要）</t>
  </si>
  <si>
    <t>9789574548545_09</t>
  </si>
  <si>
    <t>經濟學（含概要）</t>
  </si>
  <si>
    <t>9789574548552_08</t>
  </si>
  <si>
    <t>9789574548613_07</t>
  </si>
  <si>
    <t>土地登記實務</t>
  </si>
  <si>
    <t>9789579334211_04</t>
  </si>
  <si>
    <t>陸雨農</t>
  </si>
  <si>
    <t>貨幣銀行學（含概要）</t>
  </si>
  <si>
    <t>9789866172267_11</t>
  </si>
  <si>
    <t>9789866172281_09</t>
  </si>
  <si>
    <t>銀行法（概要）與洗錢防制法規</t>
  </si>
  <si>
    <t>9789575332563_08</t>
  </si>
  <si>
    <t>金道亨</t>
  </si>
  <si>
    <t>機械原理（機械概論、常識）</t>
  </si>
  <si>
    <t>9789574547517_10</t>
  </si>
  <si>
    <t>顛覆的教改</t>
  </si>
  <si>
    <t>9789863589105</t>
  </si>
  <si>
    <t>劉克慶</t>
  </si>
  <si>
    <t>跟「憂鬱症」相處的基本心靈手冊：賽斯資料所提供的全新療癒觀及預防學</t>
  </si>
  <si>
    <t>9789863589204</t>
  </si>
  <si>
    <t>王梵緒</t>
  </si>
  <si>
    <t>藝術家；孤獨，的，自語</t>
  </si>
  <si>
    <t>9789863589280</t>
  </si>
  <si>
    <t>黃橙</t>
  </si>
  <si>
    <t>也無風雨也無晴</t>
  </si>
  <si>
    <t>9789863589310</t>
  </si>
  <si>
    <t>倪子勤</t>
  </si>
  <si>
    <t>全相式情緒行為輔導策略卡</t>
  </si>
  <si>
    <t>9789863589082</t>
  </si>
  <si>
    <t>孫佳銘</t>
  </si>
  <si>
    <t>521.18</t>
  </si>
  <si>
    <t>誰怕當代藝術！</t>
  </si>
  <si>
    <t>9789869639729</t>
  </si>
  <si>
    <t>安景輝，潔西卡・瑟拉思</t>
  </si>
  <si>
    <t>9789864879663</t>
  </si>
  <si>
    <t>刑事訴訟法焦點速成＋近年試題解析</t>
  </si>
  <si>
    <t>9789864879717</t>
  </si>
  <si>
    <t>溫陽，智摩</t>
  </si>
  <si>
    <t>586</t>
  </si>
  <si>
    <t>人事行政大意：看這本就夠了</t>
  </si>
  <si>
    <t>9789864879779</t>
  </si>
  <si>
    <t>572.4022</t>
  </si>
  <si>
    <t>公務員法大意：看這本就夠了</t>
  </si>
  <si>
    <t>9789864878611</t>
  </si>
  <si>
    <t>情境式戶籍法規大意：看這本就夠了</t>
  </si>
  <si>
    <t>9789864879861</t>
  </si>
  <si>
    <t>勞工行政與勞工法規大意：看這本就夠了</t>
  </si>
  <si>
    <t>9789864879762</t>
  </si>
  <si>
    <t>9789864879878</t>
  </si>
  <si>
    <t>挑日子！結婚、搬家、開市、生小孩你應該懂的農民曆常識</t>
  </si>
  <si>
    <t>9789869851336</t>
  </si>
  <si>
    <t>柿子文化編輯部</t>
  </si>
  <si>
    <t>第一本複雜性創傷後壓力症候群自我療癒聖經：在童年創傷中求生到茁壯的恢復指南</t>
  </si>
  <si>
    <t>9789869851350</t>
  </si>
  <si>
    <t>彼得．沃克</t>
  </si>
  <si>
    <t>Hen簡單學日語50音【有聲】</t>
  </si>
  <si>
    <t>9789866134944</t>
  </si>
  <si>
    <t>蘇彥如</t>
  </si>
  <si>
    <t>從相遇到療癒：自我關照的藝術遇療</t>
  </si>
  <si>
    <t>9789576939334</t>
  </si>
  <si>
    <t>吳明富 等</t>
  </si>
  <si>
    <t>黑夜星光：擁抱生命的力量</t>
  </si>
  <si>
    <t>9789576939365</t>
  </si>
  <si>
    <t>羅柏．威克斯（Robert J. Wicks）</t>
  </si>
  <si>
    <t>亞隆文選</t>
  </si>
  <si>
    <t>9789576939389</t>
  </si>
  <si>
    <t>歐文•亞隆</t>
  </si>
  <si>
    <t>易學！暢銷！我的第一本印尼語會話【有聲】</t>
  </si>
  <si>
    <t>9789869834018</t>
  </si>
  <si>
    <t>阿麗拉斯密</t>
  </si>
  <si>
    <t>躺著背印尼語2000單字【有聲】</t>
  </si>
  <si>
    <t>9789869834063</t>
  </si>
  <si>
    <t>阿麗拉斯密，施明威</t>
  </si>
  <si>
    <t>躺著背越南語3000單字【有聲】</t>
  </si>
  <si>
    <t>9789869834070</t>
  </si>
  <si>
    <t>803.79</t>
  </si>
  <si>
    <t>輕鬆學會日本話．入門篇【有聲】</t>
  </si>
  <si>
    <t>9789579579872</t>
  </si>
  <si>
    <t>朱讌欣，黃子翰，田中浩志</t>
  </si>
  <si>
    <t>多益拿高分，聽力全攻略【有聲】</t>
  </si>
  <si>
    <t>9789869660174</t>
  </si>
  <si>
    <t>竹聯：我在江湖的回憶。臺灣第一部幫派主持人親筆史記</t>
  </si>
  <si>
    <t>9789579654548</t>
  </si>
  <si>
    <t>柳茂川</t>
  </si>
  <si>
    <t>546.9933</t>
  </si>
  <si>
    <t>改變情緒的姿勢：讓心情瞬間放晴的厲害方法！潛意識專家這樣運用身體引導大腦。</t>
  </si>
  <si>
    <t>9789579654555</t>
  </si>
  <si>
    <t>楠戶太臣</t>
  </si>
  <si>
    <t>帶人的問題，Amazon都怎麼解決？亞馬遜的管理學，就算資質普通也被你變成幹練。下指令、建標準，課本沒教的管理實務。</t>
  </si>
  <si>
    <t>9789579654579</t>
  </si>
  <si>
    <t>台灣名人傳記：蔡英文</t>
  </si>
  <si>
    <t>EBK10200011748</t>
  </si>
  <si>
    <t>用心理學發現微幸福</t>
  </si>
  <si>
    <t>9789864491742</t>
  </si>
  <si>
    <t>蔡宇哲，潘怡格</t>
  </si>
  <si>
    <t>草泥馬也會談戀愛嗎？：33篇療癒系哲學難題與解答</t>
  </si>
  <si>
    <t>9789862488744</t>
  </si>
  <si>
    <t>彼得．凱夫</t>
  </si>
  <si>
    <t>101</t>
  </si>
  <si>
    <t>首爾大學韓國語6A【有聲】</t>
  </si>
  <si>
    <t>9789862488720</t>
  </si>
  <si>
    <t>都是為你好，難道我會害你嗎？：揭開父母情緒勒索、遷怒、控制、差別待遇的暗黑心理，停止複製傷害迴圈</t>
  </si>
  <si>
    <t>9789862488690</t>
  </si>
  <si>
    <t>片田珠美</t>
  </si>
  <si>
    <t>另眼看御宅2：熱血二次元的動漫部落格</t>
  </si>
  <si>
    <t>9789578614291</t>
  </si>
  <si>
    <t>蔡明叡 等</t>
  </si>
  <si>
    <t>541.3</t>
  </si>
  <si>
    <t>致，茫人們：21 篇陪你走出迷茫、熬出人生好滋味的心靈雞湯</t>
  </si>
  <si>
    <t>9789869025577</t>
  </si>
  <si>
    <t>鍾興叡</t>
  </si>
  <si>
    <t>藝術家的職涯管理術：如何讓你的作品變商品！</t>
  </si>
  <si>
    <t>9789869711333</t>
  </si>
  <si>
    <t>希瑟．達西．班達里，喬納森．梅爾伯</t>
  </si>
  <si>
    <t>不屑是種正能量：不屑貓的97種歡樂與力量</t>
  </si>
  <si>
    <t>9789869606851</t>
  </si>
  <si>
    <t>不屑貓（陳筱如）</t>
  </si>
  <si>
    <t>《說文》地名字構形用例研究</t>
  </si>
  <si>
    <t>9789864782963</t>
  </si>
  <si>
    <t>余風</t>
  </si>
  <si>
    <t>802.21</t>
  </si>
  <si>
    <t>丁若鏞借鑑孟子「內聖外王」思想研究</t>
  </si>
  <si>
    <t>9789864782819</t>
  </si>
  <si>
    <t>朴炳久</t>
  </si>
  <si>
    <t>121.267</t>
  </si>
  <si>
    <t>井上靖的中國文學視閾</t>
  </si>
  <si>
    <t>9789864781003</t>
  </si>
  <si>
    <t>盧茂君</t>
  </si>
  <si>
    <t>日本儒學之社會實踐</t>
  </si>
  <si>
    <t>9789577399021</t>
  </si>
  <si>
    <t>金培懿</t>
  </si>
  <si>
    <t>131.307</t>
  </si>
  <si>
    <t>平生懷抱此中留：勞思光韋齋詩詞論文集</t>
  </si>
  <si>
    <t>9789864782673</t>
  </si>
  <si>
    <t>王隆升</t>
  </si>
  <si>
    <t>在現實的裂縫萌芽：岩上學術研討會論文集</t>
  </si>
  <si>
    <t>9789864782918</t>
  </si>
  <si>
    <t>蕭蕭，李桂媚</t>
  </si>
  <si>
    <t>性惡論的誕生：荀子「經濟人」視域下的孟學批判與儒學回歸</t>
  </si>
  <si>
    <t>9789864782826</t>
  </si>
  <si>
    <t>曾暐傑</t>
  </si>
  <si>
    <t>121.277</t>
  </si>
  <si>
    <t>芝蘭室隨筆</t>
  </si>
  <si>
    <t>9789864782406</t>
  </si>
  <si>
    <t>伍百年</t>
  </si>
  <si>
    <t>近代歐美漢學家：東洋學的系譜（歐美篇）</t>
  </si>
  <si>
    <t>9789864783021</t>
  </si>
  <si>
    <t>高田時雄</t>
  </si>
  <si>
    <t>039</t>
  </si>
  <si>
    <t>柳園紀遊吟稿</t>
  </si>
  <si>
    <t>9789864782550</t>
  </si>
  <si>
    <t>禹貢、經筵、科舉：宋明《尚書》學新探</t>
  </si>
  <si>
    <t>9789864782758</t>
  </si>
  <si>
    <t>陳恆嵩</t>
  </si>
  <si>
    <t>常玉散文：青春筆記</t>
  </si>
  <si>
    <t>9789864782987</t>
  </si>
  <si>
    <t>劉常玉</t>
  </si>
  <si>
    <t>華文閱讀教學策略研究</t>
  </si>
  <si>
    <t>9789864782888</t>
  </si>
  <si>
    <t>楊曉菁</t>
  </si>
  <si>
    <t>华语文教学研究论文集</t>
  </si>
  <si>
    <t>9789864782727</t>
  </si>
  <si>
    <t>钟国荣</t>
  </si>
  <si>
    <t>詩情話憶：真理大學在地文創特色課程詩歌創作集</t>
  </si>
  <si>
    <t>9789864783328</t>
  </si>
  <si>
    <t>劉沛慈</t>
  </si>
  <si>
    <t>閩南語否定結構的變遷與效應：由正反問句、動貌系統與程度結構入手</t>
  </si>
  <si>
    <t>9789864782802</t>
  </si>
  <si>
    <t>蘇建唐</t>
  </si>
  <si>
    <t>802.5233</t>
  </si>
  <si>
    <t>學者，覺也：羅近溪哲學研究</t>
  </si>
  <si>
    <t>9789864783144</t>
  </si>
  <si>
    <t>沈鴻慎</t>
  </si>
  <si>
    <t>126.6</t>
  </si>
  <si>
    <t>學茶筆記（二）：隨師喫茶去</t>
  </si>
  <si>
    <t>9789864782383</t>
  </si>
  <si>
    <t>王夢石</t>
  </si>
  <si>
    <t>974.8</t>
  </si>
  <si>
    <t>濁水溪流域彰化縣東南區客家文化傳衍之研究：以田尾鄉、田中鎮為主要的考察空間</t>
  </si>
  <si>
    <t>9789864783229</t>
  </si>
  <si>
    <t>謝瑞隆</t>
  </si>
  <si>
    <t>536.211</t>
  </si>
  <si>
    <t>遺忘與記憶：丁平及其時代訪談集</t>
  </si>
  <si>
    <t>9789864783038</t>
  </si>
  <si>
    <t>馬輝洪</t>
  </si>
  <si>
    <t>駱鴻凱《文選學》初探</t>
  </si>
  <si>
    <t>9789864782932</t>
  </si>
  <si>
    <t>廖蘭欣</t>
  </si>
  <si>
    <t>830.18</t>
  </si>
  <si>
    <t>攻心為上：說話高手訓練班</t>
  </si>
  <si>
    <t>9789864111107</t>
  </si>
  <si>
    <t>任琦軒</t>
  </si>
  <si>
    <t>你可以選擇這樣愛自己</t>
  </si>
  <si>
    <t>9789864111114</t>
  </si>
  <si>
    <t>張宇飛</t>
  </si>
  <si>
    <t>不藏私：超實用的氣場操縱術</t>
  </si>
  <si>
    <t>9789864111121</t>
  </si>
  <si>
    <t>俞建安</t>
  </si>
  <si>
    <t>讀心，停、看、聽：讀懂人心關鍵的63種方法</t>
  </si>
  <si>
    <t>9789864111138</t>
  </si>
  <si>
    <t>詹志輝</t>
  </si>
  <si>
    <t>我知道你在想什麼：超強揭祕讀心術</t>
  </si>
  <si>
    <t>9789864111152</t>
  </si>
  <si>
    <t>張仲瑋</t>
  </si>
  <si>
    <t>175.92</t>
  </si>
  <si>
    <t>色彩心理學：用色彩打造你的專屬魅力</t>
  </si>
  <si>
    <t>9789864531103</t>
  </si>
  <si>
    <t>軟能力：你的職場致勝法寶</t>
  </si>
  <si>
    <t>9789864531110</t>
  </si>
  <si>
    <t>色彩心理學：用色彩打造你的人際優勢！</t>
  </si>
  <si>
    <t>9789864531134</t>
  </si>
  <si>
    <t>見鬼之校園鬼話（5）</t>
  </si>
  <si>
    <t>9789864531141</t>
  </si>
  <si>
    <t>二十一世紀臺灣鬼故事</t>
  </si>
  <si>
    <t>9789864531165</t>
  </si>
  <si>
    <t>相遇在世界之路：一個背包，環遊世界一百零一天</t>
  </si>
  <si>
    <t>9789869760621</t>
  </si>
  <si>
    <t>Aida</t>
  </si>
  <si>
    <t>海島一點點：東京╳廣島╳瀨戶內海都來一點點</t>
  </si>
  <si>
    <t>9789869760607</t>
  </si>
  <si>
    <t>點點陳</t>
  </si>
  <si>
    <t>蒼山下，洱海前：我的雲南擺攤人生</t>
  </si>
  <si>
    <t>9789869760614</t>
  </si>
  <si>
    <t>吳文捷</t>
  </si>
  <si>
    <t>673.569</t>
  </si>
  <si>
    <t>什麼是政治行動？</t>
  </si>
  <si>
    <t>9789869255899</t>
  </si>
  <si>
    <t>帕特里斯．卡尼維</t>
  </si>
  <si>
    <t>570.94</t>
  </si>
  <si>
    <t>什麼是遊戲？</t>
  </si>
  <si>
    <t>9789869408905</t>
  </si>
  <si>
    <t>史鐵凡．休維爾</t>
  </si>
  <si>
    <t>990.1</t>
  </si>
  <si>
    <t>什麼是世界觀？</t>
  </si>
  <si>
    <t>9789869551908</t>
  </si>
  <si>
    <t>克里斯提安．貝爾內</t>
  </si>
  <si>
    <t>什麼是暴力？</t>
  </si>
  <si>
    <t>9789869668231</t>
  </si>
  <si>
    <t>艾維．佛特勒爾</t>
  </si>
  <si>
    <t>541.627</t>
  </si>
  <si>
    <t>什麼是惡？</t>
  </si>
  <si>
    <t>9789869668293</t>
  </si>
  <si>
    <t>艾蓮．布希尤</t>
  </si>
  <si>
    <t>199.1</t>
  </si>
  <si>
    <t>什麼是道德案例？</t>
  </si>
  <si>
    <t>9789869715126</t>
  </si>
  <si>
    <t>薩吉．波艾西尼</t>
  </si>
  <si>
    <t>運動場上的哲學家：高中體育課裡的哲學思考</t>
  </si>
  <si>
    <t>9789869808408</t>
  </si>
  <si>
    <t>鍾芝憶</t>
  </si>
  <si>
    <t>528.901</t>
  </si>
  <si>
    <t>哲學家陪你看電影</t>
  </si>
  <si>
    <t>9789869715195</t>
  </si>
  <si>
    <t>蔡士瑋，梁家瑜</t>
  </si>
  <si>
    <t>暫停抄寫：高中國文課的哲學</t>
  </si>
  <si>
    <t>9789869808415</t>
  </si>
  <si>
    <t>江毅中</t>
  </si>
  <si>
    <t>街頭精神：抗議及惡搞的力量</t>
  </si>
  <si>
    <t>9789869668279</t>
  </si>
  <si>
    <t>斯蒂夫．克羅修</t>
  </si>
  <si>
    <t>發聲：蘭登書屋羅伯特．伯恩斯坦為出版與人權奮鬥的一生</t>
  </si>
  <si>
    <t>9789869715188</t>
  </si>
  <si>
    <t>羅伯特．伯恩斯坦，道格．梅里諾</t>
  </si>
  <si>
    <t>487.7</t>
  </si>
  <si>
    <t>第二人生：人生的第二春</t>
  </si>
  <si>
    <t>9789869808439</t>
  </si>
  <si>
    <t>朱利安</t>
  </si>
  <si>
    <t>146.79</t>
  </si>
  <si>
    <t>章法論叢．第十二輯</t>
  </si>
  <si>
    <t>9789864782321</t>
  </si>
  <si>
    <t>中華民國章法學會，萬卷樓股份有限公司</t>
  </si>
  <si>
    <t>中國百年國難文學史（1840－1937）上冊</t>
  </si>
  <si>
    <t>9789864782413</t>
  </si>
  <si>
    <t>王向遠 等</t>
  </si>
  <si>
    <t>820.9</t>
  </si>
  <si>
    <t>9789864344499</t>
  </si>
  <si>
    <t>9789864344451</t>
  </si>
  <si>
    <t>隐蔽的水分配政治：以河北宋村为例</t>
  </si>
  <si>
    <t>9787520137553</t>
  </si>
  <si>
    <t>李华</t>
  </si>
  <si>
    <t>中国小说与传说在日本的传播与再创</t>
  </si>
  <si>
    <t>9787313183699</t>
  </si>
  <si>
    <t>吴伟明</t>
  </si>
  <si>
    <t>基于顾客策略型行为的预售策略研究</t>
  </si>
  <si>
    <t>9787313192219</t>
  </si>
  <si>
    <t>王叶峰</t>
  </si>
  <si>
    <t>遇見賽斯</t>
  </si>
  <si>
    <t>9789869792004</t>
  </si>
  <si>
    <t>親密關係：與伴侶身心靈共同成長的智慧</t>
  </si>
  <si>
    <t>9789869792011</t>
  </si>
  <si>
    <t>選擇：《個人實相的本質》讀書會3</t>
  </si>
  <si>
    <t>9789869792059</t>
  </si>
  <si>
    <t>不只是奇蹟：10位抗癌勇士的身心靈療癒與重生</t>
  </si>
  <si>
    <t>9789869713030</t>
  </si>
  <si>
    <t>王怡仁</t>
  </si>
  <si>
    <t>第一次學泰語，超簡單！ 【有聲】</t>
  </si>
  <si>
    <t>9789869496636</t>
  </si>
  <si>
    <t>803.758</t>
  </si>
  <si>
    <t>好聽力！用耳朵學日語：我的第一本聽力學習書【有聲】</t>
  </si>
  <si>
    <t>9789869628266</t>
  </si>
  <si>
    <t>药品生产质量管理</t>
  </si>
  <si>
    <t>9787562495581</t>
  </si>
  <si>
    <t>李存法，陈忠杰</t>
  </si>
  <si>
    <t>影视文化生态与传播范式：现象、案例与思考</t>
  </si>
  <si>
    <t>9787562496786</t>
  </si>
  <si>
    <t>刘彤，杨嫦君</t>
  </si>
  <si>
    <t>单平面准直线消能减震系统</t>
  </si>
  <si>
    <t>9787562944744</t>
  </si>
  <si>
    <t>武汉理工大学出版社有限责任公司</t>
  </si>
  <si>
    <t>高金贺</t>
  </si>
  <si>
    <t>土家织锦的文化生态与视觉艺术</t>
  </si>
  <si>
    <t>9787562948865</t>
  </si>
  <si>
    <t>叶洪光，冯泽民</t>
  </si>
  <si>
    <t>969</t>
  </si>
  <si>
    <t>反财务舞弊问题研究</t>
  </si>
  <si>
    <t>9787562950639</t>
  </si>
  <si>
    <t>李岚，夏迎锋，明洪盛</t>
  </si>
  <si>
    <t>供电企业安全文化建设探索</t>
  </si>
  <si>
    <t>9787562951391</t>
  </si>
  <si>
    <t>广东电网有限责任公司东莞供电局</t>
  </si>
  <si>
    <t>供电企业安全生产目标内控与评估</t>
  </si>
  <si>
    <t>9787562951407</t>
  </si>
  <si>
    <t>液压与气压传动</t>
  </si>
  <si>
    <t>9787562951872</t>
  </si>
  <si>
    <t>唐建生</t>
  </si>
  <si>
    <t>大数据时代的产品智能配置理论与方法</t>
  </si>
  <si>
    <t>9787562953791</t>
  </si>
  <si>
    <t>盛步云，萧筝，雷兵</t>
  </si>
  <si>
    <t>转子系统动力学基础与数值仿真</t>
  </si>
  <si>
    <t>9787562953814</t>
  </si>
  <si>
    <t>马辉，韩清凯，太兴宇，闻邦椿</t>
  </si>
  <si>
    <t>快速公交（BRT）运行基础理论及换乘关键技术研究</t>
  </si>
  <si>
    <t>9787562954194</t>
  </si>
  <si>
    <t>蔡志理</t>
  </si>
  <si>
    <t>糖机设备安装与维修</t>
  </si>
  <si>
    <t>9787562954866</t>
  </si>
  <si>
    <t>李曜</t>
  </si>
  <si>
    <t>463</t>
  </si>
  <si>
    <t>糖膏分蜜干燥与装包生产技术</t>
  </si>
  <si>
    <t>9787562954880</t>
  </si>
  <si>
    <t>杨才誉</t>
  </si>
  <si>
    <t>蔗汁清净生产技术</t>
  </si>
  <si>
    <t>9787562954897</t>
  </si>
  <si>
    <t>宁方尧</t>
  </si>
  <si>
    <t>蠕变渗流水化学作用的边坡稳定性分析</t>
  </si>
  <si>
    <t>9787562955771</t>
  </si>
  <si>
    <t>王军，罗章</t>
  </si>
  <si>
    <t>机械制造工程训练教程</t>
  </si>
  <si>
    <t>9787562956174</t>
  </si>
  <si>
    <t>张立红</t>
  </si>
  <si>
    <t>新型干法水泥生产工艺及设备图集</t>
  </si>
  <si>
    <t>9787562956457</t>
  </si>
  <si>
    <t>彭宝利</t>
  </si>
  <si>
    <t>473</t>
  </si>
  <si>
    <t>机械装置的光纤光栅动态检测技术及应用</t>
  </si>
  <si>
    <t>9787562956839</t>
  </si>
  <si>
    <t>谭跃刚，洪流</t>
  </si>
  <si>
    <t>太阳电池：从理论基础到技术应用</t>
  </si>
  <si>
    <t>9787562957102</t>
  </si>
  <si>
    <t>陈凤翔，汪礼胜，赵占霞</t>
  </si>
  <si>
    <t>336</t>
  </si>
  <si>
    <t>CFRP加固混凝土梁界面特性研究的新方法</t>
  </si>
  <si>
    <t>9787562957263</t>
  </si>
  <si>
    <t>任振华，曾宪桃</t>
  </si>
  <si>
    <t>超长深埋隧道TBM掘进成套技术</t>
  </si>
  <si>
    <t>9787562957294</t>
  </si>
  <si>
    <t>中铁十一局集团第五工程有限公司编委会</t>
  </si>
  <si>
    <t>船史研究</t>
  </si>
  <si>
    <t>9787562957607</t>
  </si>
  <si>
    <t>中国造船工程学会船史研究学术委员会</t>
  </si>
  <si>
    <t>444</t>
  </si>
  <si>
    <t>建设工程法规</t>
  </si>
  <si>
    <t>9787562957775</t>
  </si>
  <si>
    <t>曹岁新</t>
  </si>
  <si>
    <t>水泥装备巡检技术</t>
  </si>
  <si>
    <t>9787562957843</t>
  </si>
  <si>
    <t>常健</t>
  </si>
  <si>
    <t>基于知识生态理论的企业竞合关系对知识流动效率的影响研究</t>
  </si>
  <si>
    <t>9787562957942</t>
  </si>
  <si>
    <t>谢守美，郑启玮</t>
  </si>
  <si>
    <t>防水处理对开裂及未开裂混凝土氯离子侵蚀的影响</t>
  </si>
  <si>
    <t>9787562957973</t>
  </si>
  <si>
    <t>郭平功，朱桂红</t>
  </si>
  <si>
    <t>水泥生产工艺与装备</t>
  </si>
  <si>
    <t>9787562958789</t>
  </si>
  <si>
    <t>任继明，李昌革</t>
  </si>
  <si>
    <t>1秒開口說：我的第一本印尼語會話【有聲】</t>
  </si>
  <si>
    <t>9789869550376</t>
  </si>
  <si>
    <t>張小怡，SARILASMINI</t>
  </si>
  <si>
    <t>803.9119</t>
  </si>
  <si>
    <t>金色證書：新制TOEIC聽力、閱讀、文法【有聲】</t>
  </si>
  <si>
    <t>9789869550383</t>
  </si>
  <si>
    <t>我是職業經理人</t>
  </si>
  <si>
    <t>9789575925178</t>
  </si>
  <si>
    <t>謝日暉</t>
  </si>
  <si>
    <t>四旋翼無人飛行器設計</t>
  </si>
  <si>
    <t>9789576810664</t>
  </si>
  <si>
    <t>馮新宇，范紅剛，辛亮</t>
  </si>
  <si>
    <t>447.61</t>
  </si>
  <si>
    <t>大數據：從基礎理論到最佳實踐</t>
  </si>
  <si>
    <t>9789576811210</t>
  </si>
  <si>
    <t>祁偉</t>
  </si>
  <si>
    <t>312.7565</t>
  </si>
  <si>
    <t>實用有趣的C語言程序</t>
  </si>
  <si>
    <t>9789576811890</t>
  </si>
  <si>
    <t>杜樹春</t>
  </si>
  <si>
    <t>Hadoop構建資料倉庫實踐</t>
  </si>
  <si>
    <t>9789576812286</t>
  </si>
  <si>
    <t>王雪迎</t>
  </si>
  <si>
    <t>數字陷阱</t>
  </si>
  <si>
    <t>9789576812347</t>
  </si>
  <si>
    <t>李凱</t>
  </si>
  <si>
    <t>飛天與浪漫宇宙</t>
  </si>
  <si>
    <t>9789576812903</t>
  </si>
  <si>
    <t>周立軍</t>
  </si>
  <si>
    <t>326</t>
  </si>
  <si>
    <t>大數據偵查</t>
  </si>
  <si>
    <t>9789576814051</t>
  </si>
  <si>
    <t>王燃</t>
  </si>
  <si>
    <t>數據革命：大數據價值實現方法、技術與案例</t>
  </si>
  <si>
    <t>9789576814211</t>
  </si>
  <si>
    <t>范煜</t>
  </si>
  <si>
    <t>區塊鏈實戰</t>
  </si>
  <si>
    <t>9789576819032</t>
  </si>
  <si>
    <t>吳為</t>
  </si>
  <si>
    <t>機器學習：從公理到算法</t>
  </si>
  <si>
    <t>9789576819308</t>
  </si>
  <si>
    <t>于劍</t>
  </si>
  <si>
    <t>揭秘：物聯網原理、實踐與解決方案</t>
  </si>
  <si>
    <t>9789865160036</t>
  </si>
  <si>
    <t>周晨光</t>
  </si>
  <si>
    <t>VR新秩序：虛擬實境的商業模式與產業趨勢</t>
  </si>
  <si>
    <t>9789865160067</t>
  </si>
  <si>
    <t>甘開全</t>
  </si>
  <si>
    <t>Tableau數據視覺化從入門到精通</t>
  </si>
  <si>
    <t>9789865163488</t>
  </si>
  <si>
    <t>王國平</t>
  </si>
  <si>
    <t>大數據：從海量到精準</t>
  </si>
  <si>
    <t>9789865163891</t>
  </si>
  <si>
    <t>李軍</t>
  </si>
  <si>
    <t>思維訓練啟蒙新觀念：青少年Pascal程式語言設計搶先起跑一路通</t>
  </si>
  <si>
    <t>9789865163907</t>
  </si>
  <si>
    <t>江士方</t>
  </si>
  <si>
    <t>互聯網＋：產業風口與案例分析</t>
  </si>
  <si>
    <t>9789865163945</t>
  </si>
  <si>
    <t>《銷售與市場》雜誌社</t>
  </si>
  <si>
    <t>精通Scrapy網路爬蟲</t>
  </si>
  <si>
    <t>9789865163952</t>
  </si>
  <si>
    <t>劉碩</t>
  </si>
  <si>
    <t>互聯網＋：傳統企業轉型</t>
  </si>
  <si>
    <t>9789865163976</t>
  </si>
  <si>
    <t>數據不說謊：大數據之下的世界</t>
  </si>
  <si>
    <t>9789869650755</t>
  </si>
  <si>
    <t>城市數據團</t>
  </si>
  <si>
    <t>儒家视阈中的越南汉文小说研究</t>
  </si>
  <si>
    <t>9787520132657</t>
  </si>
  <si>
    <t>朱洁</t>
  </si>
  <si>
    <t>許醫師諮商現場</t>
  </si>
  <si>
    <t>9789866436994</t>
  </si>
  <si>
    <t>美國留學會話：申請學校、校園英文、實用資訊—EZ TALK 總編嚴選特刊【有聲】</t>
  </si>
  <si>
    <t>9789862488768</t>
  </si>
  <si>
    <t>EZ TALK編輯部，Judd Piggott</t>
  </si>
  <si>
    <t>提姆．庫克：從「不同凡想」到「兆元企業」，帶領蘋果再創新高峰</t>
  </si>
  <si>
    <t>9789862488751</t>
  </si>
  <si>
    <t>利安德．凱尼（Leander Kahney）</t>
  </si>
  <si>
    <t>女子力不是溫柔，是戰鬥：再簡單的小日子，也需要挺身前進！【有聲】</t>
  </si>
  <si>
    <t>9789862488799</t>
  </si>
  <si>
    <t>劉冠吟</t>
  </si>
  <si>
    <t>日本歷史名人：Nippon所藏日語嚴選講座【有聲】</t>
  </si>
  <si>
    <t>9789862488805</t>
  </si>
  <si>
    <t>EZ Japan編輯部</t>
  </si>
  <si>
    <t>New TOEIC新制多益閱讀搶分寶典【有聲】</t>
  </si>
  <si>
    <t>9789862488881</t>
  </si>
  <si>
    <t>神崎正哉，TEX加藤，Daniel Warriner</t>
  </si>
  <si>
    <t>阿里巴巴人才管理聖經：招聘開除╳建設團隊╳獲得成果，即學即用的三板斧選人育才術</t>
  </si>
  <si>
    <t>9789862488812</t>
  </si>
  <si>
    <t>王建和</t>
  </si>
  <si>
    <t>490.29</t>
  </si>
  <si>
    <t>財商教養學，帶孩子玩出FQ力：5歲起，從3個小豬公學會延遲享樂、控制欲望、有同理心，成為負責的大人</t>
  </si>
  <si>
    <t>9789862488867</t>
  </si>
  <si>
    <t>張森凱（Brian）</t>
  </si>
  <si>
    <t>腦內心機：從催眠、安慰劑和虛假記憶揭開大腦自我暗示的祕密</t>
  </si>
  <si>
    <t>9789578722309</t>
  </si>
  <si>
    <t>大石國際文化有限公司</t>
  </si>
  <si>
    <t>艾瑞克．文斯</t>
  </si>
  <si>
    <t>172.4</t>
  </si>
  <si>
    <t>臺灣飲食文學簡史（1980～2020）</t>
  </si>
  <si>
    <t>9789869827225</t>
  </si>
  <si>
    <t>王皖佳</t>
  </si>
  <si>
    <t>「好厲害！」準備的技術：成功的關鍵，「才能」只占10%，其餘就憑準備。日本金牌電視製作人打動大老闆、客戶與觀眾的祕技</t>
  </si>
  <si>
    <t>9789579654685</t>
  </si>
  <si>
    <t>栗原甚</t>
  </si>
  <si>
    <t>手起刀落：外科醫療史－神之手與屠夫的完美結合，外科史上最具意義的 28 檯刀。</t>
  </si>
  <si>
    <t>9789579654814</t>
  </si>
  <si>
    <t>阿諾德．范德拉爾</t>
  </si>
  <si>
    <t>416.09</t>
  </si>
  <si>
    <t>日本人不說但外國人一定要懂的禮儀：用筷有十八禁忌、送禮最好附熨斗？七百年歷史的禮儀宗家告訴你，連陌生人看了也按讚的舉止。</t>
  </si>
  <si>
    <t>9789579654692</t>
  </si>
  <si>
    <t>小笠原敬承斎</t>
  </si>
  <si>
    <t>538.831</t>
  </si>
  <si>
    <t>我不管，我就是要開咖啡店：我浪漫的開了一家賺錢的咖啡店，十年功力，毫無保留告訴你。</t>
  </si>
  <si>
    <t>9789579654630</t>
  </si>
  <si>
    <t>童鈴</t>
  </si>
  <si>
    <t>991.7</t>
  </si>
  <si>
    <t>從裝懂到聽懂，現代音樂簡史：爵士、藍調、民謠、搖滾、龐克、嘻哈……生活中總是沒人理解你，但你一定能找到一種音樂懂自己。</t>
  </si>
  <si>
    <t>9789579654722</t>
  </si>
  <si>
    <t>王碩，儲智勇</t>
  </si>
  <si>
    <t>910.9404</t>
  </si>
  <si>
    <t>暗黑民國史：兩岸歷史課本刻意迴避的空白30年</t>
  </si>
  <si>
    <t>9789579654791</t>
  </si>
  <si>
    <t>余杰</t>
  </si>
  <si>
    <t>628.26</t>
  </si>
  <si>
    <t>辣木的奇蹟：流傳五千年的超級食物，醫學實證，降血糖、血壓、尿酸，富含鈣、鐵、多酚……92 種營養素、不愛吃蔬菜者的最佳補充品。</t>
  </si>
  <si>
    <t>9789579654739</t>
  </si>
  <si>
    <t>大山知春</t>
  </si>
  <si>
    <t>414.34</t>
  </si>
  <si>
    <t>醫生強烈建議你買的保險：醫療險、癌症險、意外險、長照險⋯⋯買什麼險才真正有保障？突破業務員暗黑話術，靠自己買對保險</t>
  </si>
  <si>
    <t>9789579654524</t>
  </si>
  <si>
    <t>後田亨，永田宏</t>
  </si>
  <si>
    <t>寶可孟刷卡賺錢祕笈：小資族靠信用卡加薪100％，理財達人賴孟群示範，讓刷出去的錢自己跑回來。</t>
  </si>
  <si>
    <t>9789579654746</t>
  </si>
  <si>
    <t>寶可孟（賴孟群）</t>
  </si>
  <si>
    <t>中国当代文学作品精选（第三版）</t>
  </si>
  <si>
    <t>9787301242186</t>
  </si>
  <si>
    <t>北京大学出版社有限公司</t>
  </si>
  <si>
    <t>谢冕，洪子诚</t>
  </si>
  <si>
    <t>社会变迁中的刑法发展</t>
  </si>
  <si>
    <t>9787520137584</t>
  </si>
  <si>
    <t>刘仁文</t>
  </si>
  <si>
    <t>古老行業：三百六十行由來發展</t>
  </si>
  <si>
    <t>9789865161347</t>
  </si>
  <si>
    <t>蒲永平</t>
  </si>
  <si>
    <t>542.792</t>
  </si>
  <si>
    <t>O2O這樣玩：行業生態與實戰案例</t>
  </si>
  <si>
    <t>9789865163914</t>
  </si>
  <si>
    <t>亞熱帶花園：陶博╳故宮聯合彩繪陶瓷特展</t>
  </si>
  <si>
    <t>9789865413545</t>
  </si>
  <si>
    <t>新北市立鶯歌陶瓷博物館</t>
  </si>
  <si>
    <t>吳秀慈</t>
  </si>
  <si>
    <t>938</t>
  </si>
  <si>
    <t>古文观止译注（修订本）</t>
  </si>
  <si>
    <t>9787301290781</t>
  </si>
  <si>
    <t>阴法鲁</t>
  </si>
  <si>
    <t>中国小说小史</t>
  </si>
  <si>
    <t>9787301297728</t>
  </si>
  <si>
    <t>陈平原</t>
  </si>
  <si>
    <t>蝉蜕：晚清大变局中的经学家</t>
  </si>
  <si>
    <t>9787301299074</t>
  </si>
  <si>
    <t>胡小远，陈小萍</t>
  </si>
  <si>
    <t>翻译矛盾疏解</t>
  </si>
  <si>
    <t>9787301303252</t>
  </si>
  <si>
    <t>陈卫斌</t>
  </si>
  <si>
    <t>陶渊明经纬</t>
  </si>
  <si>
    <t>9787301307151</t>
  </si>
  <si>
    <t>钱志熙</t>
  </si>
  <si>
    <t>区块链金融：技术变革重塑金融未来</t>
  </si>
  <si>
    <t>9787301308356</t>
  </si>
  <si>
    <t>刘洋</t>
  </si>
  <si>
    <t>音韵学教程（第五版）</t>
  </si>
  <si>
    <t>9787301270974</t>
  </si>
  <si>
    <t>唐作藩</t>
  </si>
  <si>
    <t>中国散文小史</t>
  </si>
  <si>
    <t>9787301297711</t>
  </si>
  <si>
    <t>物权法之经济分析：所有权</t>
  </si>
  <si>
    <t>9787301301524</t>
  </si>
  <si>
    <t>张永健</t>
  </si>
  <si>
    <t>20世纪中国文学史研究观念的演变</t>
  </si>
  <si>
    <t>9787301301883</t>
  </si>
  <si>
    <t>蒋原伦</t>
  </si>
  <si>
    <t>物权法的变革与完善</t>
  </si>
  <si>
    <t>9787301304327</t>
  </si>
  <si>
    <t>房绍坤</t>
  </si>
  <si>
    <t>自由意志与普遍规范：黑格尔法哲学研究</t>
  </si>
  <si>
    <t>9787301304341</t>
  </si>
  <si>
    <t>李育书</t>
  </si>
  <si>
    <t>媽祖婆靈聖：從傳說、名詞與重要媽祖廟認識台灣第一女神</t>
  </si>
  <si>
    <t>9789578019102</t>
  </si>
  <si>
    <t>林美容</t>
  </si>
  <si>
    <t>272.71</t>
  </si>
  <si>
    <t>46：1949白色恐怖的濫觴</t>
  </si>
  <si>
    <t>9789578019058</t>
  </si>
  <si>
    <t>世界柔軟影像公司</t>
  </si>
  <si>
    <t>733.2923</t>
  </si>
  <si>
    <t>我的媽呀！林小姐：寶島神很大帶你認識粉絲最多的女神</t>
  </si>
  <si>
    <t>9789578019119</t>
  </si>
  <si>
    <t>三立電視</t>
  </si>
  <si>
    <t>世界最神奇的心靈課</t>
  </si>
  <si>
    <t>9789869908276</t>
  </si>
  <si>
    <t>（美）查爾斯．哈奈爾</t>
  </si>
  <si>
    <t>黏力，把你有價值的想法，讓人一輩子都記住！：連國家領導人都適用的設計行為學</t>
  </si>
  <si>
    <t>9789869851381</t>
  </si>
  <si>
    <t>奇普．希思，丹．希思</t>
  </si>
  <si>
    <t>窮理查年鑑（最完整收錄版）：地表最賣的格言智慧，和《聖經》一樣歷久不衰！</t>
  </si>
  <si>
    <t>9789869893817</t>
  </si>
  <si>
    <t>班傑明‧富蘭克林</t>
  </si>
  <si>
    <t>古今擇日</t>
  </si>
  <si>
    <t>9789577858870</t>
  </si>
  <si>
    <t>瑞成書局</t>
  </si>
  <si>
    <t>郭芬鈴</t>
  </si>
  <si>
    <t>293.4</t>
  </si>
  <si>
    <t>做禪</t>
  </si>
  <si>
    <t>9789577858931</t>
  </si>
  <si>
    <t>楓濤，軍韜</t>
  </si>
  <si>
    <t>台灣胸腔醫學史</t>
  </si>
  <si>
    <t>9789869714037</t>
  </si>
  <si>
    <t>記憶工程股份有限公司</t>
  </si>
  <si>
    <t>盧忻謐，陳妤嘉，蔡篤</t>
  </si>
  <si>
    <t>410.933</t>
  </si>
  <si>
    <t>港產片真巴閉</t>
  </si>
  <si>
    <t>9789674191955</t>
  </si>
  <si>
    <t>區紹熙</t>
  </si>
  <si>
    <t>牆國誌：中國如何控制網路</t>
  </si>
  <si>
    <t>9789869762786</t>
  </si>
  <si>
    <t>詹姆斯．格里菲斯</t>
  </si>
  <si>
    <t>輕鬆學會日本話．五十音篇【有聲】</t>
  </si>
  <si>
    <t>9789579579933</t>
  </si>
  <si>
    <t>朱讌欣，田中浩志</t>
  </si>
  <si>
    <t>輕鬆學會日本話．進階篇【有聲】</t>
  </si>
  <si>
    <t>9789579579940</t>
  </si>
  <si>
    <t>茶堂懷錄</t>
  </si>
  <si>
    <t>9789869786133</t>
  </si>
  <si>
    <t>善聞文化創意有限公司</t>
  </si>
  <si>
    <t>冷戰後核武的角色與威脅</t>
  </si>
  <si>
    <t>9789869867528</t>
  </si>
  <si>
    <t>陳世民</t>
  </si>
  <si>
    <t>595.76</t>
  </si>
  <si>
    <t>B2B業務關鍵客戶經營地圖：一張A4紙，五大關鍵思考，客戶從此不亂殺價不砍單，搶著跟你做生意。</t>
  </si>
  <si>
    <t>9789579654838</t>
  </si>
  <si>
    <t>吳育宏</t>
  </si>
  <si>
    <t>人生很難你可以不必假裝強大：解憂診療室，芸芸眾生苦，42個你會遇到的心理諮詢案例－孤獨、創傷、背叛、渴望愛與厭世。</t>
  </si>
  <si>
    <t>9789579654852</t>
  </si>
  <si>
    <t>王璽</t>
  </si>
  <si>
    <t>當你孤獨時，你能做些什麼：它能成就一個人，也能毀掉一個人，你屬於哪一種？</t>
  </si>
  <si>
    <t>9789869858922</t>
  </si>
  <si>
    <t>夏至</t>
  </si>
  <si>
    <t>羅右宸看屋學：我這樣找「跌過頭」的房子，替自己、幫別人買到300間房</t>
  </si>
  <si>
    <t>9789579164641</t>
  </si>
  <si>
    <t>羅右宸</t>
  </si>
  <si>
    <t>狂飆一夢：台灣民主化與沒有歷史的人</t>
  </si>
  <si>
    <t>9789574371396</t>
  </si>
  <si>
    <t>廖建華影像工作室</t>
  </si>
  <si>
    <t>廖建華，何孟樺</t>
  </si>
  <si>
    <t>733.2929</t>
  </si>
  <si>
    <t>對你身體好的微醣烘焙：無糖、無澱粉！六十道餅乾、蛋糕及塔派</t>
  </si>
  <si>
    <t>9789863711964</t>
  </si>
  <si>
    <t>卓金燁</t>
  </si>
  <si>
    <t>黑面蔡媽媽的15分精準練肌操</t>
  </si>
  <si>
    <t>9789863712077</t>
  </si>
  <si>
    <t>黑面蔡媽媽</t>
  </si>
  <si>
    <t>社交心理和溝通技巧的必讀聖經</t>
  </si>
  <si>
    <t>9789869799003</t>
  </si>
  <si>
    <t>（美）戴爾．卡耐基</t>
  </si>
  <si>
    <t>在喧囂浮華年代，這些定律最有價值</t>
  </si>
  <si>
    <t>9789869799041</t>
  </si>
  <si>
    <t>老年人的生活世界：看開、放下、認真過生活</t>
  </si>
  <si>
    <t>9789869799072</t>
  </si>
  <si>
    <t>如何吸引人：左右逢源的說話藝術</t>
  </si>
  <si>
    <t>9789869799096</t>
  </si>
  <si>
    <t>陳建忠</t>
  </si>
  <si>
    <t>跟君子有約：在全球化風險中找出路</t>
  </si>
  <si>
    <t>9789869831321</t>
  </si>
  <si>
    <t>小材大用常見食材：蔥、薑、蒜、韭、醋、茶</t>
  </si>
  <si>
    <t>9789869831338</t>
  </si>
  <si>
    <t>張耀庭醫師</t>
  </si>
  <si>
    <t>概念的历史分量</t>
  </si>
  <si>
    <t>9787301302439</t>
  </si>
  <si>
    <t>方维规</t>
  </si>
  <si>
    <t>減重教授的私房課：99．9％成功的瘦身祕笈</t>
  </si>
  <si>
    <t>9789863589167</t>
  </si>
  <si>
    <t>蔡明憲</t>
  </si>
  <si>
    <t>業績翻倍！Facebook＋Instagram超強雙效集客行銷術：社群精準鎖定．廣告強力曝光．深度鐵粉經營．觸及成效分析</t>
  </si>
  <si>
    <t>9789864343935</t>
  </si>
  <si>
    <t>0門檻！0負擔！9天秒懂大數據＆AI用語</t>
  </si>
  <si>
    <t>9789864343959</t>
  </si>
  <si>
    <t>張孟駸</t>
  </si>
  <si>
    <t>312.04</t>
  </si>
  <si>
    <t>電腦軟體應用丙級技能檢定：術科解題實作．109年試題完整版</t>
  </si>
  <si>
    <t>9789864344185</t>
  </si>
  <si>
    <t>贏在起跑點！FB＋IG＋LINE社群媒體操作經營活用術：12堂一定要懂的聚客利基，提升精準行銷爆發力</t>
  </si>
  <si>
    <t>9789864344666</t>
  </si>
  <si>
    <t>區塊鏈：不可不知的金融大未來</t>
  </si>
  <si>
    <t>9789864344697</t>
  </si>
  <si>
    <t>陳根</t>
  </si>
  <si>
    <t>Facebook互動行銷：社群微型創業經營夯＋廣告成效好還要更好，做好臉書行銷第一步，基本功／便利技都在這！</t>
  </si>
  <si>
    <t>9789864344772</t>
  </si>
  <si>
    <t>網路行銷：8堂一點就通的基礎活用課</t>
  </si>
  <si>
    <t>9789864344833</t>
  </si>
  <si>
    <t>最新！日本人天天說生活日語【有聲】</t>
  </si>
  <si>
    <t>9789869834032</t>
  </si>
  <si>
    <t>好用！暢銷！用中文說美國話【有聲】</t>
  </si>
  <si>
    <t>9789869834056</t>
  </si>
  <si>
    <t>法學大意：看這本就夠了</t>
  </si>
  <si>
    <t>9789864879977</t>
  </si>
  <si>
    <t>9789864879946</t>
  </si>
  <si>
    <t>朱華聆，郝強</t>
  </si>
  <si>
    <t>公民：看這本就夠了</t>
  </si>
  <si>
    <t>9789864879908</t>
  </si>
  <si>
    <t>行政學大意焦點速成</t>
  </si>
  <si>
    <t>9789865200008</t>
  </si>
  <si>
    <t>9789865200060</t>
  </si>
  <si>
    <t>紀相</t>
  </si>
  <si>
    <t>LIFO優勢管理：扭轉人生到管理用人的最強煉金術</t>
  </si>
  <si>
    <t>9789579889926</t>
  </si>
  <si>
    <t>世台管理顧問公司</t>
  </si>
  <si>
    <t>陳子良，柯嘉雯</t>
  </si>
  <si>
    <t>贏在人生的終點：選擇在職進修，走一條風景不同的人生道路</t>
  </si>
  <si>
    <t>9789863589617</t>
  </si>
  <si>
    <t>鐘志明</t>
  </si>
  <si>
    <t>母子鐵道迷的旅行日誌</t>
  </si>
  <si>
    <t>9789863589662</t>
  </si>
  <si>
    <t>周筱瀠</t>
  </si>
  <si>
    <t>職能治療師泰迪的42道教養心法：解決爸媽棘手育兒難題</t>
  </si>
  <si>
    <t>9789869760638</t>
  </si>
  <si>
    <t>周晉逸</t>
  </si>
  <si>
    <t>428.8</t>
  </si>
  <si>
    <t>復原重生吧！里山．里地．里海</t>
  </si>
  <si>
    <t>9789869808422</t>
  </si>
  <si>
    <t>重松敏則 等</t>
  </si>
  <si>
    <t>暢然存在：進入朱利安的思想</t>
  </si>
  <si>
    <t>9789869808453</t>
  </si>
  <si>
    <t>卓立</t>
  </si>
  <si>
    <t>論真生活</t>
  </si>
  <si>
    <t>9789869808446</t>
  </si>
  <si>
    <t>美食中華：八大菜系與文化內涵</t>
  </si>
  <si>
    <t>9789865161699</t>
  </si>
  <si>
    <t>錢佳欣</t>
  </si>
  <si>
    <t>538.782</t>
  </si>
  <si>
    <t>數位科技</t>
  </si>
  <si>
    <t>9789869882514_01</t>
  </si>
  <si>
    <t>史蒂芬</t>
  </si>
  <si>
    <t>專案管理</t>
  </si>
  <si>
    <t>9789574548446_02</t>
  </si>
  <si>
    <t>林清知</t>
  </si>
  <si>
    <t>南方從來不下雪</t>
  </si>
  <si>
    <t>9789869817028</t>
  </si>
  <si>
    <t>陳育萱</t>
  </si>
  <si>
    <t>张文宏教授支招防控新型冠状病毒</t>
  </si>
  <si>
    <t>9787547847862</t>
  </si>
  <si>
    <t>张文宏</t>
  </si>
  <si>
    <t>412</t>
  </si>
  <si>
    <t>也許生命沒有一種絕對：走向世界盡頭的1460天</t>
  </si>
  <si>
    <t>9789869760645</t>
  </si>
  <si>
    <t>康康（許恆康）</t>
  </si>
  <si>
    <t>36堂日語會話課 : 簡單輕鬆說日語</t>
  </si>
  <si>
    <t>9789862284483</t>
  </si>
  <si>
    <t>鄧雪梅，汪麗娟</t>
  </si>
  <si>
    <t>萬用700英語慣用片語</t>
  </si>
  <si>
    <t>9789862284537</t>
  </si>
  <si>
    <t>漢宇語言教學群</t>
  </si>
  <si>
    <t>整理情緒背包，激發前進的勇氣</t>
  </si>
  <si>
    <t>9789863710844</t>
  </si>
  <si>
    <t>薇薇安‧狄特瑪（Vivian Dittmar）</t>
  </si>
  <si>
    <t>個性風綠植星球： 多肉植物．空氣鳳梨．食蟲植物．熱帶植物．水苔．養護搭配技巧╳25種設計主題完全解析</t>
  </si>
  <si>
    <t>9789863711759</t>
  </si>
  <si>
    <t>梅根‧喬治</t>
  </si>
  <si>
    <t>435.48</t>
  </si>
  <si>
    <t>遠離病毒，健康加護！還好早知道的小兒科保健室</t>
  </si>
  <si>
    <t>9789863712060</t>
  </si>
  <si>
    <t>明橋大二，吉崎達郎 等</t>
  </si>
  <si>
    <t>417.5</t>
  </si>
  <si>
    <t>夏洛克‧福爾摩斯大全集</t>
  </si>
  <si>
    <t>9789863712138</t>
  </si>
  <si>
    <t>亞瑟‧柯南‧道爾</t>
  </si>
  <si>
    <t>家庭真验方：一点就通的救急穴位疗法</t>
  </si>
  <si>
    <t>9787547840337</t>
  </si>
  <si>
    <t>王启才</t>
  </si>
  <si>
    <t>推拿功法学（第2版）</t>
  </si>
  <si>
    <t>9787547844359</t>
  </si>
  <si>
    <t>李江山，姚斐</t>
  </si>
  <si>
    <t>朱凌云随诊医话</t>
  </si>
  <si>
    <t>9787547845509</t>
  </si>
  <si>
    <t>杨芸峰，朱凌云</t>
  </si>
  <si>
    <t>信任生命的動力</t>
  </si>
  <si>
    <t>9789869792073</t>
  </si>
  <si>
    <t>老實上班，你會憂鬱到睡不著：成功人士說不出口的「變優秀」方法，讓你輕鬆面對每個工作天</t>
  </si>
  <si>
    <t>9789579654869</t>
  </si>
  <si>
    <t>樹液太郎</t>
  </si>
  <si>
    <t>華僑致富的奧義：一生不受錢所苦、富過三代的賺錢法則，盡得華僑真傳的日本富商大方分享。</t>
  </si>
  <si>
    <t>9789579654920</t>
  </si>
  <si>
    <t>大城太</t>
  </si>
  <si>
    <t>生命中的美好陪伴：看不見的單親爸爸與亞斯伯格兒子（增訂版）</t>
  </si>
  <si>
    <t>9789579528566</t>
  </si>
  <si>
    <t>黃建興</t>
  </si>
  <si>
    <t>黄振翘内科学术经验集</t>
  </si>
  <si>
    <t>9787547846209</t>
  </si>
  <si>
    <t>周韶虹</t>
  </si>
  <si>
    <t>抗疫．安心：大疫心理自助救援全民读本</t>
  </si>
  <si>
    <t>9787547847879</t>
  </si>
  <si>
    <t>赵旭东，刘中民</t>
  </si>
  <si>
    <t>跟师笔记：名老中医畅达汤方辨治疑难症</t>
  </si>
  <si>
    <t>9787547848227</t>
  </si>
  <si>
    <t>戴海青</t>
  </si>
  <si>
    <t>海派儿科推拿：源流传承</t>
  </si>
  <si>
    <t>9787547836088</t>
  </si>
  <si>
    <t>蒋诗超，陈志伟</t>
  </si>
  <si>
    <t>海派儿科推拿：常用手法</t>
  </si>
  <si>
    <t>9787547836101</t>
  </si>
  <si>
    <t>程波</t>
  </si>
  <si>
    <t>海派儿科推拿：常见病症</t>
  </si>
  <si>
    <t>9787547836354</t>
  </si>
  <si>
    <t>王成</t>
  </si>
  <si>
    <t>海派儿科推拿：保健套路</t>
  </si>
  <si>
    <t>9787547836361</t>
  </si>
  <si>
    <t>张昊</t>
  </si>
  <si>
    <t>海派儿科推拿：妈妈手记</t>
  </si>
  <si>
    <t>9787547836378</t>
  </si>
  <si>
    <t>高怡琳</t>
  </si>
  <si>
    <t>人工智慧運用在智慧製造領域重點專利佈局：比較台灣廠商及世界標竿廠商為例</t>
  </si>
  <si>
    <t>9789576192838</t>
  </si>
  <si>
    <t>財團法人國家實驗研究院科技政策研究與資訊中心</t>
  </si>
  <si>
    <t>樊晉源</t>
  </si>
  <si>
    <t>403</t>
  </si>
  <si>
    <t>人工智慧運用在製造領域之重點專利組合可能性分析</t>
  </si>
  <si>
    <t>9789576192883</t>
  </si>
  <si>
    <t>樊晉源，王惠瑜</t>
  </si>
  <si>
    <t>臺灣與全球之人工智慧專利優勢比較分析</t>
  </si>
  <si>
    <t>9789576192906</t>
  </si>
  <si>
    <t>葉席吟，王惠瑜，張小玫</t>
  </si>
  <si>
    <t>我国社会主义初级阶段基本经济制度</t>
  </si>
  <si>
    <t>9787509765531</t>
  </si>
  <si>
    <t>樊建新</t>
  </si>
  <si>
    <t>苏联共产党意识形态工作的教训</t>
  </si>
  <si>
    <t>9787520121101</t>
  </si>
  <si>
    <t>张树华</t>
  </si>
  <si>
    <t>深度学习与医学大数据</t>
  </si>
  <si>
    <t>9787547845264</t>
  </si>
  <si>
    <t>乔霓丹</t>
  </si>
  <si>
    <t>新生死學：生命與關懷</t>
  </si>
  <si>
    <t>9789862983416</t>
  </si>
  <si>
    <t>鈕則誠</t>
  </si>
  <si>
    <t>197.07</t>
  </si>
  <si>
    <t>理財就是理生活：90％以上的人對前途迷茫，本書用「錢」的角度給你人生答案，超過四百萬人付費學習的FIRE課程</t>
  </si>
  <si>
    <t>9789579654890</t>
  </si>
  <si>
    <t>水湄物語</t>
  </si>
  <si>
    <t>马克思的社会主义观</t>
  </si>
  <si>
    <t>9787520121651</t>
  </si>
  <si>
    <t>石镇平</t>
  </si>
  <si>
    <t>马克思主义与全面依法治国</t>
  </si>
  <si>
    <t>9787520122511</t>
  </si>
  <si>
    <t>王广</t>
  </si>
  <si>
    <t>《资本论》与社会主义建设</t>
  </si>
  <si>
    <t>9787520122863</t>
  </si>
  <si>
    <t>程恩富，段学慧</t>
  </si>
  <si>
    <t>同历史虚无主义思潮斗争的有力思想武器</t>
  </si>
  <si>
    <t>9787520122962</t>
  </si>
  <si>
    <t>朱佳木</t>
  </si>
  <si>
    <t>谈谈列宁主义</t>
  </si>
  <si>
    <t>9787520123846</t>
  </si>
  <si>
    <t>层林尽染：记我的五十载医学教育生涯</t>
  </si>
  <si>
    <t>9787547845851</t>
  </si>
  <si>
    <t>施榕</t>
  </si>
  <si>
    <t>新型冠状病毒肺炎：医用防护装备所致皮肤问题及皮肤病防治原则</t>
  </si>
  <si>
    <t>9787547847916</t>
  </si>
  <si>
    <t>邹先彪</t>
  </si>
  <si>
    <t>影像世界：過去現在與未來</t>
  </si>
  <si>
    <t>9789888479474</t>
  </si>
  <si>
    <t>曉龍</t>
  </si>
  <si>
    <t>新日本語試驗N5文法問題集</t>
  </si>
  <si>
    <t>9789869899406</t>
  </si>
  <si>
    <t>江山文化社</t>
  </si>
  <si>
    <t>若葉</t>
  </si>
  <si>
    <t>9789869899475</t>
  </si>
  <si>
    <t>新日本語能力試驗N4文法及讀解問題集</t>
  </si>
  <si>
    <t>9789869899444</t>
  </si>
  <si>
    <t>新日本語能力試驗N4文字語彙問題集</t>
  </si>
  <si>
    <t>9789869899468</t>
  </si>
  <si>
    <t>新日本語能力試驗N3文法及讀解問題集</t>
  </si>
  <si>
    <t>9789869899420</t>
  </si>
  <si>
    <t>新日本語能力試驗N3文字語彙問題集</t>
  </si>
  <si>
    <t>9789869899413</t>
  </si>
  <si>
    <t>新日本語能力試驗N2文法問題集</t>
  </si>
  <si>
    <t>9789869899437</t>
  </si>
  <si>
    <t>新日本語能力試驗N2文法整理集</t>
  </si>
  <si>
    <t>9789869899451</t>
  </si>
  <si>
    <t>新日本語能力試驗N1文字語彙問題集</t>
  </si>
  <si>
    <t>9789869899499</t>
  </si>
  <si>
    <t>新日本語能力試驗N1文法整理集</t>
  </si>
  <si>
    <t>9789869899482</t>
  </si>
  <si>
    <t>鉴古诗．品药膳</t>
  </si>
  <si>
    <t>9787547843864</t>
  </si>
  <si>
    <t>王恒苍，吴培</t>
  </si>
  <si>
    <t>機械力學（歷年試題＋模擬考）</t>
  </si>
  <si>
    <t>9789865200374</t>
  </si>
  <si>
    <t>湯齊，杜主</t>
  </si>
  <si>
    <t>身心壓力多大，聽心跳頻率就知道：梁恆彰醫師四招處理自律神經失調造成的身心症狀</t>
  </si>
  <si>
    <t>9789579528818</t>
  </si>
  <si>
    <t>梁恆彰</t>
  </si>
  <si>
    <t>176.54</t>
  </si>
  <si>
    <t>美．中．台之大對決</t>
  </si>
  <si>
    <t>9789869829724</t>
  </si>
  <si>
    <t>因為所以有故事：解構創作思維</t>
  </si>
  <si>
    <t>9789864492015</t>
  </si>
  <si>
    <t>間距詩學：遙遠異質的美感經驗探索</t>
  </si>
  <si>
    <t>9789869808460</t>
  </si>
  <si>
    <t>翁文嫻</t>
  </si>
  <si>
    <t>820.9108</t>
  </si>
  <si>
    <t>我在聖弗朗西斯科做甚麼</t>
  </si>
  <si>
    <t>9789881432087</t>
  </si>
  <si>
    <t>香港文學出版社</t>
  </si>
  <si>
    <t>周潔茹</t>
  </si>
  <si>
    <t>日本鲁迅研究史论</t>
  </si>
  <si>
    <t>9787520146944</t>
  </si>
  <si>
    <t>靳丛林，李明晖 等</t>
  </si>
  <si>
    <t>情緒動機－用神經心理學看穿行為動因：手繪圖解 100 種必懂情緒知識，了解自己、同理他人的轉化關鍵</t>
  </si>
  <si>
    <t>9789863712282</t>
  </si>
  <si>
    <t>詹育書</t>
  </si>
  <si>
    <t>化鏡為窗：大數據分析強化大學競爭力</t>
  </si>
  <si>
    <t>9789578614413</t>
  </si>
  <si>
    <t>吳俊育 等</t>
  </si>
  <si>
    <t>525.607</t>
  </si>
  <si>
    <t>他與她的飛行：宮崎駿與日本動畫美少女的戰鬥情結</t>
  </si>
  <si>
    <t>9789578614437</t>
  </si>
  <si>
    <t>李世暉，鄭聞文</t>
  </si>
  <si>
    <t>987.85</t>
  </si>
  <si>
    <t>你想當什麼樣的老師？從科學傳播到經營教研</t>
  </si>
  <si>
    <t>9789578614406</t>
  </si>
  <si>
    <t>黃俊儒</t>
  </si>
  <si>
    <t>上帝的骰子，量子物理大白話：高中聽不懂、大學沒真懂，100 萬粉絲的「量子學派」部落格創始人，用漫畫讓你笑著看懂。</t>
  </si>
  <si>
    <t>9789579654760</t>
  </si>
  <si>
    <t>羅金海</t>
  </si>
  <si>
    <t>全球只剩北京標準時間：中國正以金援、國民觀光、駭客、貓熊、收購和影城…...根本不用出兵，不知不覺主宰了全世界和你的日常。</t>
  </si>
  <si>
    <t>9789579654975</t>
  </si>
  <si>
    <t>艾利克．寇爾，吉勒．峰丹</t>
  </si>
  <si>
    <t>574.18</t>
  </si>
  <si>
    <t>女孩心翻譯蒟蒻：男人說話都是字面意思，女人說話卻是情緒意思。摸透她字面背後的情緒，你就萬事皆可達了。</t>
  </si>
  <si>
    <t>9789579654999</t>
  </si>
  <si>
    <t>黑川伊保子</t>
  </si>
  <si>
    <t>173.3</t>
  </si>
  <si>
    <t>依舊對自己陌生的30歲：不懂大人的世界也無所謂，年過30 還是可以繼續耍廢，但不畫地自限！</t>
  </si>
  <si>
    <t>9789869858960</t>
  </si>
  <si>
    <t>BOTA</t>
  </si>
  <si>
    <t>歲時禮俗文化論略</t>
  </si>
  <si>
    <t>9789865624583</t>
  </si>
  <si>
    <t>林素英</t>
  </si>
  <si>
    <t>羊群的共识：人文视角下的金融真相</t>
  </si>
  <si>
    <t>9787568060394</t>
  </si>
  <si>
    <t>肖小跑</t>
  </si>
  <si>
    <t>我和我的祖国：北大老同志庆祝新中国成立70周年回忆文集</t>
  </si>
  <si>
    <t>9787301307496</t>
  </si>
  <si>
    <t>邱水平</t>
  </si>
  <si>
    <t>食農X實農：屬於台灣人的食與農</t>
  </si>
  <si>
    <t>9789869808484</t>
  </si>
  <si>
    <t>郭華仁 等</t>
  </si>
  <si>
    <t>430.13</t>
  </si>
  <si>
    <t>尼采到底有多後現代？</t>
  </si>
  <si>
    <t>9789869808477</t>
  </si>
  <si>
    <t>李晏佐</t>
  </si>
  <si>
    <t>A.I.傳播進化：人工智慧重塑人類的交流</t>
  </si>
  <si>
    <t>9789865161989</t>
  </si>
  <si>
    <t>清文華泉事業有限公司</t>
  </si>
  <si>
    <t>牟怡</t>
  </si>
  <si>
    <t>工業革命4.0物聯網：從互聯到新工業革命</t>
  </si>
  <si>
    <t>9789865162580</t>
  </si>
  <si>
    <t>劉雲浩</t>
  </si>
  <si>
    <t>555.29</t>
  </si>
  <si>
    <t>互聯網＋傳統經營者與創業者的新盈利模式</t>
  </si>
  <si>
    <t>9789865164034</t>
  </si>
  <si>
    <t>林軍政</t>
  </si>
  <si>
    <t>隨機的世界：大數據時代的機率統計學</t>
  </si>
  <si>
    <t>9789869885720</t>
  </si>
  <si>
    <t>李帥</t>
  </si>
  <si>
    <t>511.7</t>
  </si>
  <si>
    <t>區塊鏈：改變未來的倒數計時</t>
  </si>
  <si>
    <t>9789869885768</t>
  </si>
  <si>
    <t>黃步添，蔡亮</t>
  </si>
  <si>
    <t>早期阅读研究：基于家庭的阅读指南</t>
  </si>
  <si>
    <t>9787563064007</t>
  </si>
  <si>
    <t>河海大学出版社</t>
  </si>
  <si>
    <t>冯旭华，范华</t>
  </si>
  <si>
    <t>霓裳钗影话红楼</t>
  </si>
  <si>
    <t>9787563056811</t>
  </si>
  <si>
    <t>潇妃燕</t>
  </si>
  <si>
    <t>世界语运动风云录</t>
  </si>
  <si>
    <t>9787567421424</t>
  </si>
  <si>
    <t>东北林业大学出版社</t>
  </si>
  <si>
    <t>孙明孝</t>
  </si>
  <si>
    <t>月亮來的女兒：光的誕生</t>
  </si>
  <si>
    <t>9789865526917</t>
  </si>
  <si>
    <t>Mrs. Q</t>
  </si>
  <si>
    <t>微反應心理學：瞬間猜透對方內心的真實意思</t>
  </si>
  <si>
    <t>9789869831383</t>
  </si>
  <si>
    <t>王華志</t>
  </si>
  <si>
    <t>貓：不羈的靈魂</t>
  </si>
  <si>
    <t>9789869816977</t>
  </si>
  <si>
    <t>秋陽</t>
  </si>
  <si>
    <t>863.4</t>
  </si>
  <si>
    <t>電子學</t>
  </si>
  <si>
    <t>9789864879281</t>
  </si>
  <si>
    <t>陳震</t>
  </si>
  <si>
    <t>飯店客房管理</t>
  </si>
  <si>
    <t>9789577356697</t>
  </si>
  <si>
    <t>朱承強</t>
  </si>
  <si>
    <t>電工與電路分析實驗</t>
  </si>
  <si>
    <t>9789865161965</t>
  </si>
  <si>
    <t>王麗丹，陳躍華，趙庭兵</t>
  </si>
  <si>
    <t>448.034</t>
  </si>
  <si>
    <t>EMDR兒童治療：複雜創傷、依附和解離</t>
  </si>
  <si>
    <t>9789863571810</t>
  </si>
  <si>
    <t>安娜・葛梅茲</t>
  </si>
  <si>
    <t>台灣50產業地圖：6</t>
  </si>
  <si>
    <t>4710004782227</t>
  </si>
  <si>
    <t>历史“大数据”：民国证券市场之量化研究</t>
  </si>
  <si>
    <t>9787301276013</t>
  </si>
  <si>
    <t>李丹</t>
  </si>
  <si>
    <t>世界华文教学（第六辑）</t>
  </si>
  <si>
    <t>9787520149105</t>
  </si>
  <si>
    <t>杨树达讲文言修辞</t>
  </si>
  <si>
    <t>9787563056668</t>
  </si>
  <si>
    <t>杨树达</t>
  </si>
  <si>
    <t>郑振铎讲文学</t>
  </si>
  <si>
    <t>9787563059263</t>
  </si>
  <si>
    <t>郑振铎</t>
  </si>
  <si>
    <t>闻一多讲文学</t>
  </si>
  <si>
    <t>9787563060191</t>
  </si>
  <si>
    <t>闻一多</t>
  </si>
  <si>
    <t>電工機械/電機機械歷年試題解析</t>
  </si>
  <si>
    <t>9789865200121</t>
  </si>
  <si>
    <t>李俊毅</t>
  </si>
  <si>
    <t>土地法與土地相關稅法概要（條文釋義＋試題演練）</t>
  </si>
  <si>
    <t>9789865200084</t>
  </si>
  <si>
    <t>陳旭鳳</t>
  </si>
  <si>
    <t>交通行政大意：看這本就夠了</t>
  </si>
  <si>
    <t>9789865200213</t>
  </si>
  <si>
    <t>557.12</t>
  </si>
  <si>
    <t>運輸學大意：看這本就夠了</t>
  </si>
  <si>
    <t>9789865200022</t>
  </si>
  <si>
    <t>人事行政大意：焦點速成</t>
  </si>
  <si>
    <t>9789865200152</t>
  </si>
  <si>
    <t>普通科目（國文、公民、英文）歷年試題澈底解說</t>
  </si>
  <si>
    <t>9789865200220</t>
  </si>
  <si>
    <t>紫彤，伍湘芬，蔡翼</t>
  </si>
  <si>
    <t>世界最偉大的勵志書</t>
  </si>
  <si>
    <t>9789869884822</t>
  </si>
  <si>
    <t>李津教授</t>
  </si>
  <si>
    <t>世界最偉大的智慧書</t>
  </si>
  <si>
    <t>9789869884839</t>
  </si>
  <si>
    <t>勞倫斯‧彼得</t>
  </si>
  <si>
    <t>初階外匯人員專業能力測驗題庫精析（含外匯交易）</t>
  </si>
  <si>
    <t>9789574798117_03</t>
  </si>
  <si>
    <t>金融證照小組</t>
  </si>
  <si>
    <t>563.23</t>
  </si>
  <si>
    <t>汽車學概論</t>
  </si>
  <si>
    <t>9789574549900_03</t>
  </si>
  <si>
    <t>南懷仁</t>
  </si>
  <si>
    <t>447.1022</t>
  </si>
  <si>
    <t>9789574547524_07</t>
  </si>
  <si>
    <t>廣告行銷原來如此！破解行銷原點：只要掌握人心，什麼都可以賣！</t>
  </si>
  <si>
    <t>9789869756075</t>
  </si>
  <si>
    <t>東美出版事業有限公司</t>
  </si>
  <si>
    <t>李仁毅</t>
  </si>
  <si>
    <t>497</t>
  </si>
  <si>
    <t>金融科技知識一次過關</t>
  </si>
  <si>
    <t>9789865200442</t>
  </si>
  <si>
    <t>李宗翰</t>
  </si>
  <si>
    <t>561.029</t>
  </si>
  <si>
    <t>自動控制：重點統整+高分題庫</t>
  </si>
  <si>
    <t>9789864879854</t>
  </si>
  <si>
    <t>448.9</t>
  </si>
  <si>
    <t>圖解式金融市場常識與職業道德</t>
  </si>
  <si>
    <t>9789865200299</t>
  </si>
  <si>
    <t>金融編輯小組</t>
  </si>
  <si>
    <t>金融基測考科1：［會計學＋貨幣銀行學］焦點速成</t>
  </si>
  <si>
    <t>9789865200176</t>
  </si>
  <si>
    <t>林惠貞，陳敏</t>
  </si>
  <si>
    <t>創新科技焦點速成［金融基測］</t>
  </si>
  <si>
    <t>9789865200473</t>
  </si>
  <si>
    <t>觀光資源概要（包括台灣史地、觀光資源維護）［華語、外語導遊人員］</t>
  </si>
  <si>
    <t>9789865200367</t>
  </si>
  <si>
    <t>電工機械完全攻略</t>
  </si>
  <si>
    <t>9789865200435</t>
  </si>
  <si>
    <t>王可樂的日語練功房：初級句型練習寶典</t>
  </si>
  <si>
    <t>9789862488935</t>
  </si>
  <si>
    <t>王可樂日語</t>
  </si>
  <si>
    <t>媽媽的情緒練習：自我覺察，用智慧愛孩子和自己，建立正向家庭關係</t>
  </si>
  <si>
    <t>9789862488942</t>
  </si>
  <si>
    <t>珍琳．米克，珊德拉．提墨．葉特</t>
  </si>
  <si>
    <t>台灣那些年那些事：一個大陸人眼中的台灣政府演變</t>
  </si>
  <si>
    <t>9789869947831</t>
  </si>
  <si>
    <t>邵鵬</t>
  </si>
  <si>
    <t>越南政府與政治</t>
  </si>
  <si>
    <t>9789869974806</t>
  </si>
  <si>
    <t>梁錦文</t>
  </si>
  <si>
    <t>574.383</t>
  </si>
  <si>
    <t>動物保護的公共治理</t>
  </si>
  <si>
    <t>9789869840163</t>
  </si>
  <si>
    <t>吳宗憲</t>
  </si>
  <si>
    <t>全球財富論：全球無國界貨幣和全球總帳本理論</t>
  </si>
  <si>
    <t>9789869867566</t>
  </si>
  <si>
    <t>嚴家祺</t>
  </si>
  <si>
    <t>所有境遇都有福報：通往豐足喜樂的大智慧，這世上沒有真正的地獄！</t>
  </si>
  <si>
    <t>9789869893879</t>
  </si>
  <si>
    <t>詹姆斯．艾倫</t>
  </si>
  <si>
    <t>拿回自主權：《健康之道》讀書會1</t>
  </si>
  <si>
    <t>9789869912327</t>
  </si>
  <si>
    <t>一個美國哲學家的死後日誌：威廉．詹姆士的世界觀</t>
  </si>
  <si>
    <t>9789869912341</t>
  </si>
  <si>
    <t>情旅土耳其：從一抹鵝黃到一片靛藍，那些你未曾知曉的美與愁</t>
  </si>
  <si>
    <t>9789862489208</t>
  </si>
  <si>
    <t>萊拉</t>
  </si>
  <si>
    <t>735.19</t>
  </si>
  <si>
    <t>我一個人，餓了！：40篇飲食記憶×40道美味料理，國民姑姑暖胃療心上菜啦</t>
  </si>
  <si>
    <t>9789862489215</t>
  </si>
  <si>
    <t>海裕芬</t>
  </si>
  <si>
    <t>不可不知的心理學9大定律</t>
  </si>
  <si>
    <t>9789869913010</t>
  </si>
  <si>
    <t>彼得 等</t>
  </si>
  <si>
    <t>170.1</t>
  </si>
  <si>
    <t>哲學方法性基礎之意象邏輯：史作檉的八十歲後哲學筆記</t>
  </si>
  <si>
    <t>9789579057455</t>
  </si>
  <si>
    <t>我的後現代：史作檉的八十歲後哲學筆記</t>
  </si>
  <si>
    <t>9789869615587</t>
  </si>
  <si>
    <t>走走台灣：恆春半島</t>
  </si>
  <si>
    <t>EBK10200011977</t>
  </si>
  <si>
    <t>躺著背西班牙語1000單字【有聲】</t>
  </si>
  <si>
    <t>9789869834094</t>
  </si>
  <si>
    <t>804.72</t>
  </si>
  <si>
    <t>爱要从容</t>
  </si>
  <si>
    <t>9787558517969</t>
  </si>
  <si>
    <t>北方妇女儿童出版社</t>
  </si>
  <si>
    <t>王宏</t>
  </si>
  <si>
    <t>二孩的春天</t>
  </si>
  <si>
    <t>9787558518492</t>
  </si>
  <si>
    <t>殷余忠，曹慧珠</t>
  </si>
  <si>
    <t>成功的家教塑造优秀的孩子：家庭教育实践操作宝典</t>
  </si>
  <si>
    <t>9787558523083</t>
  </si>
  <si>
    <t>殷余忠</t>
  </si>
  <si>
    <t>大学计算机基础实践教程</t>
  </si>
  <si>
    <t>9787568049894</t>
  </si>
  <si>
    <t>朱艳艳</t>
  </si>
  <si>
    <t>中西文化回眸</t>
  </si>
  <si>
    <t>9787568053310</t>
  </si>
  <si>
    <t>许思园</t>
  </si>
  <si>
    <t>水污染与健康维权</t>
  </si>
  <si>
    <t>9787568048033</t>
  </si>
  <si>
    <t>王灿发，赵胜彪</t>
  </si>
  <si>
    <t>导演思维：让微剧本变得高级起来</t>
  </si>
  <si>
    <t>9787568054294</t>
  </si>
  <si>
    <t>刘仕杰</t>
  </si>
  <si>
    <t>汽车自动变速器原理与检修（第2版）</t>
  </si>
  <si>
    <t>9787568049511</t>
  </si>
  <si>
    <t>张红伟，吴志强，宫玉斌</t>
  </si>
  <si>
    <t>固体废物污染与健康维权</t>
  </si>
  <si>
    <t>9787568056069</t>
  </si>
  <si>
    <t>王灿发，谢明</t>
  </si>
  <si>
    <t>液压气动技术（第2版）</t>
  </si>
  <si>
    <t>9787568043151</t>
  </si>
  <si>
    <t>陆全龙</t>
  </si>
  <si>
    <t>蔡元培讲中国伦理学史</t>
  </si>
  <si>
    <t>9787512643468</t>
  </si>
  <si>
    <t>团结出版社</t>
  </si>
  <si>
    <t>蔡元培</t>
  </si>
  <si>
    <t>吕思勉讲中国思想史</t>
  </si>
  <si>
    <t>9787512643727</t>
  </si>
  <si>
    <t>吕思勉</t>
  </si>
  <si>
    <t>严复讲天演论</t>
  </si>
  <si>
    <t>9787512643789</t>
  </si>
  <si>
    <t>赫胥黎</t>
  </si>
  <si>
    <t>362</t>
  </si>
  <si>
    <t>土木工程測量題庫精解</t>
  </si>
  <si>
    <t>9789865200732</t>
  </si>
  <si>
    <t>高銘</t>
  </si>
  <si>
    <t>9789865200862</t>
  </si>
  <si>
    <t>國際貿易實務重點整理＋試題演練：二合一奪分寶典</t>
  </si>
  <si>
    <t>9789864879809</t>
  </si>
  <si>
    <t>會計學（包含國際會計準則IFRS）</t>
  </si>
  <si>
    <t>9789865200855</t>
  </si>
  <si>
    <t>陳智音，歐欣亞</t>
  </si>
  <si>
    <t>導遊領隊實務（二）分類題庫</t>
  </si>
  <si>
    <t>9789865200664</t>
  </si>
  <si>
    <t>高齡友善新視界：觀察臺灣與他國的高齡者照顧</t>
  </si>
  <si>
    <t>9789577325808</t>
  </si>
  <si>
    <t>EZ Japan日語會話課：N2語彙聽力全面提升【有聲】</t>
  </si>
  <si>
    <t>9789862489062</t>
  </si>
  <si>
    <t>本間岐理，清水裕美子</t>
  </si>
  <si>
    <t>3天搞懂理財迷思：衝出投資迷霧，提升理財知識，不被產品話術灌迷湯！</t>
  </si>
  <si>
    <t>9789862489055</t>
  </si>
  <si>
    <t>放棄吧！那些讓你疼痛不已的堅持：從工作、戀愛、興趣、人際關係四大層面，探索無法堅持的原因，重拾自我認同感</t>
  </si>
  <si>
    <t>9789862489109</t>
  </si>
  <si>
    <t>石原加受子</t>
  </si>
  <si>
    <t>別去死啊！被霸凌不是你的錯：擁抱寂寞無助的你，找到活下去的勇氣與力量</t>
  </si>
  <si>
    <t>9789862489079</t>
  </si>
  <si>
    <t>中川翔子</t>
  </si>
  <si>
    <t>541.76</t>
  </si>
  <si>
    <t>我的財富自由手冊：才女到財女的人生必修課</t>
  </si>
  <si>
    <t>9789862489154</t>
  </si>
  <si>
    <t>亭主</t>
  </si>
  <si>
    <t>給不小心就會太焦慮的你：摘下「窮忙濾鏡」╳擺脫「不安迴圈」，找回自己的人生</t>
  </si>
  <si>
    <t>9789862489185</t>
  </si>
  <si>
    <t>育兒放飛記</t>
  </si>
  <si>
    <t>9789865726874</t>
  </si>
  <si>
    <t>財團法人慈濟傳播人文志業基金會</t>
  </si>
  <si>
    <t>凃心怡，冷莉萍</t>
  </si>
  <si>
    <t>筆耕心田：杜紅棗作品集</t>
  </si>
  <si>
    <t>9789865726812</t>
  </si>
  <si>
    <t>杜紅棗</t>
  </si>
  <si>
    <t>初級日本語（I）【有聲】</t>
  </si>
  <si>
    <t>9789869643221</t>
  </si>
  <si>
    <t>杏敏出版社有限公司</t>
  </si>
  <si>
    <t>盧美芳</t>
  </si>
  <si>
    <t>初級日本語（II）【有聲】</t>
  </si>
  <si>
    <t>9789869643245</t>
  </si>
  <si>
    <t>杨树达讲《论语》</t>
  </si>
  <si>
    <t>9787512643581</t>
  </si>
  <si>
    <t>新经学（第四辑）</t>
  </si>
  <si>
    <t>9787208159358</t>
  </si>
  <si>
    <t>上海人民出版社有限责任公司</t>
  </si>
  <si>
    <t>邓秉元</t>
  </si>
  <si>
    <t>090</t>
  </si>
  <si>
    <t>新经学（第五辑）</t>
  </si>
  <si>
    <t>9787208162983</t>
  </si>
  <si>
    <t>計算機概論（含網路概論）重點整理＋試題演練</t>
  </si>
  <si>
    <t>9789865200169</t>
  </si>
  <si>
    <t>哥爾</t>
  </si>
  <si>
    <t>導遊領隊實務（一）分類題庫</t>
  </si>
  <si>
    <t>9789865200404</t>
  </si>
  <si>
    <t>中華傳統拼布經典</t>
  </si>
  <si>
    <t>9789861441856</t>
  </si>
  <si>
    <t>鄒正中，莊玥</t>
  </si>
  <si>
    <t>勝出！英文主題式題庫＋歷年試題</t>
  </si>
  <si>
    <t>9789865200947</t>
  </si>
  <si>
    <t>企業管理（含企業概論、管理學）棒！Bonding</t>
  </si>
  <si>
    <t>9789865201142</t>
  </si>
  <si>
    <t>企業管理頂尖高分題庫（適用企業概論、管理學）</t>
  </si>
  <si>
    <t>9789865201104</t>
  </si>
  <si>
    <t>文化行政類（文化行政與政策分析）：歷屆試題精闢新解</t>
  </si>
  <si>
    <t>9789865200954</t>
  </si>
  <si>
    <t>陳嘉文，潘雲，蔡力</t>
  </si>
  <si>
    <t>575.87</t>
  </si>
  <si>
    <t>電工機械（電機機械）致勝攻略</t>
  </si>
  <si>
    <t>9789865201173</t>
  </si>
  <si>
    <t>9789865201203</t>
  </si>
  <si>
    <t>逼真！電工機械（電機機械）模擬題庫＋歷年試題</t>
  </si>
  <si>
    <t>9789865201333</t>
  </si>
  <si>
    <t>初階外匯人員專業測驗：重點整理＋模擬試題</t>
  </si>
  <si>
    <t>9789865201166</t>
  </si>
  <si>
    <t>蘇育群</t>
  </si>
  <si>
    <t>新‧日本年金制度</t>
  </si>
  <si>
    <t>9789869947862</t>
  </si>
  <si>
    <t>申育誠</t>
  </si>
  <si>
    <t>548.931</t>
  </si>
  <si>
    <t>媒體與政治：從媒體運作與立法面向的探討</t>
  </si>
  <si>
    <t>9789869947886</t>
  </si>
  <si>
    <t>鄭任汶</t>
  </si>
  <si>
    <t>541.8317</t>
  </si>
  <si>
    <t>FBI教你認出身邊隱藏的危險人物：生活中那些利用或傷害你的人，以及惡意的陌生人，你都能防範自保</t>
  </si>
  <si>
    <t>9789865548117</t>
  </si>
  <si>
    <t>喬．納瓦羅，東妮．斯艾拉．波茵特</t>
  </si>
  <si>
    <t>刻意學，一年頂十年：喜歡的事和賺錢的事如何兩全？職場贏家從不優先考慮興趣，他們怎麼學、怎麼正確選擇？</t>
  </si>
  <si>
    <t>9789865548131</t>
  </si>
  <si>
    <t>孫瑞希</t>
  </si>
  <si>
    <t>後疫情時代的企業脫困與獲利：你上班的這家公司有做這些事嗎？哪類企業反而賺錢？財報該怎麼看能找出好投資標的？</t>
  </si>
  <si>
    <t>9789865548179</t>
  </si>
  <si>
    <t>富山和彥</t>
  </si>
  <si>
    <t>聽到他說話，我就想買！：金氏世界紀錄的韓國銷售天王，讓顧客立馬打開錢包的九大銷售技巧</t>
  </si>
  <si>
    <t>9789865548087</t>
  </si>
  <si>
    <t>張文政</t>
  </si>
  <si>
    <t>Units in Cogtse Rgyalrong Discourse Prosody and Grammar（嘉戎語卓克基話的話語研究：韻律與語法）</t>
  </si>
  <si>
    <t>9789864783496</t>
  </si>
  <si>
    <t>林幼菁</t>
  </si>
  <si>
    <t>日月胤征六論</t>
  </si>
  <si>
    <t>9789864783168</t>
  </si>
  <si>
    <t>王家歆</t>
  </si>
  <si>
    <t>左傳英華</t>
  </si>
  <si>
    <t>9789864783236</t>
  </si>
  <si>
    <t>621.737</t>
  </si>
  <si>
    <t>在情志之外：六朝詩的多元面向</t>
  </si>
  <si>
    <t>9789864783335</t>
  </si>
  <si>
    <t>朱錦雄</t>
  </si>
  <si>
    <t>820.9103</t>
  </si>
  <si>
    <t>活水彙草</t>
  </si>
  <si>
    <t>9789864783502</t>
  </si>
  <si>
    <t>黃偉豪</t>
  </si>
  <si>
    <t>唯思史觀：洞悉人類文明進步奧秘的鑰匙</t>
  </si>
  <si>
    <t>9789864783434</t>
  </si>
  <si>
    <t>張躍</t>
  </si>
  <si>
    <t>雲林縣文學與文化研究論集</t>
  </si>
  <si>
    <t>9789864783083</t>
  </si>
  <si>
    <t>謝瑞隆，蕭蕭</t>
  </si>
  <si>
    <t>863.207</t>
  </si>
  <si>
    <t>傳記研究論集</t>
  </si>
  <si>
    <t>9789864783342</t>
  </si>
  <si>
    <t>鄭尊仁</t>
  </si>
  <si>
    <t>811.39</t>
  </si>
  <si>
    <t>楊巨源先生遺稿</t>
  </si>
  <si>
    <t>9789864783526</t>
  </si>
  <si>
    <t>楊長流</t>
  </si>
  <si>
    <t>臺灣兒童圖畫書的興起與發展史論（1945－2016）</t>
  </si>
  <si>
    <t>9789864783618</t>
  </si>
  <si>
    <t>陳玉金</t>
  </si>
  <si>
    <t>語文釋要</t>
  </si>
  <si>
    <t>9789864783182</t>
  </si>
  <si>
    <t>馬顯慈</t>
  </si>
  <si>
    <t>應用寫作理論、實踐與教學：2018國際漢語應用文研究高端論壇論文集</t>
  </si>
  <si>
    <t>9789864783267</t>
  </si>
  <si>
    <t>譚美玲</t>
  </si>
  <si>
    <t>鍵聲玉振．餘韻得傳：葉鍵得教授榮退紀念文集</t>
  </si>
  <si>
    <t>9789864783281</t>
  </si>
  <si>
    <t>徐長安</t>
  </si>
  <si>
    <t>薇紫欒紅稿：臺北研修年假雜詠</t>
  </si>
  <si>
    <t>9789864783779</t>
  </si>
  <si>
    <t>848.7</t>
  </si>
  <si>
    <t>入圍的有王牌配音員賈培德</t>
  </si>
  <si>
    <t>9789869595209</t>
  </si>
  <si>
    <t>賈培德</t>
  </si>
  <si>
    <t>Excel VBA超效率工作術：無痛學習VBA程式＆即學即用！200個活用範例集讓你輕鬆上手</t>
  </si>
  <si>
    <t>9789864344819</t>
  </si>
  <si>
    <t>運算思維修習學堂：使用Python的10堂入門程式課</t>
  </si>
  <si>
    <t>9789864344918</t>
  </si>
  <si>
    <t>運算思維修習學堂：使用C語言的10堂入門程式課</t>
  </si>
  <si>
    <t>9789864344932</t>
  </si>
  <si>
    <t>運算思維修習學堂：使用C＋＋的8堂入門程式課</t>
  </si>
  <si>
    <t>9789864344949</t>
  </si>
  <si>
    <t>Office 2016商務應用：8堂一點就通的基礎活用課</t>
  </si>
  <si>
    <t>9789864344956</t>
  </si>
  <si>
    <t>Excel 2016商務應用：8堂一點就通的基礎活用課</t>
  </si>
  <si>
    <t>9789864344970</t>
  </si>
  <si>
    <t>電競選手：8堂一點就通的基礎活用課</t>
  </si>
  <si>
    <t>9789864345038</t>
  </si>
  <si>
    <t>VisualC＃網路程式設計：線上遊戲實作</t>
  </si>
  <si>
    <t>9789864345045</t>
  </si>
  <si>
    <t>張逸中，李美億</t>
  </si>
  <si>
    <t>VisualC＃2019全面攻略：從程式新人到開發設計的快速學習</t>
  </si>
  <si>
    <t>9789864345052</t>
  </si>
  <si>
    <t>資訊種子研究室</t>
  </si>
  <si>
    <t>電子商務：8堂一點就通的基礎活用課</t>
  </si>
  <si>
    <t>9789864345069</t>
  </si>
  <si>
    <t>遊戲設計與電競運動概論</t>
  </si>
  <si>
    <t>9789864345120</t>
  </si>
  <si>
    <t>胡昭民，吳燦銘</t>
  </si>
  <si>
    <t>電腦軟體應用丙級技能檢定：術科解題實作（109年試題完整版）</t>
  </si>
  <si>
    <t>9789864345144</t>
  </si>
  <si>
    <t>Python從初學到生活應用超實務：讓Python幫你處理日常生活與工作中繁瑣重複的工作</t>
  </si>
  <si>
    <t>9789864345168</t>
  </si>
  <si>
    <t>陳會安</t>
  </si>
  <si>
    <t>資料科學的良器：R語言在開放資料、管理數學與作業管理的應用</t>
  </si>
  <si>
    <t>9789864345175</t>
  </si>
  <si>
    <t>廖如龍，葉世聰</t>
  </si>
  <si>
    <t>資訊生活安全、行動智慧應用與網駭實務</t>
  </si>
  <si>
    <t>9789864345205</t>
  </si>
  <si>
    <t>王旭正，李榮三，魏國瑞</t>
  </si>
  <si>
    <t>新日檢必考文法句型N1，N2，N3，N4，N5【有聲】</t>
  </si>
  <si>
    <t>9789579579988</t>
  </si>
  <si>
    <t>阿尼瑪卿，阿尼瑪卿</t>
  </si>
  <si>
    <t>9789869834117</t>
  </si>
  <si>
    <t>雪域出版社</t>
  </si>
  <si>
    <t>茨仁唯色</t>
  </si>
  <si>
    <t>被隱藏的西藏：獨立古老王國與被佔領的歷史軌跡</t>
  </si>
  <si>
    <t>9789869834148</t>
  </si>
  <si>
    <t>（俄）庫日銘</t>
  </si>
  <si>
    <t>676.62</t>
  </si>
  <si>
    <t>走走臺灣：農遊輕旅行</t>
  </si>
  <si>
    <t>EBK10200012075</t>
  </si>
  <si>
    <t>台語片的魔力：從故事、明星、導演到類型與行銷的電影關鍵詞</t>
  </si>
  <si>
    <t>9789869934725</t>
  </si>
  <si>
    <t>林奎章</t>
  </si>
  <si>
    <t>一本書搞懂雲端計算、物聯網、大數據</t>
  </si>
  <si>
    <t>9789577359827</t>
  </si>
  <si>
    <t>楊正洪，周發武</t>
  </si>
  <si>
    <t>大數據╳資料探勘╳智慧營運</t>
  </si>
  <si>
    <t>9789577359926</t>
  </si>
  <si>
    <t>梁棟，張兆靜，彭木根</t>
  </si>
  <si>
    <t>超簡單博弈論：賭雞排背後的賽局</t>
  </si>
  <si>
    <t>9789865162702</t>
  </si>
  <si>
    <t>崔英勝，才永發</t>
  </si>
  <si>
    <t>天使寶寶與惡魔幼兒：蒙特梭利式的翻轉教育</t>
  </si>
  <si>
    <t>9789865164683</t>
  </si>
  <si>
    <t>胡郊仁</t>
  </si>
  <si>
    <t>從智人到AlphaGo：機器崛起前傳，人工智慧的起點</t>
  </si>
  <si>
    <t>9789869904452</t>
  </si>
  <si>
    <t>蔡恆進，蔡天琪，張文蔚，汪愷</t>
  </si>
  <si>
    <t>互聯網進化史：網路AI超應用．大數據╳雲端╳區塊鏈</t>
  </si>
  <si>
    <t>9789869920902</t>
  </si>
  <si>
    <t>美國與南海問題</t>
  </si>
  <si>
    <t>9789869808033</t>
  </si>
  <si>
    <t>馬建英</t>
  </si>
  <si>
    <t>578.193</t>
  </si>
  <si>
    <t>兩岸家國三十年：臺灣陸配群體的政治認同研究</t>
  </si>
  <si>
    <t>9789869808057</t>
  </si>
  <si>
    <t>王偉男</t>
  </si>
  <si>
    <t>544.3807</t>
  </si>
  <si>
    <t>豐田人的凝與動：部屬總有叫不動、又犯錯、想拖延、藉口一堆的時候，如何讓素質參差的人凝聚、願意動起來？</t>
  </si>
  <si>
    <t>9789865548216</t>
  </si>
  <si>
    <t>桑原晃彌</t>
  </si>
  <si>
    <t>越南經濟發展的政治經濟學</t>
  </si>
  <si>
    <t>9789869974813</t>
  </si>
  <si>
    <t>孫國祥</t>
  </si>
  <si>
    <t>552.383</t>
  </si>
  <si>
    <t>智慧醫療與法律</t>
  </si>
  <si>
    <t>9789869974851</t>
  </si>
  <si>
    <t>陳鋕雄</t>
  </si>
  <si>
    <t>一生一次旅遊指南：家庭的第一堂生死課</t>
  </si>
  <si>
    <t>9789578614383</t>
  </si>
  <si>
    <t>楊巧柔，簡文怡，郭庭芸，徐仟妤</t>
  </si>
  <si>
    <t>528.59</t>
  </si>
  <si>
    <t>歐文．亞隆的心理治療文學</t>
  </si>
  <si>
    <t>9789863571834</t>
  </si>
  <si>
    <t>傑佛瑞．柏曼</t>
  </si>
  <si>
    <t>可以馬上學會的超強英語口說課【有聲】</t>
  </si>
  <si>
    <t>9789869916165</t>
  </si>
  <si>
    <t>蘇盈盈，卡拉卡</t>
  </si>
  <si>
    <t>嘴唇开花LIPS BLOOM</t>
  </si>
  <si>
    <t>9787220117817</t>
  </si>
  <si>
    <t>830</t>
  </si>
  <si>
    <t>婚姻是愛情的圍城：當夫妻形同陌路，如何突圍才能回到當初？</t>
  </si>
  <si>
    <t>9789865164881</t>
  </si>
  <si>
    <t>章含，才永發</t>
  </si>
  <si>
    <t>臺灣首廟天壇藏珍：繡藝百品</t>
  </si>
  <si>
    <t>9789572988824</t>
  </si>
  <si>
    <t>財團法人台灣省台南市台灣首廟天壇</t>
  </si>
  <si>
    <t>黃翠梅</t>
  </si>
  <si>
    <t>234.52</t>
  </si>
  <si>
    <t>為小情人做早餐</t>
  </si>
  <si>
    <t>9789865813994</t>
  </si>
  <si>
    <t>懷舊餐桌！走入60間廚房學做家傳菜：從日常飯食到經典佳餚，全球最大食譜網站Cookpad教你輕鬆煮出懷念古早味</t>
  </si>
  <si>
    <t>9789862489291</t>
  </si>
  <si>
    <t>Cookpad</t>
  </si>
  <si>
    <t>社交零距離：說話高手實戰手冊</t>
  </si>
  <si>
    <t>9789864111206</t>
  </si>
  <si>
    <t>鐘偉誠</t>
  </si>
  <si>
    <t>聰明女人的幸福投資學</t>
  </si>
  <si>
    <t>9789864111213</t>
  </si>
  <si>
    <t>方子君</t>
  </si>
  <si>
    <t>你可以裝單純也可以有心機 ：最有智慧的人際交往心理學</t>
  </si>
  <si>
    <t>9789864111220</t>
  </si>
  <si>
    <t>周旻憲</t>
  </si>
  <si>
    <t>女生最愛玩的58則心理測驗</t>
  </si>
  <si>
    <t>9789864111237</t>
  </si>
  <si>
    <t>柯小婕</t>
  </si>
  <si>
    <t>看穿他人讀心術：人心是能夠被「閱讀」的</t>
  </si>
  <si>
    <t>9789864111244</t>
  </si>
  <si>
    <t>李成霖</t>
  </si>
  <si>
    <t>聰明女人的幸福管理學</t>
  </si>
  <si>
    <t>9789864111251</t>
  </si>
  <si>
    <t>事前諸葛亮，事後豬一樣：真是好笑</t>
  </si>
  <si>
    <t>9789864111268</t>
  </si>
  <si>
    <t>龍飛</t>
  </si>
  <si>
    <t>全方位人際交往心理學</t>
  </si>
  <si>
    <t>9789864111275</t>
  </si>
  <si>
    <t>楊世宇</t>
  </si>
  <si>
    <t>笑到閃到腰</t>
  </si>
  <si>
    <t>9789864531240</t>
  </si>
  <si>
    <t>蘇迪勒</t>
  </si>
  <si>
    <t>863.56</t>
  </si>
  <si>
    <t>讓人頭皮發麻的鬼故事</t>
  </si>
  <si>
    <t>9789864531257</t>
  </si>
  <si>
    <t>鬼古人</t>
  </si>
  <si>
    <t>我的真實鬼事</t>
  </si>
  <si>
    <t>9789864531264</t>
  </si>
  <si>
    <t>成功的女人，都是狠角色</t>
  </si>
  <si>
    <t>9789864531271</t>
  </si>
  <si>
    <t>滺湙</t>
  </si>
  <si>
    <t>職場三缺一：公司不能沒有我</t>
  </si>
  <si>
    <t>9789864531288</t>
  </si>
  <si>
    <t>改寫平凡人生：小故事中的成功學</t>
  </si>
  <si>
    <t>9789864531295</t>
  </si>
  <si>
    <t>楊靖慈</t>
  </si>
  <si>
    <t>858</t>
  </si>
  <si>
    <t>能說、好聽、不帶刺的高段說話術</t>
  </si>
  <si>
    <t>9789864531301</t>
  </si>
  <si>
    <t>人生的另一種選擇：小故事中的智慧學</t>
  </si>
  <si>
    <t>9789864531318</t>
  </si>
  <si>
    <t>一次到位：我的第一本能力培養書</t>
  </si>
  <si>
    <t>9789864531325</t>
  </si>
  <si>
    <t>溫宏德</t>
  </si>
  <si>
    <t>假如你生活在唐朝</t>
  </si>
  <si>
    <t>9789864531332</t>
  </si>
  <si>
    <t>龔文</t>
  </si>
  <si>
    <t>634</t>
  </si>
  <si>
    <t>就是要爆笑啊！不然要幹嘛？：最經典的腦筋急轉彎</t>
  </si>
  <si>
    <t>9789864531349</t>
  </si>
  <si>
    <t>在平靜中，享受幸福的生活</t>
  </si>
  <si>
    <t>9789869952224</t>
  </si>
  <si>
    <t>余紀楨</t>
  </si>
  <si>
    <t>只需一顆善良的心</t>
  </si>
  <si>
    <t>9789869952231</t>
  </si>
  <si>
    <t>陳靜安</t>
  </si>
  <si>
    <t>客户关系管理（第二版）</t>
  </si>
  <si>
    <t>9787301279984</t>
  </si>
  <si>
    <t>李海芹，周寅</t>
  </si>
  <si>
    <t>实用认知心理治疗学</t>
  </si>
  <si>
    <t>9787208162358</t>
  </si>
  <si>
    <t>陈褔国</t>
  </si>
  <si>
    <t>韦伯的比较历史社会学今探</t>
  </si>
  <si>
    <t>9787208163188</t>
  </si>
  <si>
    <t>（美）斯蒂芬．卡尔博格</t>
  </si>
  <si>
    <t>大脑的情绪生活</t>
  </si>
  <si>
    <t>9787543229952</t>
  </si>
  <si>
    <t>格致出版社</t>
  </si>
  <si>
    <t>（美）理查德．戴维森，（美）沙伦．贝格利</t>
  </si>
  <si>
    <t>爱、金钱和孩子：育儿经济学</t>
  </si>
  <si>
    <t>9787543230217</t>
  </si>
  <si>
    <t>（美）马赛厄斯·德普克，（美）法布里奇奥．齐利博蒂</t>
  </si>
  <si>
    <t>女生最愛看的53個心理測驗</t>
  </si>
  <si>
    <t>9789864111282</t>
  </si>
  <si>
    <t>王郁婷</t>
  </si>
  <si>
    <t>胖補陽，瘦滋陰</t>
  </si>
  <si>
    <t>9789865719937</t>
  </si>
  <si>
    <t>劉靜賢</t>
  </si>
  <si>
    <t>名老中醫的養肝護命方</t>
  </si>
  <si>
    <t>9789865719982</t>
  </si>
  <si>
    <t>名老中醫的養胃粥</t>
  </si>
  <si>
    <t>9789869550024</t>
  </si>
  <si>
    <t>413.343</t>
  </si>
  <si>
    <t>毒男相睇真人騷：有一種幸福叫主動</t>
  </si>
  <si>
    <t>9789887411932</t>
  </si>
  <si>
    <t>筆求人工作室有限公司</t>
  </si>
  <si>
    <t>麥耀邦</t>
  </si>
  <si>
    <t>狗公心理學：渣男辨認手冊</t>
  </si>
  <si>
    <t>9789887411987</t>
  </si>
  <si>
    <t>星巴克的博客</t>
  </si>
  <si>
    <t>情緒，如何療癒 : 憂慮、憤怒、壓力和憂鬱的15個情緒解答</t>
  </si>
  <si>
    <t>9789577275912</t>
  </si>
  <si>
    <t>諾曼．萊特</t>
  </si>
  <si>
    <t>9789865201470</t>
  </si>
  <si>
    <t>國貿業務乙級技能檢定學術科得分寶典</t>
  </si>
  <si>
    <t>9789865201876</t>
  </si>
  <si>
    <t>9789865201920</t>
  </si>
  <si>
    <t>理財規劃人員專業證照10日速成</t>
  </si>
  <si>
    <t>9789865201906</t>
  </si>
  <si>
    <t>楊昊軒</t>
  </si>
  <si>
    <t>不完美的樂土：拚搏美國夢－克服在美國創業的各種甘苦之一盞燈</t>
  </si>
  <si>
    <t>9789869663397</t>
  </si>
  <si>
    <t>劉又華</t>
  </si>
  <si>
    <t>历史、经验与感觉结构：英国新左派的文化观念</t>
  </si>
  <si>
    <t>9787520149921</t>
  </si>
  <si>
    <t>程祥钰</t>
  </si>
  <si>
    <t>身體檢查與評估技術手冊</t>
  </si>
  <si>
    <t>9789869907644</t>
  </si>
  <si>
    <t>李書芬，李靜雯，劉清華</t>
  </si>
  <si>
    <t>419.812</t>
  </si>
  <si>
    <t>職業安全衛生管理甲乙級技術士計算題完全攻略</t>
  </si>
  <si>
    <t>9789865200268</t>
  </si>
  <si>
    <t>蘇信呈，何健聖，吳孟偉</t>
  </si>
  <si>
    <t>全球最大柑仔店Wal－Mart：沃爾頓的銅板信條</t>
  </si>
  <si>
    <t>9789865162337</t>
  </si>
  <si>
    <t>周麗霞</t>
  </si>
  <si>
    <t>“三维”性格优势：探索个体潜能的科学</t>
  </si>
  <si>
    <t>9787520165631</t>
  </si>
  <si>
    <t>段文杰</t>
  </si>
  <si>
    <t>蓮鄉誌異</t>
  </si>
  <si>
    <t>9789993766261</t>
  </si>
  <si>
    <t>澳門楹聯學會</t>
  </si>
  <si>
    <t>澳門楹聯學會同人</t>
  </si>
  <si>
    <t>濠上蓮香：張卓夫詩詞楹聯二編</t>
  </si>
  <si>
    <t>9789993761075</t>
  </si>
  <si>
    <t>澳門寫作學會</t>
  </si>
  <si>
    <t>張卓夫</t>
  </si>
  <si>
    <t>澳門特別行政區居民稅法知識讀本．大學篇</t>
  </si>
  <si>
    <t>9789998136946</t>
  </si>
  <si>
    <t>澳門文化公所</t>
  </si>
  <si>
    <t>澳門青年聯合會，澳門愛國教育青年協會，海南華宜財經研究院，北京哲學社會科學國家稅收法律研究基地</t>
  </si>
  <si>
    <t>澳門特別行政區居民稅法知識讀本．社區篇</t>
  </si>
  <si>
    <t>9789998136984</t>
  </si>
  <si>
    <t>澳門特別行政區居民稅法知識讀本．青少年篇</t>
  </si>
  <si>
    <t>9789998136922</t>
  </si>
  <si>
    <t>澳門青年聯合會，澳門愛國教育青年協會，海南華宜財經研究院，北京哲學社會科學國家，稅收法律研究基地</t>
  </si>
  <si>
    <t>日文實境慣用語【有聲】</t>
  </si>
  <si>
    <t>9789862489031</t>
  </si>
  <si>
    <t>可以馬上學會的超強英語閱讀課【有聲】</t>
  </si>
  <si>
    <t>9789869916158</t>
  </si>
  <si>
    <t>蘇盈盈，珊朵拉</t>
  </si>
  <si>
    <t>一次就考上： N1N2N3N4N5 聽力解讀全攻略【有聲】</t>
  </si>
  <si>
    <t>9789865544096</t>
  </si>
  <si>
    <t>田中紀子，渡部尤佳</t>
  </si>
  <si>
    <t>旅遊規劃理論與方法</t>
  </si>
  <si>
    <t>9789576817847</t>
  </si>
  <si>
    <t>嚴國泰</t>
  </si>
  <si>
    <t>大型活動的組織與管理</t>
  </si>
  <si>
    <t>9789576817854</t>
  </si>
  <si>
    <t>杜學</t>
  </si>
  <si>
    <t>兒童心理發展與家庭教育智慧</t>
  </si>
  <si>
    <t>9789576818714</t>
  </si>
  <si>
    <t>胡朝兵，張興瑜</t>
  </si>
  <si>
    <t>模具拆裝與零件檢測</t>
  </si>
  <si>
    <t>9789576818820</t>
  </si>
  <si>
    <t>周勤</t>
  </si>
  <si>
    <t>446.8964</t>
  </si>
  <si>
    <t>模具零件成型磨削操作</t>
  </si>
  <si>
    <t>9789576818837</t>
  </si>
  <si>
    <t>彭浪</t>
  </si>
  <si>
    <t>網頁設計</t>
  </si>
  <si>
    <t>9789576819476</t>
  </si>
  <si>
    <t>張毅</t>
  </si>
  <si>
    <t>居住的文化時空：廣西民族建築文化解讀</t>
  </si>
  <si>
    <t>9789576819971</t>
  </si>
  <si>
    <t>覃彩鑾</t>
  </si>
  <si>
    <t>928.2</t>
  </si>
  <si>
    <t>時尚蛋糕製作精選</t>
  </si>
  <si>
    <t>9789577354150</t>
  </si>
  <si>
    <t>時尚美味芝士蛋糕</t>
  </si>
  <si>
    <t>9789577354181</t>
  </si>
  <si>
    <t>飯店客務客房服務與管理</t>
  </si>
  <si>
    <t>9789577356475</t>
  </si>
  <si>
    <t>孫茜</t>
  </si>
  <si>
    <t>會展基礎知識</t>
  </si>
  <si>
    <t>9789577356659</t>
  </si>
  <si>
    <t>盧曉，丁蓉，李萌，傅國林 等</t>
  </si>
  <si>
    <t>旅遊消費者行為學</t>
  </si>
  <si>
    <t>9789577356925</t>
  </si>
  <si>
    <t>吳清津</t>
  </si>
  <si>
    <t>992.014</t>
  </si>
  <si>
    <t>飯店設備管理</t>
  </si>
  <si>
    <t>9789577356956</t>
  </si>
  <si>
    <t>陸諍嵐</t>
  </si>
  <si>
    <t>旅遊行政管理</t>
  </si>
  <si>
    <t>9789577357366</t>
  </si>
  <si>
    <t>閻友兵，方世敏</t>
  </si>
  <si>
    <t>現代景觀設計</t>
  </si>
  <si>
    <t>9789577357465</t>
  </si>
  <si>
    <t>沈渝德，劉冬</t>
  </si>
  <si>
    <t>929</t>
  </si>
  <si>
    <t>環境藝術設計手繪表現</t>
  </si>
  <si>
    <t>9789577357496</t>
  </si>
  <si>
    <t>王玉龍，田林</t>
  </si>
  <si>
    <t>餐飲文化空間設計</t>
  </si>
  <si>
    <t>9789577357687</t>
  </si>
  <si>
    <t>劉蔓</t>
  </si>
  <si>
    <t>汽車維修塗裝技術</t>
  </si>
  <si>
    <t>9789577358653</t>
  </si>
  <si>
    <t>石光成</t>
  </si>
  <si>
    <t>447.167</t>
  </si>
  <si>
    <t>規劃快題設計：設計方法與案例分析</t>
  </si>
  <si>
    <t>9789577359834</t>
  </si>
  <si>
    <t>韋爽真</t>
  </si>
  <si>
    <t>青銅時代：青銅文化與藝術特色</t>
  </si>
  <si>
    <t>9789865161415</t>
  </si>
  <si>
    <t>張學亮</t>
  </si>
  <si>
    <t>793</t>
  </si>
  <si>
    <t>經典民居：精華濃縮的最美民居</t>
  </si>
  <si>
    <t>9789865161644</t>
  </si>
  <si>
    <t>劉干才</t>
  </si>
  <si>
    <t>心理疾病的預防與案例</t>
  </si>
  <si>
    <t>9789865162382</t>
  </si>
  <si>
    <t>馮宏維</t>
  </si>
  <si>
    <t>為世界裝上輪子：讓現代工業開始快速轉動的福特</t>
  </si>
  <si>
    <t>9789865162481</t>
  </si>
  <si>
    <t>他的青春不是你的人生：當叛逆期遇到更年期</t>
  </si>
  <si>
    <t>9789865163228</t>
  </si>
  <si>
    <t>謝蘭舟，劉燁</t>
  </si>
  <si>
    <t>173.2</t>
  </si>
  <si>
    <t>行動金融：支付革命</t>
  </si>
  <si>
    <t>9789865163938</t>
  </si>
  <si>
    <t>叢硯敏</t>
  </si>
  <si>
    <t>才富：21世紀最貴的資產是人才</t>
  </si>
  <si>
    <t>9789865164201</t>
  </si>
  <si>
    <t>喬有乾</t>
  </si>
  <si>
    <t>心態革命： 大腦中的髮夾彎，掀起你的思路風暴</t>
  </si>
  <si>
    <t>9789865164287</t>
  </si>
  <si>
    <t>俞姿婷</t>
  </si>
  <si>
    <t>20幾歲要怎樣：時間管理╳理財能力╳自制力╳學習力</t>
  </si>
  <si>
    <t>9789865164331</t>
  </si>
  <si>
    <t>崔英勝</t>
  </si>
  <si>
    <t>跟著節氣養生：夏天做空氣浴，秋天洗冷水澡……顛覆想像的四季養生！零成本的自然保健法</t>
  </si>
  <si>
    <t>9789865164355</t>
  </si>
  <si>
    <t>許承翰</t>
  </si>
  <si>
    <t>寫給女孩的理財入門：不用嫁入豪門也可以年薪百萬</t>
  </si>
  <si>
    <t>9789865164362</t>
  </si>
  <si>
    <t>梁夢萍</t>
  </si>
  <si>
    <t>這堂生物課很會：那些年課本沒教的生物冷知識</t>
  </si>
  <si>
    <t>9789865164638</t>
  </si>
  <si>
    <t>侯東政</t>
  </si>
  <si>
    <t>簡單管理學：18條管理學核心定律，零基礎也可以超速入門</t>
  </si>
  <si>
    <t>9789865164652</t>
  </si>
  <si>
    <t>喬友乾</t>
  </si>
  <si>
    <t>職場不友善，你該怎麼辦：寫給年輕人的就業╳加薪╳升遷祕笈！</t>
  </si>
  <si>
    <t>9789865164669</t>
  </si>
  <si>
    <t>楊仕昇</t>
  </si>
  <si>
    <t>假精確時代：大數據的合法詐騙，讓你上鉤還服服貼貼</t>
  </si>
  <si>
    <t>9789865552015</t>
  </si>
  <si>
    <t>創客未來：動手改變世界的自造者</t>
  </si>
  <si>
    <t>9789869920933</t>
  </si>
  <si>
    <t>方志遠，蒲源</t>
  </si>
  <si>
    <t>速解OKR：開啟企業經營與管理的顛覆式革命</t>
  </si>
  <si>
    <t>9789865162351</t>
  </si>
  <si>
    <t>蘭堉生， 王星威</t>
  </si>
  <si>
    <t>494.17</t>
  </si>
  <si>
    <t>醋與日子的配方：一路向南，義大利家庭廚房踏查記</t>
  </si>
  <si>
    <t>9789869873703</t>
  </si>
  <si>
    <t>Yen 劉宴瑜</t>
  </si>
  <si>
    <t>金色證書NEW TOEIC必考文法【有聲】</t>
  </si>
  <si>
    <t>9789869493154</t>
  </si>
  <si>
    <t>這個片語會考：NEW TOEIC 800分必背片語【有聲】</t>
  </si>
  <si>
    <t>9789869493185</t>
  </si>
  <si>
    <t>這個句型會考：NEW TOEIC 800分必背句型【有聲】</t>
  </si>
  <si>
    <t>9789869493192</t>
  </si>
  <si>
    <t>一次就考上：N1N2N3N4N5聽力解讀全攻略【有聲】</t>
  </si>
  <si>
    <t>9789869550321</t>
  </si>
  <si>
    <t>一次就考上：N1N2N3N4N5言語知識全攻略【有聲】</t>
  </si>
  <si>
    <t>9789869550345</t>
  </si>
  <si>
    <t>最新制金色證書：NEW TOEIC 必考單字【有聲】</t>
  </si>
  <si>
    <t>9789869550338</t>
  </si>
  <si>
    <t>10000會話搞定英語：英語不是用背的，讀10遍就成英語達人【有聲】</t>
  </si>
  <si>
    <t>9789869550390</t>
  </si>
  <si>
    <t>典型夙昔：前修緬思錄．初集</t>
  </si>
  <si>
    <t>9789864784486</t>
  </si>
  <si>
    <t>狠強圖形記憶50音【有聲】</t>
  </si>
  <si>
    <t>9789863187875</t>
  </si>
  <si>
    <t>葉平亭</t>
  </si>
  <si>
    <t>商用日文Email範例</t>
  </si>
  <si>
    <t>9789863188377</t>
  </si>
  <si>
    <t>堀尾友紀，藤本紀子，田中綾子</t>
  </si>
  <si>
    <t>飯店服務日語【有聲】</t>
  </si>
  <si>
    <t>9789863187554</t>
  </si>
  <si>
    <t>松本美佳，田中結香，葉平亭</t>
  </si>
  <si>
    <t>愛上10堂美容美體英文課【有聲】</t>
  </si>
  <si>
    <t>9789863189442</t>
  </si>
  <si>
    <t>Brian Foden，謝佩芩</t>
  </si>
  <si>
    <t>帶日本人趴趴走：日語導遊台灣【有聲】</t>
  </si>
  <si>
    <t>9789863186991</t>
  </si>
  <si>
    <t>張澤崇</t>
  </si>
  <si>
    <t>别样云南，别样风情</t>
  </si>
  <si>
    <t>9787220111242</t>
  </si>
  <si>
    <t>薛金冉</t>
  </si>
  <si>
    <t>681</t>
  </si>
  <si>
    <t>战胜焦虑不拖延</t>
  </si>
  <si>
    <t>9787220114168</t>
  </si>
  <si>
    <t>宋涛</t>
  </si>
  <si>
    <t>马克思主义理论简明读本</t>
  </si>
  <si>
    <t>9787520114622</t>
  </si>
  <si>
    <t>武汉理工大学马克思主义学院</t>
  </si>
  <si>
    <t>帶領團隊翻盤爛牌：卓越領導者的智慧</t>
  </si>
  <si>
    <t>9789865552008</t>
  </si>
  <si>
    <t>541.776</t>
  </si>
  <si>
    <t>人脈帳本：每一次的前進，都有一股無形的推力</t>
  </si>
  <si>
    <t>9789865165239</t>
  </si>
  <si>
    <t>劉惠丞，姜得祺</t>
  </si>
  <si>
    <t>3天搞懂財經資訊（最新增訂版）：看懂財經新聞、企業財報不求人，找出年年下蛋的金雞母！</t>
  </si>
  <si>
    <t>9789862489642</t>
  </si>
  <si>
    <t>工业分析技术实验</t>
  </si>
  <si>
    <t>9787568911801</t>
  </si>
  <si>
    <t>葛淑萍 等</t>
  </si>
  <si>
    <t>341.92</t>
  </si>
  <si>
    <t>标准化规模养猪技术</t>
  </si>
  <si>
    <t>9787568913034</t>
  </si>
  <si>
    <t>邓继辉，杨定勇，王振华</t>
  </si>
  <si>
    <t>437.1</t>
  </si>
  <si>
    <t>丰都旅游</t>
  </si>
  <si>
    <t>9787568916097</t>
  </si>
  <si>
    <t>刘程利</t>
  </si>
  <si>
    <t>523.8358</t>
  </si>
  <si>
    <t>汽车简单维修服务保养</t>
  </si>
  <si>
    <t>9787568916103</t>
  </si>
  <si>
    <t>刘明辉</t>
  </si>
  <si>
    <t>447.16</t>
  </si>
  <si>
    <t>汽车钣金技术</t>
  </si>
  <si>
    <t>9787568916110</t>
  </si>
  <si>
    <t>黄树林</t>
  </si>
  <si>
    <t>528.8452</t>
  </si>
  <si>
    <t>汽车常用维修工具的使用</t>
  </si>
  <si>
    <t>9787568916127</t>
  </si>
  <si>
    <t>李正平</t>
  </si>
  <si>
    <t>447.164</t>
  </si>
  <si>
    <t>茶艺服务</t>
  </si>
  <si>
    <t>9787568916141</t>
  </si>
  <si>
    <t>田碧波</t>
  </si>
  <si>
    <t>528.8456</t>
  </si>
  <si>
    <t>电路分析基础实验教程</t>
  </si>
  <si>
    <t>9787568918343</t>
  </si>
  <si>
    <t>李若英，肖东</t>
  </si>
  <si>
    <t>出纳综合实训</t>
  </si>
  <si>
    <t>9787568919012</t>
  </si>
  <si>
    <t>瞿红，黄宗玲</t>
  </si>
  <si>
    <t>现代教育技术实验教程</t>
  </si>
  <si>
    <t>9787568919470</t>
  </si>
  <si>
    <t>任淑艳，田鸿</t>
  </si>
  <si>
    <t>大学生安全知识宝典</t>
  </si>
  <si>
    <t>9787568922609</t>
  </si>
  <si>
    <t>尹国华</t>
  </si>
  <si>
    <t>528.35</t>
  </si>
  <si>
    <t>大学体育与健康教程</t>
  </si>
  <si>
    <t>9787568923101</t>
  </si>
  <si>
    <t>文雄，张灵燕，王永莲</t>
  </si>
  <si>
    <t>3小时快学期权</t>
  </si>
  <si>
    <t>9787543226258</t>
  </si>
  <si>
    <t>上海证券交易所衍生品部</t>
  </si>
  <si>
    <t>管理學</t>
  </si>
  <si>
    <t>9789865558475</t>
  </si>
  <si>
    <t>管尚</t>
  </si>
  <si>
    <t>494.022</t>
  </si>
  <si>
    <t>倉儲管理與作業（含運輸）安全概要</t>
  </si>
  <si>
    <t>9789865558383</t>
  </si>
  <si>
    <t>張世勳</t>
  </si>
  <si>
    <t>496.9022</t>
  </si>
  <si>
    <t>9789865558505</t>
  </si>
  <si>
    <t>9789865558314</t>
  </si>
  <si>
    <t>企業管理非選題型完全攻略</t>
  </si>
  <si>
    <t>9789865558369</t>
  </si>
  <si>
    <t>專案管理輕鬆學：PMP國際專案管理師教戰寶典</t>
  </si>
  <si>
    <t>9789864345250</t>
  </si>
  <si>
    <t>胡世雄，江軍，彭立言</t>
  </si>
  <si>
    <t>Scratch 3.0動畫遊戲設計</t>
  </si>
  <si>
    <t>9789864345281</t>
  </si>
  <si>
    <t>9789865558574</t>
  </si>
  <si>
    <t>9789865558680</t>
  </si>
  <si>
    <t>9789865558628</t>
  </si>
  <si>
    <t>“以人为本”高校体育教育研究</t>
  </si>
  <si>
    <t>9787557675141</t>
  </si>
  <si>
    <t>天津科学技术出版社有限公司</t>
  </si>
  <si>
    <t>孙丽娜</t>
  </si>
  <si>
    <t>大学生创新创业实务教程</t>
  </si>
  <si>
    <t>9787557674564</t>
  </si>
  <si>
    <t>宋俊骥，刘华，陈倩</t>
  </si>
  <si>
    <t>组织运作实践模拟：角色扮演与情境体会</t>
  </si>
  <si>
    <t>9787301277362</t>
  </si>
  <si>
    <t>姚小涛</t>
  </si>
  <si>
    <t>植物发育生物学常用实验技术</t>
  </si>
  <si>
    <t>9787301282021</t>
  </si>
  <si>
    <t>王东辉</t>
  </si>
  <si>
    <t>仲裁法学</t>
  </si>
  <si>
    <t>9787301232897</t>
  </si>
  <si>
    <t>宋朝武</t>
  </si>
  <si>
    <t>9787301234792</t>
  </si>
  <si>
    <t>大学生心理健康培育</t>
  </si>
  <si>
    <t>9787557676810</t>
  </si>
  <si>
    <t>黄家玲</t>
  </si>
  <si>
    <t>会计信息化</t>
  </si>
  <si>
    <t>9787557681463</t>
  </si>
  <si>
    <t>董煜，吴红霞</t>
  </si>
  <si>
    <t>计算机应用基础：实务式一体化教材</t>
  </si>
  <si>
    <t>9787557685911</t>
  </si>
  <si>
    <t>卢燕，王飞</t>
  </si>
  <si>
    <t>基于萨提亚模式的大学生心理健康教育课程设计</t>
  </si>
  <si>
    <t>9787557682576</t>
  </si>
  <si>
    <t>魏荣霞</t>
  </si>
  <si>
    <t>现代大学体育：传统体育健身</t>
  </si>
  <si>
    <t>9787557684334</t>
  </si>
  <si>
    <t>宿继光</t>
  </si>
  <si>
    <t>现代大学体育：健身健美运动</t>
  </si>
  <si>
    <t>9787557684341</t>
  </si>
  <si>
    <t>李江霞</t>
  </si>
  <si>
    <t>现代大学体育：乒羽网运动</t>
  </si>
  <si>
    <t>9787557684358</t>
  </si>
  <si>
    <t>贾鹏</t>
  </si>
  <si>
    <t>现代大学体育：武术套路与技击运动</t>
  </si>
  <si>
    <t>9787557684655</t>
  </si>
  <si>
    <t>张江华</t>
  </si>
  <si>
    <t>现代大学体育：休闲体育</t>
  </si>
  <si>
    <t>9787557684662</t>
  </si>
  <si>
    <t>于芳</t>
  </si>
  <si>
    <t>现代大学体育：足篮排运动</t>
  </si>
  <si>
    <t>9787557684686</t>
  </si>
  <si>
    <t>吴剑</t>
  </si>
  <si>
    <t>基于语言学理论的英语教学策略研究</t>
  </si>
  <si>
    <t>9787557663865</t>
  </si>
  <si>
    <t>欧小艳，吴传珍，汪玲</t>
  </si>
  <si>
    <t>帝国、蛮族与封建法</t>
  </si>
  <si>
    <t>9787301183847</t>
  </si>
  <si>
    <t>蔡乐钊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</si>
</sst>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name val="新細明體"/>
      <family val="1"/>
      <scheme val="minor"/>
    </font>
    <font>
      <sz val="12"/>
      <color theme="1"/>
      <name val="新細明體"/>
      <family val="2"/>
      <scheme val="minor"/>
    </font>
    <font>
      <b/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65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12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color rgb="FF0000FF"/>
      <name val="新細明體"/>
      <family val="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10" borderId="0">
      <alignment vertical="center"/>
    </xf>
    <xf numFmtId="0" fontId="1" fillId="14" borderId="0">
      <alignment vertical="center"/>
    </xf>
    <xf numFmtId="0" fontId="1" fillId="18" borderId="0">
      <alignment vertical="center"/>
    </xf>
    <xf numFmtId="0" fontId="1" fillId="22" borderId="0">
      <alignment vertical="center"/>
    </xf>
    <xf numFmtId="0" fontId="1" fillId="26" borderId="0">
      <alignment vertical="center"/>
    </xf>
    <xf numFmtId="0" fontId="1" fillId="30" borderId="0">
      <alignment vertical="center"/>
    </xf>
    <xf numFmtId="0" fontId="1" fillId="11" borderId="0">
      <alignment vertical="center"/>
    </xf>
    <xf numFmtId="0" fontId="1" fillId="15" borderId="0">
      <alignment vertical="center"/>
    </xf>
    <xf numFmtId="0" fontId="1" fillId="19" borderId="0">
      <alignment vertical="center"/>
    </xf>
    <xf numFmtId="0" fontId="1" fillId="23" borderId="0">
      <alignment vertical="center"/>
    </xf>
    <xf numFmtId="0" fontId="1" fillId="27" borderId="0">
      <alignment vertical="center"/>
    </xf>
    <xf numFmtId="0" fontId="1" fillId="31" borderId="0">
      <alignment vertical="center"/>
    </xf>
    <xf numFmtId="0" fontId="17" fillId="12" borderId="0">
      <alignment vertical="center"/>
    </xf>
    <xf numFmtId="0" fontId="17" fillId="16" borderId="0">
      <alignment vertical="center"/>
    </xf>
    <xf numFmtId="0" fontId="17" fillId="20" borderId="0">
      <alignment vertical="center"/>
    </xf>
    <xf numFmtId="0" fontId="17" fillId="24" borderId="0">
      <alignment vertical="center"/>
    </xf>
    <xf numFmtId="0" fontId="17" fillId="28" borderId="0">
      <alignment vertical="center"/>
    </xf>
    <xf numFmtId="0" fontId="17" fillId="32" borderId="0">
      <alignment vertical="center"/>
    </xf>
    <xf numFmtId="0" fontId="8" fillId="4" borderId="0">
      <alignment vertical="center"/>
    </xf>
    <xf numFmtId="0" fontId="16" fillId="0" borderId="9">
      <alignment vertical="center"/>
    </xf>
    <xf numFmtId="0" fontId="6" fillId="2" borderId="0">
      <alignment vertical="center"/>
    </xf>
    <xf numFmtId="0" fontId="11" fillId="6" borderId="4">
      <alignment vertical="center"/>
    </xf>
    <xf numFmtId="0" fontId="12" fillId="0" borderId="6">
      <alignment vertical="center"/>
    </xf>
    <xf numFmtId="0" fontId="1" fillId="8" borderId="8">
      <alignment vertical="center"/>
    </xf>
    <xf numFmtId="0" fontId="15" fillId="0" borderId="0">
      <alignment vertical="center"/>
    </xf>
    <xf numFmtId="0" fontId="17" fillId="9" borderId="0">
      <alignment vertical="center"/>
    </xf>
    <xf numFmtId="0" fontId="17" fillId="13" borderId="0">
      <alignment vertical="center"/>
    </xf>
    <xf numFmtId="0" fontId="17" fillId="17" borderId="0">
      <alignment vertical="center"/>
    </xf>
    <xf numFmtId="0" fontId="17" fillId="21" borderId="0">
      <alignment vertical="center"/>
    </xf>
    <xf numFmtId="0" fontId="17" fillId="25" borderId="0">
      <alignment vertical="center"/>
    </xf>
    <xf numFmtId="0" fontId="17" fillId="29" borderId="0">
      <alignment vertical="center"/>
    </xf>
    <xf numFmtId="0" fontId="2" fillId="0" borderId="0">
      <alignment vertical="center"/>
    </xf>
    <xf numFmtId="0" fontId="3" fillId="0" borderId="1">
      <alignment vertical="center"/>
    </xf>
    <xf numFmtId="0" fontId="4" fillId="0" borderId="2">
      <alignment vertical="center"/>
    </xf>
    <xf numFmtId="0" fontId="5" fillId="0" borderId="3">
      <alignment vertical="center"/>
    </xf>
    <xf numFmtId="0" fontId="5" fillId="0" borderId="0">
      <alignment vertical="center"/>
    </xf>
    <xf numFmtId="0" fontId="9" fillId="5" borderId="4">
      <alignment vertical="center"/>
    </xf>
    <xf numFmtId="0" fontId="10" fillId="6" borderId="5">
      <alignment vertical="center"/>
    </xf>
    <xf numFmtId="0" fontId="13" fillId="7" borderId="7">
      <alignment vertical="center"/>
    </xf>
    <xf numFmtId="0" fontId="7" fillId="3" borderId="0">
      <alignment vertical="center"/>
    </xf>
    <xf numFmtId="0" fontId="14" fillId="0" borderId="0">
      <alignment vertical="center"/>
    </xf>
    <xf numFmtId="0" fontId="18" fillId="10" borderId="0">
      <alignment vertical="center"/>
    </xf>
  </cellStyleXfs>
  <cellXfs count="14">
    <xf numFmtId="0" fontId="1" fillId="10" borderId="0" xfId="0" applyNumberFormat="1" applyFont="1" applyFill="1" applyBorder="1">
      <alignment vertical="center"/>
    </xf>
    <xf numFmtId="0" fontId="18" fillId="0" borderId="0" xfId="0" applyNumberFormat="1" applyFont="1" applyFill="1" applyBorder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" fillId="10" borderId="0" xfId="0" applyNumberFormat="1" applyFont="1" applyFill="1" applyBorder="1" applyAlignment="1">
      <alignment vertical="center" wrapText="1"/>
    </xf>
    <xf numFmtId="0" fontId="20" fillId="34" borderId="11" xfId="0" applyNumberFormat="1" applyFont="1" applyFill="1" applyBorder="1" applyAlignment="1">
      <alignment vertical="center" wrapText="1"/>
    </xf>
  </cellXfs>
  <cellStyles count="42">
    <cellStyle name="20% - 輔色1" xfId="41" builtinId="30" customBuiltin="1"/>
    <cellStyle name="20% - 輔色2" xfId="1" builtinId="34" customBuiltin="1"/>
    <cellStyle name="20% - 輔色3" xfId="2" builtinId="38" customBuiltin="1"/>
    <cellStyle name="20% - 輔色4" xfId="3" builtinId="42" customBuiltin="1"/>
    <cellStyle name="20% - 輔色5" xfId="4" builtinId="46" customBuiltin="1"/>
    <cellStyle name="20% - 輔色6" xfId="5" builtinId="50" customBuiltin="1"/>
    <cellStyle name="40% - 輔色1" xfId="6" builtinId="31" customBuiltin="1"/>
    <cellStyle name="40% - 輔色2" xfId="7" builtinId="35" customBuiltin="1"/>
    <cellStyle name="40% - 輔色3" xfId="8" builtinId="39" customBuiltin="1"/>
    <cellStyle name="40% - 輔色4" xfId="9" builtinId="43" customBuiltin="1"/>
    <cellStyle name="40% - 輔色5" xfId="10" builtinId="47" customBuiltin="1"/>
    <cellStyle name="40% - 輔色6" xfId="11" builtinId="51" customBuiltin="1"/>
    <cellStyle name="60% - 輔色1" xfId="12" builtinId="32" customBuiltin="1"/>
    <cellStyle name="60% - 輔色2" xfId="13" builtinId="36" customBuiltin="1"/>
    <cellStyle name="60% - 輔色3" xfId="14" builtinId="40" customBuiltin="1"/>
    <cellStyle name="60% - 輔色4" xfId="15" builtinId="44" customBuiltin="1"/>
    <cellStyle name="60% - 輔色5" xfId="16" builtinId="48" customBuiltin="1"/>
    <cellStyle name="60% - 輔色6" xfId="17" builtinId="52" customBuiltin="1"/>
    <cellStyle name="一般" xfId="0" builtinId="0"/>
    <cellStyle name="中等" xfId="18" builtinId="28" customBuiltin="1"/>
    <cellStyle name="合計" xfId="19" builtinId="25" customBuiltin="1"/>
    <cellStyle name="好" xfId="20" builtinId="26" customBuiltin="1"/>
    <cellStyle name="計算方式" xfId="21" builtinId="22" customBuiltin="1"/>
    <cellStyle name="連結的儲存格" xfId="22" builtinId="24" customBuiltin="1"/>
    <cellStyle name="備註" xfId="23" builtinId="10" customBuiltin="1"/>
    <cellStyle name="說明文字" xfId="24" builtinId="53" customBuiltin="1"/>
    <cellStyle name="輔色1" xfId="25" builtinId="29" customBuiltin="1"/>
    <cellStyle name="輔色2" xfId="26" builtinId="33" customBuiltin="1"/>
    <cellStyle name="輔色3" xfId="27" builtinId="37" customBuiltin="1"/>
    <cellStyle name="輔色4" xfId="28" builtinId="41" customBuiltin="1"/>
    <cellStyle name="輔色5" xfId="29" builtinId="45" customBuiltin="1"/>
    <cellStyle name="輔色6" xfId="30" builtinId="49" customBuiltin="1"/>
    <cellStyle name="標題" xfId="31" builtinId="15" customBuiltin="1"/>
    <cellStyle name="標題 1" xfId="32" builtinId="16" customBuiltin="1"/>
    <cellStyle name="標題 2" xfId="33" builtinId="17" customBuiltin="1"/>
    <cellStyle name="標題 3" xfId="34" builtinId="18" customBuiltin="1"/>
    <cellStyle name="標題 4" xfId="35" builtinId="19" customBuiltin="1"/>
    <cellStyle name="輸入" xfId="36" builtinId="20" customBuiltin="1"/>
    <cellStyle name="輸出" xfId="37" builtinId="21" customBuiltin="1"/>
    <cellStyle name="檢查儲存格" xfId="38" builtinId="23" customBuiltin="1"/>
    <cellStyle name="壞" xfId="39" builtinId="27" customBuiltin="1"/>
    <cellStyle name="警告文字" xfId="4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9"/>
  <sheetViews>
    <sheetView showGridLines="0" tabSelected="1" workbookViewId="0">
      <selection activeCell="G3" sqref="G3"/>
    </sheetView>
  </sheetViews>
  <sheetFormatPr defaultRowHeight="17" x14ac:dyDescent="0.4"/>
  <cols>
    <col min="1" max="1" width="21.6328125" style="11" customWidth="1"/>
    <col min="2" max="2" width="18.81640625" style="11" customWidth="1"/>
    <col min="3" max="3" width="16.90625" style="11" customWidth="1"/>
    <col min="4" max="4" width="10.6328125" style="11" customWidth="1"/>
    <col min="5" max="5" width="8.81640625" style="11" customWidth="1"/>
    <col min="6" max="6" width="8.90625" style="12"/>
    <col min="7" max="7" width="9.36328125" style="11" customWidth="1"/>
    <col min="8" max="8" width="11" style="1" customWidth="1"/>
    <col min="9" max="9" width="8.6328125" style="1" customWidth="1"/>
    <col min="10" max="11" width="32.81640625" style="11" customWidth="1"/>
  </cols>
  <sheetData>
    <row r="1" spans="1:11" x14ac:dyDescent="0.4">
      <c r="A1" s="2" t="s">
        <v>0</v>
      </c>
      <c r="B1" s="3" t="s">
        <v>1</v>
      </c>
      <c r="C1" s="8"/>
      <c r="D1" s="8"/>
      <c r="E1" s="8"/>
    </row>
    <row r="2" spans="1:11" x14ac:dyDescent="0.4">
      <c r="A2" s="2" t="s">
        <v>2</v>
      </c>
      <c r="B2" s="4" t="s">
        <v>3</v>
      </c>
      <c r="C2" s="8"/>
      <c r="D2" s="8"/>
      <c r="E2" s="8"/>
    </row>
    <row r="3" spans="1:11" x14ac:dyDescent="0.4">
      <c r="A3" s="2" t="s">
        <v>4</v>
      </c>
      <c r="B3" s="5" t="s">
        <v>5</v>
      </c>
      <c r="C3" s="8"/>
      <c r="D3" s="8"/>
      <c r="E3" s="8"/>
    </row>
    <row r="4" spans="1:11" x14ac:dyDescent="0.4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6" t="s">
        <v>13</v>
      </c>
      <c r="I4" s="6" t="s">
        <v>14</v>
      </c>
      <c r="J4" s="9" t="s">
        <v>15</v>
      </c>
      <c r="K4" s="9" t="s">
        <v>15</v>
      </c>
    </row>
    <row r="5" spans="1:11" ht="51" x14ac:dyDescent="0.4">
      <c r="A5" s="10" t="s">
        <v>6742</v>
      </c>
      <c r="B5" s="10" t="s">
        <v>6743</v>
      </c>
      <c r="C5" s="10" t="s">
        <v>848</v>
      </c>
      <c r="D5" s="10" t="s">
        <v>849</v>
      </c>
      <c r="E5" s="10" t="s">
        <v>6744</v>
      </c>
      <c r="F5" s="10" t="s">
        <v>851</v>
      </c>
      <c r="G5" s="10" t="s">
        <v>502</v>
      </c>
      <c r="H5" s="7" t="s">
        <v>24</v>
      </c>
      <c r="I5" s="7" t="s">
        <v>25</v>
      </c>
      <c r="J5" s="13" t="str">
        <f>HYPERLINK("https://www.airitibooks.com/Detail/Detail?PublicationID=P20170522330", "https://www.airitibooks.com/Detail/Detail?PublicationID=P20170522330")</f>
        <v>https://www.airitibooks.com/Detail/Detail?PublicationID=P20170522330</v>
      </c>
      <c r="K5" s="13" t="str">
        <f>HYPERLINK("https://ntsu.idm.oclc.org/login?url=https://www.airitibooks.com/Detail/Detail?PublicationID=P20170522330", "https://ntsu.idm.oclc.org/login?url=https://www.airitibooks.com/Detail/Detail?PublicationID=P20170522330")</f>
        <v>https://ntsu.idm.oclc.org/login?url=https://www.airitibooks.com/Detail/Detail?PublicationID=P20170522330</v>
      </c>
    </row>
    <row r="6" spans="1:11" ht="51" x14ac:dyDescent="0.4">
      <c r="A6" s="10" t="s">
        <v>6739</v>
      </c>
      <c r="B6" s="10" t="s">
        <v>6740</v>
      </c>
      <c r="C6" s="10" t="s">
        <v>848</v>
      </c>
      <c r="D6" s="10" t="s">
        <v>849</v>
      </c>
      <c r="E6" s="10" t="s">
        <v>6741</v>
      </c>
      <c r="F6" s="10" t="s">
        <v>851</v>
      </c>
      <c r="G6" s="10" t="s">
        <v>502</v>
      </c>
      <c r="H6" s="7" t="s">
        <v>24</v>
      </c>
      <c r="I6" s="7" t="s">
        <v>25</v>
      </c>
      <c r="J6" s="13" t="str">
        <f>HYPERLINK("https://www.airitibooks.com/Detail/Detail?PublicationID=P20170522329", "https://www.airitibooks.com/Detail/Detail?PublicationID=P20170522329")</f>
        <v>https://www.airitibooks.com/Detail/Detail?PublicationID=P20170522329</v>
      </c>
      <c r="K6" s="13" t="str">
        <f>HYPERLINK("https://ntsu.idm.oclc.org/login?url=https://www.airitibooks.com/Detail/Detail?PublicationID=P20170522329", "https://ntsu.idm.oclc.org/login?url=https://www.airitibooks.com/Detail/Detail?PublicationID=P20170522329")</f>
        <v>https://ntsu.idm.oclc.org/login?url=https://www.airitibooks.com/Detail/Detail?PublicationID=P20170522329</v>
      </c>
    </row>
    <row r="7" spans="1:11" ht="51" x14ac:dyDescent="0.4">
      <c r="A7" s="10" t="s">
        <v>6736</v>
      </c>
      <c r="B7" s="10" t="s">
        <v>6737</v>
      </c>
      <c r="C7" s="10" t="s">
        <v>848</v>
      </c>
      <c r="D7" s="10" t="s">
        <v>849</v>
      </c>
      <c r="E7" s="10" t="s">
        <v>6738</v>
      </c>
      <c r="F7" s="10" t="s">
        <v>851</v>
      </c>
      <c r="G7" s="10" t="s">
        <v>502</v>
      </c>
      <c r="H7" s="7" t="s">
        <v>24</v>
      </c>
      <c r="I7" s="7" t="s">
        <v>25</v>
      </c>
      <c r="J7" s="13" t="str">
        <f>HYPERLINK("https://www.airitibooks.com/Detail/Detail?PublicationID=P20170522328", "https://www.airitibooks.com/Detail/Detail?PublicationID=P20170522328")</f>
        <v>https://www.airitibooks.com/Detail/Detail?PublicationID=P20170522328</v>
      </c>
      <c r="K7" s="13" t="str">
        <f>HYPERLINK("https://ntsu.idm.oclc.org/login?url=https://www.airitibooks.com/Detail/Detail?PublicationID=P20170522328", "https://ntsu.idm.oclc.org/login?url=https://www.airitibooks.com/Detail/Detail?PublicationID=P20170522328")</f>
        <v>https://ntsu.idm.oclc.org/login?url=https://www.airitibooks.com/Detail/Detail?PublicationID=P20170522328</v>
      </c>
    </row>
    <row r="8" spans="1:11" ht="51" x14ac:dyDescent="0.4">
      <c r="A8" s="10" t="s">
        <v>6731</v>
      </c>
      <c r="B8" s="10" t="s">
        <v>6732</v>
      </c>
      <c r="C8" s="10" t="s">
        <v>848</v>
      </c>
      <c r="D8" s="10" t="s">
        <v>849</v>
      </c>
      <c r="E8" s="10" t="s">
        <v>6733</v>
      </c>
      <c r="F8" s="10" t="s">
        <v>851</v>
      </c>
      <c r="G8" s="10" t="s">
        <v>502</v>
      </c>
      <c r="H8" s="7" t="s">
        <v>24</v>
      </c>
      <c r="I8" s="7" t="s">
        <v>25</v>
      </c>
      <c r="J8" s="13" t="str">
        <f>HYPERLINK("https://www.airitibooks.com/Detail/Detail?PublicationID=P20170522326", "https://www.airitibooks.com/Detail/Detail?PublicationID=P20170522326")</f>
        <v>https://www.airitibooks.com/Detail/Detail?PublicationID=P20170522326</v>
      </c>
      <c r="K8" s="13" t="str">
        <f>HYPERLINK("https://ntsu.idm.oclc.org/login?url=https://www.airitibooks.com/Detail/Detail?PublicationID=P20170522326", "https://ntsu.idm.oclc.org/login?url=https://www.airitibooks.com/Detail/Detail?PublicationID=P20170522326")</f>
        <v>https://ntsu.idm.oclc.org/login?url=https://www.airitibooks.com/Detail/Detail?PublicationID=P20170522326</v>
      </c>
    </row>
    <row r="9" spans="1:11" ht="51" x14ac:dyDescent="0.4">
      <c r="A9" s="10" t="s">
        <v>6734</v>
      </c>
      <c r="B9" s="10" t="s">
        <v>6735</v>
      </c>
      <c r="C9" s="10" t="s">
        <v>848</v>
      </c>
      <c r="D9" s="10" t="s">
        <v>849</v>
      </c>
      <c r="E9" s="10" t="s">
        <v>6733</v>
      </c>
      <c r="F9" s="10" t="s">
        <v>851</v>
      </c>
      <c r="G9" s="10" t="s">
        <v>502</v>
      </c>
      <c r="H9" s="7" t="s">
        <v>24</v>
      </c>
      <c r="I9" s="7" t="s">
        <v>25</v>
      </c>
      <c r="J9" s="13" t="str">
        <f>HYPERLINK("https://www.airitibooks.com/Detail/Detail?PublicationID=P20170522327", "https://www.airitibooks.com/Detail/Detail?PublicationID=P20170522327")</f>
        <v>https://www.airitibooks.com/Detail/Detail?PublicationID=P20170522327</v>
      </c>
      <c r="K9" s="13" t="str">
        <f>HYPERLINK("https://ntsu.idm.oclc.org/login?url=https://www.airitibooks.com/Detail/Detail?PublicationID=P20170522327", "https://ntsu.idm.oclc.org/login?url=https://www.airitibooks.com/Detail/Detail?PublicationID=P20170522327")</f>
        <v>https://ntsu.idm.oclc.org/login?url=https://www.airitibooks.com/Detail/Detail?PublicationID=P20170522327</v>
      </c>
    </row>
    <row r="10" spans="1:11" ht="51" x14ac:dyDescent="0.4">
      <c r="A10" s="10" t="s">
        <v>6728</v>
      </c>
      <c r="B10" s="10" t="s">
        <v>6729</v>
      </c>
      <c r="C10" s="10" t="s">
        <v>848</v>
      </c>
      <c r="D10" s="10" t="s">
        <v>849</v>
      </c>
      <c r="E10" s="10" t="s">
        <v>6730</v>
      </c>
      <c r="F10" s="10" t="s">
        <v>851</v>
      </c>
      <c r="G10" s="10" t="s">
        <v>502</v>
      </c>
      <c r="H10" s="7" t="s">
        <v>24</v>
      </c>
      <c r="I10" s="7" t="s">
        <v>25</v>
      </c>
      <c r="J10" s="13" t="str">
        <f>HYPERLINK("https://www.airitibooks.com/Detail/Detail?PublicationID=P20170522323", "https://www.airitibooks.com/Detail/Detail?PublicationID=P20170522323")</f>
        <v>https://www.airitibooks.com/Detail/Detail?PublicationID=P20170522323</v>
      </c>
      <c r="K10" s="13" t="str">
        <f>HYPERLINK("https://ntsu.idm.oclc.org/login?url=https://www.airitibooks.com/Detail/Detail?PublicationID=P20170522323", "https://ntsu.idm.oclc.org/login?url=https://www.airitibooks.com/Detail/Detail?PublicationID=P20170522323")</f>
        <v>https://ntsu.idm.oclc.org/login?url=https://www.airitibooks.com/Detail/Detail?PublicationID=P20170522323</v>
      </c>
    </row>
    <row r="11" spans="1:11" ht="51" x14ac:dyDescent="0.4">
      <c r="A11" s="10" t="s">
        <v>4314</v>
      </c>
      <c r="B11" s="10" t="s">
        <v>4315</v>
      </c>
      <c r="C11" s="10" t="s">
        <v>848</v>
      </c>
      <c r="D11" s="10" t="s">
        <v>849</v>
      </c>
      <c r="E11" s="10" t="s">
        <v>4316</v>
      </c>
      <c r="F11" s="10" t="s">
        <v>851</v>
      </c>
      <c r="G11" s="10" t="s">
        <v>502</v>
      </c>
      <c r="H11" s="7" t="s">
        <v>24</v>
      </c>
      <c r="I11" s="7" t="s">
        <v>25</v>
      </c>
      <c r="J11" s="13" t="str">
        <f>HYPERLINK("https://www.airitibooks.com/Detail/Detail?PublicationID=P20160315031", "https://www.airitibooks.com/Detail/Detail?PublicationID=P20160315031")</f>
        <v>https://www.airitibooks.com/Detail/Detail?PublicationID=P20160315031</v>
      </c>
      <c r="K11" s="13" t="str">
        <f>HYPERLINK("https://ntsu.idm.oclc.org/login?url=https://www.airitibooks.com/Detail/Detail?PublicationID=P20160315031", "https://ntsu.idm.oclc.org/login?url=https://www.airitibooks.com/Detail/Detail?PublicationID=P20160315031")</f>
        <v>https://ntsu.idm.oclc.org/login?url=https://www.airitibooks.com/Detail/Detail?PublicationID=P20160315031</v>
      </c>
    </row>
    <row r="12" spans="1:11" ht="51" x14ac:dyDescent="0.4">
      <c r="A12" s="10" t="s">
        <v>6725</v>
      </c>
      <c r="B12" s="10" t="s">
        <v>6726</v>
      </c>
      <c r="C12" s="10" t="s">
        <v>848</v>
      </c>
      <c r="D12" s="10" t="s">
        <v>849</v>
      </c>
      <c r="E12" s="10" t="s">
        <v>6727</v>
      </c>
      <c r="F12" s="10" t="s">
        <v>851</v>
      </c>
      <c r="G12" s="10" t="s">
        <v>502</v>
      </c>
      <c r="H12" s="7" t="s">
        <v>24</v>
      </c>
      <c r="I12" s="7" t="s">
        <v>25</v>
      </c>
      <c r="J12" s="13" t="str">
        <f>HYPERLINK("https://www.airitibooks.com/Detail/Detail?PublicationID=P20170522322", "https://www.airitibooks.com/Detail/Detail?PublicationID=P20170522322")</f>
        <v>https://www.airitibooks.com/Detail/Detail?PublicationID=P20170522322</v>
      </c>
      <c r="K12" s="13" t="str">
        <f>HYPERLINK("https://ntsu.idm.oclc.org/login?url=https://www.airitibooks.com/Detail/Detail?PublicationID=P20170522322", "https://ntsu.idm.oclc.org/login?url=https://www.airitibooks.com/Detail/Detail?PublicationID=P20170522322")</f>
        <v>https://ntsu.idm.oclc.org/login?url=https://www.airitibooks.com/Detail/Detail?PublicationID=P20170522322</v>
      </c>
    </row>
    <row r="13" spans="1:11" ht="51" x14ac:dyDescent="0.4">
      <c r="A13" s="10" t="s">
        <v>4311</v>
      </c>
      <c r="B13" s="10" t="s">
        <v>4312</v>
      </c>
      <c r="C13" s="10" t="s">
        <v>848</v>
      </c>
      <c r="D13" s="10" t="s">
        <v>849</v>
      </c>
      <c r="E13" s="10" t="s">
        <v>4313</v>
      </c>
      <c r="F13" s="10" t="s">
        <v>851</v>
      </c>
      <c r="G13" s="10" t="s">
        <v>502</v>
      </c>
      <c r="H13" s="7" t="s">
        <v>24</v>
      </c>
      <c r="I13" s="7" t="s">
        <v>25</v>
      </c>
      <c r="J13" s="13" t="str">
        <f>HYPERLINK("https://www.airitibooks.com/Detail/Detail?PublicationID=P20160315030", "https://www.airitibooks.com/Detail/Detail?PublicationID=P20160315030")</f>
        <v>https://www.airitibooks.com/Detail/Detail?PublicationID=P20160315030</v>
      </c>
      <c r="K13" s="13" t="str">
        <f>HYPERLINK("https://ntsu.idm.oclc.org/login?url=https://www.airitibooks.com/Detail/Detail?PublicationID=P20160315030", "https://ntsu.idm.oclc.org/login?url=https://www.airitibooks.com/Detail/Detail?PublicationID=P20160315030")</f>
        <v>https://ntsu.idm.oclc.org/login?url=https://www.airitibooks.com/Detail/Detail?PublicationID=P20160315030</v>
      </c>
    </row>
    <row r="14" spans="1:11" ht="51" x14ac:dyDescent="0.4">
      <c r="A14" s="10" t="s">
        <v>6721</v>
      </c>
      <c r="B14" s="10" t="s">
        <v>6722</v>
      </c>
      <c r="C14" s="10" t="s">
        <v>848</v>
      </c>
      <c r="D14" s="10" t="s">
        <v>849</v>
      </c>
      <c r="E14" s="10" t="s">
        <v>4313</v>
      </c>
      <c r="F14" s="10" t="s">
        <v>851</v>
      </c>
      <c r="G14" s="10" t="s">
        <v>502</v>
      </c>
      <c r="H14" s="7" t="s">
        <v>24</v>
      </c>
      <c r="I14" s="7" t="s">
        <v>25</v>
      </c>
      <c r="J14" s="13" t="str">
        <f>HYPERLINK("https://www.airitibooks.com/Detail/Detail?PublicationID=P20170522320", "https://www.airitibooks.com/Detail/Detail?PublicationID=P20170522320")</f>
        <v>https://www.airitibooks.com/Detail/Detail?PublicationID=P20170522320</v>
      </c>
      <c r="K14" s="13" t="str">
        <f>HYPERLINK("https://ntsu.idm.oclc.org/login?url=https://www.airitibooks.com/Detail/Detail?PublicationID=P20170522320", "https://ntsu.idm.oclc.org/login?url=https://www.airitibooks.com/Detail/Detail?PublicationID=P20170522320")</f>
        <v>https://ntsu.idm.oclc.org/login?url=https://www.airitibooks.com/Detail/Detail?PublicationID=P20170522320</v>
      </c>
    </row>
    <row r="15" spans="1:11" ht="51" x14ac:dyDescent="0.4">
      <c r="A15" s="10" t="s">
        <v>6723</v>
      </c>
      <c r="B15" s="10" t="s">
        <v>6724</v>
      </c>
      <c r="C15" s="10" t="s">
        <v>848</v>
      </c>
      <c r="D15" s="10" t="s">
        <v>849</v>
      </c>
      <c r="E15" s="10" t="s">
        <v>4313</v>
      </c>
      <c r="F15" s="10" t="s">
        <v>851</v>
      </c>
      <c r="G15" s="10" t="s">
        <v>502</v>
      </c>
      <c r="H15" s="7" t="s">
        <v>24</v>
      </c>
      <c r="I15" s="7" t="s">
        <v>25</v>
      </c>
      <c r="J15" s="13" t="str">
        <f>HYPERLINK("https://www.airitibooks.com/Detail/Detail?PublicationID=P20170522321", "https://www.airitibooks.com/Detail/Detail?PublicationID=P20170522321")</f>
        <v>https://www.airitibooks.com/Detail/Detail?PublicationID=P20170522321</v>
      </c>
      <c r="K15" s="13" t="str">
        <f>HYPERLINK("https://ntsu.idm.oclc.org/login?url=https://www.airitibooks.com/Detail/Detail?PublicationID=P20170522321", "https://ntsu.idm.oclc.org/login?url=https://www.airitibooks.com/Detail/Detail?PublicationID=P20170522321")</f>
        <v>https://ntsu.idm.oclc.org/login?url=https://www.airitibooks.com/Detail/Detail?PublicationID=P20170522321</v>
      </c>
    </row>
    <row r="16" spans="1:11" ht="68" x14ac:dyDescent="0.4">
      <c r="A16" s="10" t="s">
        <v>4308</v>
      </c>
      <c r="B16" s="10" t="s">
        <v>4309</v>
      </c>
      <c r="C16" s="10" t="s">
        <v>848</v>
      </c>
      <c r="D16" s="10" t="s">
        <v>849</v>
      </c>
      <c r="E16" s="10" t="s">
        <v>4310</v>
      </c>
      <c r="F16" s="10" t="s">
        <v>851</v>
      </c>
      <c r="G16" s="10" t="s">
        <v>502</v>
      </c>
      <c r="H16" s="7" t="s">
        <v>24</v>
      </c>
      <c r="I16" s="7" t="s">
        <v>25</v>
      </c>
      <c r="J16" s="13" t="str">
        <f>HYPERLINK("https://www.airitibooks.com/Detail/Detail?PublicationID=P20160315029", "https://www.airitibooks.com/Detail/Detail?PublicationID=P20160315029")</f>
        <v>https://www.airitibooks.com/Detail/Detail?PublicationID=P20160315029</v>
      </c>
      <c r="K16" s="13" t="str">
        <f>HYPERLINK("https://ntsu.idm.oclc.org/login?url=https://www.airitibooks.com/Detail/Detail?PublicationID=P20160315029", "https://ntsu.idm.oclc.org/login?url=https://www.airitibooks.com/Detail/Detail?PublicationID=P20160315029")</f>
        <v>https://ntsu.idm.oclc.org/login?url=https://www.airitibooks.com/Detail/Detail?PublicationID=P20160315029</v>
      </c>
    </row>
    <row r="17" spans="1:11" ht="51" x14ac:dyDescent="0.4">
      <c r="A17" s="10" t="s">
        <v>4305</v>
      </c>
      <c r="B17" s="10" t="s">
        <v>4306</v>
      </c>
      <c r="C17" s="10" t="s">
        <v>848</v>
      </c>
      <c r="D17" s="10" t="s">
        <v>849</v>
      </c>
      <c r="E17" s="10" t="s">
        <v>4307</v>
      </c>
      <c r="F17" s="10" t="s">
        <v>851</v>
      </c>
      <c r="G17" s="10" t="s">
        <v>502</v>
      </c>
      <c r="H17" s="7" t="s">
        <v>24</v>
      </c>
      <c r="I17" s="7" t="s">
        <v>25</v>
      </c>
      <c r="J17" s="13" t="str">
        <f>HYPERLINK("https://www.airitibooks.com/Detail/Detail?PublicationID=P20160315028", "https://www.airitibooks.com/Detail/Detail?PublicationID=P20160315028")</f>
        <v>https://www.airitibooks.com/Detail/Detail?PublicationID=P20160315028</v>
      </c>
      <c r="K17" s="13" t="str">
        <f>HYPERLINK("https://ntsu.idm.oclc.org/login?url=https://www.airitibooks.com/Detail/Detail?PublicationID=P20160315028", "https://ntsu.idm.oclc.org/login?url=https://www.airitibooks.com/Detail/Detail?PublicationID=P20160315028")</f>
        <v>https://ntsu.idm.oclc.org/login?url=https://www.airitibooks.com/Detail/Detail?PublicationID=P20160315028</v>
      </c>
    </row>
    <row r="18" spans="1:11" ht="51" x14ac:dyDescent="0.4">
      <c r="A18" s="10" t="s">
        <v>4302</v>
      </c>
      <c r="B18" s="10" t="s">
        <v>4303</v>
      </c>
      <c r="C18" s="10" t="s">
        <v>848</v>
      </c>
      <c r="D18" s="10" t="s">
        <v>849</v>
      </c>
      <c r="E18" s="10" t="s">
        <v>4304</v>
      </c>
      <c r="F18" s="10" t="s">
        <v>851</v>
      </c>
      <c r="G18" s="10" t="s">
        <v>502</v>
      </c>
      <c r="H18" s="7" t="s">
        <v>24</v>
      </c>
      <c r="I18" s="7" t="s">
        <v>25</v>
      </c>
      <c r="J18" s="13" t="str">
        <f>HYPERLINK("https://www.airitibooks.com/Detail/Detail?PublicationID=P20160315027", "https://www.airitibooks.com/Detail/Detail?PublicationID=P20160315027")</f>
        <v>https://www.airitibooks.com/Detail/Detail?PublicationID=P20160315027</v>
      </c>
      <c r="K18" s="13" t="str">
        <f>HYPERLINK("https://ntsu.idm.oclc.org/login?url=https://www.airitibooks.com/Detail/Detail?PublicationID=P20160315027", "https://ntsu.idm.oclc.org/login?url=https://www.airitibooks.com/Detail/Detail?PublicationID=P20160315027")</f>
        <v>https://ntsu.idm.oclc.org/login?url=https://www.airitibooks.com/Detail/Detail?PublicationID=P20160315027</v>
      </c>
    </row>
    <row r="19" spans="1:11" ht="51" x14ac:dyDescent="0.4">
      <c r="A19" s="10" t="s">
        <v>4299</v>
      </c>
      <c r="B19" s="10" t="s">
        <v>4300</v>
      </c>
      <c r="C19" s="10" t="s">
        <v>848</v>
      </c>
      <c r="D19" s="10" t="s">
        <v>849</v>
      </c>
      <c r="E19" s="10" t="s">
        <v>4301</v>
      </c>
      <c r="F19" s="10" t="s">
        <v>851</v>
      </c>
      <c r="G19" s="10" t="s">
        <v>502</v>
      </c>
      <c r="H19" s="7" t="s">
        <v>24</v>
      </c>
      <c r="I19" s="7" t="s">
        <v>25</v>
      </c>
      <c r="J19" s="13" t="str">
        <f>HYPERLINK("https://www.airitibooks.com/Detail/Detail?PublicationID=P20160315026", "https://www.airitibooks.com/Detail/Detail?PublicationID=P20160315026")</f>
        <v>https://www.airitibooks.com/Detail/Detail?PublicationID=P20160315026</v>
      </c>
      <c r="K19" s="13" t="str">
        <f>HYPERLINK("https://ntsu.idm.oclc.org/login?url=https://www.airitibooks.com/Detail/Detail?PublicationID=P20160315026", "https://ntsu.idm.oclc.org/login?url=https://www.airitibooks.com/Detail/Detail?PublicationID=P20160315026")</f>
        <v>https://ntsu.idm.oclc.org/login?url=https://www.airitibooks.com/Detail/Detail?PublicationID=P20160315026</v>
      </c>
    </row>
    <row r="20" spans="1:11" ht="51" x14ac:dyDescent="0.4">
      <c r="A20" s="10" t="s">
        <v>4296</v>
      </c>
      <c r="B20" s="10" t="s">
        <v>4297</v>
      </c>
      <c r="C20" s="10" t="s">
        <v>848</v>
      </c>
      <c r="D20" s="10" t="s">
        <v>849</v>
      </c>
      <c r="E20" s="10" t="s">
        <v>4298</v>
      </c>
      <c r="F20" s="10" t="s">
        <v>851</v>
      </c>
      <c r="G20" s="10" t="s">
        <v>502</v>
      </c>
      <c r="H20" s="7" t="s">
        <v>24</v>
      </c>
      <c r="I20" s="7" t="s">
        <v>25</v>
      </c>
      <c r="J20" s="13" t="str">
        <f>HYPERLINK("https://www.airitibooks.com/Detail/Detail?PublicationID=P20160315025", "https://www.airitibooks.com/Detail/Detail?PublicationID=P20160315025")</f>
        <v>https://www.airitibooks.com/Detail/Detail?PublicationID=P20160315025</v>
      </c>
      <c r="K20" s="13" t="str">
        <f>HYPERLINK("https://ntsu.idm.oclc.org/login?url=https://www.airitibooks.com/Detail/Detail?PublicationID=P20160315025", "https://ntsu.idm.oclc.org/login?url=https://www.airitibooks.com/Detail/Detail?PublicationID=P20160315025")</f>
        <v>https://ntsu.idm.oclc.org/login?url=https://www.airitibooks.com/Detail/Detail?PublicationID=P20160315025</v>
      </c>
    </row>
    <row r="21" spans="1:11" ht="51" x14ac:dyDescent="0.4">
      <c r="A21" s="10" t="s">
        <v>4293</v>
      </c>
      <c r="B21" s="10" t="s">
        <v>4294</v>
      </c>
      <c r="C21" s="10" t="s">
        <v>848</v>
      </c>
      <c r="D21" s="10" t="s">
        <v>849</v>
      </c>
      <c r="E21" s="10" t="s">
        <v>4295</v>
      </c>
      <c r="F21" s="10" t="s">
        <v>851</v>
      </c>
      <c r="G21" s="10" t="s">
        <v>502</v>
      </c>
      <c r="H21" s="7" t="s">
        <v>24</v>
      </c>
      <c r="I21" s="7" t="s">
        <v>25</v>
      </c>
      <c r="J21" s="13" t="str">
        <f>HYPERLINK("https://www.airitibooks.com/Detail/Detail?PublicationID=P20160315024", "https://www.airitibooks.com/Detail/Detail?PublicationID=P20160315024")</f>
        <v>https://www.airitibooks.com/Detail/Detail?PublicationID=P20160315024</v>
      </c>
      <c r="K21" s="13" t="str">
        <f>HYPERLINK("https://ntsu.idm.oclc.org/login?url=https://www.airitibooks.com/Detail/Detail?PublicationID=P20160315024", "https://ntsu.idm.oclc.org/login?url=https://www.airitibooks.com/Detail/Detail?PublicationID=P20160315024")</f>
        <v>https://ntsu.idm.oclc.org/login?url=https://www.airitibooks.com/Detail/Detail?PublicationID=P20160315024</v>
      </c>
    </row>
    <row r="22" spans="1:11" ht="51" x14ac:dyDescent="0.4">
      <c r="A22" s="10" t="s">
        <v>10975</v>
      </c>
      <c r="B22" s="10" t="s">
        <v>10976</v>
      </c>
      <c r="C22" s="10" t="s">
        <v>10977</v>
      </c>
      <c r="D22" s="10" t="s">
        <v>10978</v>
      </c>
      <c r="E22" s="10" t="s">
        <v>4295</v>
      </c>
      <c r="F22" s="10" t="s">
        <v>10979</v>
      </c>
      <c r="G22" s="10" t="s">
        <v>502</v>
      </c>
      <c r="H22" s="7" t="s">
        <v>24</v>
      </c>
      <c r="I22" s="7" t="s">
        <v>25</v>
      </c>
      <c r="J22" s="13" t="str">
        <f>HYPERLINK("https://www.airitibooks.com/Detail/Detail?PublicationID=P20190329001", "https://www.airitibooks.com/Detail/Detail?PublicationID=P20190329001")</f>
        <v>https://www.airitibooks.com/Detail/Detail?PublicationID=P20190329001</v>
      </c>
      <c r="K22" s="13" t="str">
        <f>HYPERLINK("https://ntsu.idm.oclc.org/login?url=https://www.airitibooks.com/Detail/Detail?PublicationID=P20190329001", "https://ntsu.idm.oclc.org/login?url=https://www.airitibooks.com/Detail/Detail?PublicationID=P20190329001")</f>
        <v>https://ntsu.idm.oclc.org/login?url=https://www.airitibooks.com/Detail/Detail?PublicationID=P20190329001</v>
      </c>
    </row>
    <row r="23" spans="1:11" ht="51" x14ac:dyDescent="0.4">
      <c r="A23" s="10" t="s">
        <v>6718</v>
      </c>
      <c r="B23" s="10" t="s">
        <v>6719</v>
      </c>
      <c r="C23" s="10" t="s">
        <v>848</v>
      </c>
      <c r="D23" s="10" t="s">
        <v>849</v>
      </c>
      <c r="E23" s="10" t="s">
        <v>6720</v>
      </c>
      <c r="F23" s="10" t="s">
        <v>851</v>
      </c>
      <c r="G23" s="10" t="s">
        <v>502</v>
      </c>
      <c r="H23" s="7" t="s">
        <v>24</v>
      </c>
      <c r="I23" s="7" t="s">
        <v>25</v>
      </c>
      <c r="J23" s="13" t="str">
        <f>HYPERLINK("https://www.airitibooks.com/Detail/Detail?PublicationID=P20170522319", "https://www.airitibooks.com/Detail/Detail?PublicationID=P20170522319")</f>
        <v>https://www.airitibooks.com/Detail/Detail?PublicationID=P20170522319</v>
      </c>
      <c r="K23" s="13" t="str">
        <f>HYPERLINK("https://ntsu.idm.oclc.org/login?url=https://www.airitibooks.com/Detail/Detail?PublicationID=P20170522319", "https://ntsu.idm.oclc.org/login?url=https://www.airitibooks.com/Detail/Detail?PublicationID=P20170522319")</f>
        <v>https://ntsu.idm.oclc.org/login?url=https://www.airitibooks.com/Detail/Detail?PublicationID=P20170522319</v>
      </c>
    </row>
    <row r="24" spans="1:11" ht="51" x14ac:dyDescent="0.4">
      <c r="A24" s="10" t="s">
        <v>4290</v>
      </c>
      <c r="B24" s="10" t="s">
        <v>4291</v>
      </c>
      <c r="C24" s="10" t="s">
        <v>848</v>
      </c>
      <c r="D24" s="10" t="s">
        <v>849</v>
      </c>
      <c r="E24" s="10" t="s">
        <v>4292</v>
      </c>
      <c r="F24" s="10" t="s">
        <v>851</v>
      </c>
      <c r="G24" s="10" t="s">
        <v>502</v>
      </c>
      <c r="H24" s="7" t="s">
        <v>24</v>
      </c>
      <c r="I24" s="7" t="s">
        <v>25</v>
      </c>
      <c r="J24" s="13" t="str">
        <f>HYPERLINK("https://www.airitibooks.com/Detail/Detail?PublicationID=P20160315023", "https://www.airitibooks.com/Detail/Detail?PublicationID=P20160315023")</f>
        <v>https://www.airitibooks.com/Detail/Detail?PublicationID=P20160315023</v>
      </c>
      <c r="K24" s="13" t="str">
        <f>HYPERLINK("https://ntsu.idm.oclc.org/login?url=https://www.airitibooks.com/Detail/Detail?PublicationID=P20160315023", "https://ntsu.idm.oclc.org/login?url=https://www.airitibooks.com/Detail/Detail?PublicationID=P20160315023")</f>
        <v>https://ntsu.idm.oclc.org/login?url=https://www.airitibooks.com/Detail/Detail?PublicationID=P20160315023</v>
      </c>
    </row>
    <row r="25" spans="1:11" ht="51" x14ac:dyDescent="0.4">
      <c r="A25" s="10" t="s">
        <v>4287</v>
      </c>
      <c r="B25" s="10" t="s">
        <v>4288</v>
      </c>
      <c r="C25" s="10" t="s">
        <v>848</v>
      </c>
      <c r="D25" s="10" t="s">
        <v>849</v>
      </c>
      <c r="E25" s="10" t="s">
        <v>4289</v>
      </c>
      <c r="F25" s="10" t="s">
        <v>851</v>
      </c>
      <c r="G25" s="10" t="s">
        <v>502</v>
      </c>
      <c r="H25" s="7" t="s">
        <v>24</v>
      </c>
      <c r="I25" s="7" t="s">
        <v>25</v>
      </c>
      <c r="J25" s="13" t="str">
        <f>HYPERLINK("https://www.airitibooks.com/Detail/Detail?PublicationID=P20160315022", "https://www.airitibooks.com/Detail/Detail?PublicationID=P20160315022")</f>
        <v>https://www.airitibooks.com/Detail/Detail?PublicationID=P20160315022</v>
      </c>
      <c r="K25" s="13" t="str">
        <f>HYPERLINK("https://ntsu.idm.oclc.org/login?url=https://www.airitibooks.com/Detail/Detail?PublicationID=P20160315022", "https://ntsu.idm.oclc.org/login?url=https://www.airitibooks.com/Detail/Detail?PublicationID=P20160315022")</f>
        <v>https://ntsu.idm.oclc.org/login?url=https://www.airitibooks.com/Detail/Detail?PublicationID=P20160315022</v>
      </c>
    </row>
    <row r="26" spans="1:11" ht="51" x14ac:dyDescent="0.4">
      <c r="A26" s="10" t="s">
        <v>6715</v>
      </c>
      <c r="B26" s="10" t="s">
        <v>6716</v>
      </c>
      <c r="C26" s="10" t="s">
        <v>848</v>
      </c>
      <c r="D26" s="10" t="s">
        <v>849</v>
      </c>
      <c r="E26" s="10" t="s">
        <v>6717</v>
      </c>
      <c r="F26" s="10" t="s">
        <v>851</v>
      </c>
      <c r="G26" s="10" t="s">
        <v>502</v>
      </c>
      <c r="H26" s="7" t="s">
        <v>24</v>
      </c>
      <c r="I26" s="7" t="s">
        <v>25</v>
      </c>
      <c r="J26" s="13" t="str">
        <f>HYPERLINK("https://www.airitibooks.com/Detail/Detail?PublicationID=P20170522318", "https://www.airitibooks.com/Detail/Detail?PublicationID=P20170522318")</f>
        <v>https://www.airitibooks.com/Detail/Detail?PublicationID=P20170522318</v>
      </c>
      <c r="K26" s="13" t="str">
        <f>HYPERLINK("https://ntsu.idm.oclc.org/login?url=https://www.airitibooks.com/Detail/Detail?PublicationID=P20170522318", "https://ntsu.idm.oclc.org/login?url=https://www.airitibooks.com/Detail/Detail?PublicationID=P20170522318")</f>
        <v>https://ntsu.idm.oclc.org/login?url=https://www.airitibooks.com/Detail/Detail?PublicationID=P20170522318</v>
      </c>
    </row>
    <row r="27" spans="1:11" ht="51" x14ac:dyDescent="0.4">
      <c r="A27" s="10" t="s">
        <v>4284</v>
      </c>
      <c r="B27" s="10" t="s">
        <v>4285</v>
      </c>
      <c r="C27" s="10" t="s">
        <v>848</v>
      </c>
      <c r="D27" s="10" t="s">
        <v>849</v>
      </c>
      <c r="E27" s="10" t="s">
        <v>4286</v>
      </c>
      <c r="F27" s="10" t="s">
        <v>851</v>
      </c>
      <c r="G27" s="10" t="s">
        <v>502</v>
      </c>
      <c r="H27" s="7" t="s">
        <v>24</v>
      </c>
      <c r="I27" s="7" t="s">
        <v>25</v>
      </c>
      <c r="J27" s="13" t="str">
        <f>HYPERLINK("https://www.airitibooks.com/Detail/Detail?PublicationID=P20160315021", "https://www.airitibooks.com/Detail/Detail?PublicationID=P20160315021")</f>
        <v>https://www.airitibooks.com/Detail/Detail?PublicationID=P20160315021</v>
      </c>
      <c r="K27" s="13" t="str">
        <f>HYPERLINK("https://ntsu.idm.oclc.org/login?url=https://www.airitibooks.com/Detail/Detail?PublicationID=P20160315021", "https://ntsu.idm.oclc.org/login?url=https://www.airitibooks.com/Detail/Detail?PublicationID=P20160315021")</f>
        <v>https://ntsu.idm.oclc.org/login?url=https://www.airitibooks.com/Detail/Detail?PublicationID=P20160315021</v>
      </c>
    </row>
    <row r="28" spans="1:11" ht="51" x14ac:dyDescent="0.4">
      <c r="A28" s="10" t="s">
        <v>4281</v>
      </c>
      <c r="B28" s="10" t="s">
        <v>4282</v>
      </c>
      <c r="C28" s="10" t="s">
        <v>848</v>
      </c>
      <c r="D28" s="10" t="s">
        <v>849</v>
      </c>
      <c r="E28" s="10" t="s">
        <v>4283</v>
      </c>
      <c r="F28" s="10" t="s">
        <v>851</v>
      </c>
      <c r="G28" s="10" t="s">
        <v>502</v>
      </c>
      <c r="H28" s="7" t="s">
        <v>24</v>
      </c>
      <c r="I28" s="7" t="s">
        <v>25</v>
      </c>
      <c r="J28" s="13" t="str">
        <f>HYPERLINK("https://www.airitibooks.com/Detail/Detail?PublicationID=P20160315020", "https://www.airitibooks.com/Detail/Detail?PublicationID=P20160315020")</f>
        <v>https://www.airitibooks.com/Detail/Detail?PublicationID=P20160315020</v>
      </c>
      <c r="K28" s="13" t="str">
        <f>HYPERLINK("https://ntsu.idm.oclc.org/login?url=https://www.airitibooks.com/Detail/Detail?PublicationID=P20160315020", "https://ntsu.idm.oclc.org/login?url=https://www.airitibooks.com/Detail/Detail?PublicationID=P20160315020")</f>
        <v>https://ntsu.idm.oclc.org/login?url=https://www.airitibooks.com/Detail/Detail?PublicationID=P20160315020</v>
      </c>
    </row>
    <row r="29" spans="1:11" ht="51" x14ac:dyDescent="0.4">
      <c r="A29" s="10" t="s">
        <v>6712</v>
      </c>
      <c r="B29" s="10" t="s">
        <v>6713</v>
      </c>
      <c r="C29" s="10" t="s">
        <v>848</v>
      </c>
      <c r="D29" s="10" t="s">
        <v>849</v>
      </c>
      <c r="E29" s="10" t="s">
        <v>6714</v>
      </c>
      <c r="F29" s="10" t="s">
        <v>851</v>
      </c>
      <c r="G29" s="10" t="s">
        <v>502</v>
      </c>
      <c r="H29" s="7" t="s">
        <v>24</v>
      </c>
      <c r="I29" s="7" t="s">
        <v>25</v>
      </c>
      <c r="J29" s="13" t="str">
        <f>HYPERLINK("https://www.airitibooks.com/Detail/Detail?PublicationID=P20170522317", "https://www.airitibooks.com/Detail/Detail?PublicationID=P20170522317")</f>
        <v>https://www.airitibooks.com/Detail/Detail?PublicationID=P20170522317</v>
      </c>
      <c r="K29" s="13" t="str">
        <f>HYPERLINK("https://ntsu.idm.oclc.org/login?url=https://www.airitibooks.com/Detail/Detail?PublicationID=P20170522317", "https://ntsu.idm.oclc.org/login?url=https://www.airitibooks.com/Detail/Detail?PublicationID=P20170522317")</f>
        <v>https://ntsu.idm.oclc.org/login?url=https://www.airitibooks.com/Detail/Detail?PublicationID=P20170522317</v>
      </c>
    </row>
    <row r="30" spans="1:11" ht="51" x14ac:dyDescent="0.4">
      <c r="A30" s="10" t="s">
        <v>4278</v>
      </c>
      <c r="B30" s="10" t="s">
        <v>4279</v>
      </c>
      <c r="C30" s="10" t="s">
        <v>848</v>
      </c>
      <c r="D30" s="10" t="s">
        <v>849</v>
      </c>
      <c r="E30" s="10" t="s">
        <v>4280</v>
      </c>
      <c r="F30" s="10" t="s">
        <v>851</v>
      </c>
      <c r="G30" s="10" t="s">
        <v>502</v>
      </c>
      <c r="H30" s="7" t="s">
        <v>24</v>
      </c>
      <c r="I30" s="7" t="s">
        <v>25</v>
      </c>
      <c r="J30" s="13" t="str">
        <f>HYPERLINK("https://www.airitibooks.com/Detail/Detail?PublicationID=P20160315019", "https://www.airitibooks.com/Detail/Detail?PublicationID=P20160315019")</f>
        <v>https://www.airitibooks.com/Detail/Detail?PublicationID=P20160315019</v>
      </c>
      <c r="K30" s="13" t="str">
        <f>HYPERLINK("https://ntsu.idm.oclc.org/login?url=https://www.airitibooks.com/Detail/Detail?PublicationID=P20160315019", "https://ntsu.idm.oclc.org/login?url=https://www.airitibooks.com/Detail/Detail?PublicationID=P20160315019")</f>
        <v>https://ntsu.idm.oclc.org/login?url=https://www.airitibooks.com/Detail/Detail?PublicationID=P20160315019</v>
      </c>
    </row>
    <row r="31" spans="1:11" ht="68" x14ac:dyDescent="0.4">
      <c r="A31" s="10" t="s">
        <v>6709</v>
      </c>
      <c r="B31" s="10" t="s">
        <v>6710</v>
      </c>
      <c r="C31" s="10" t="s">
        <v>848</v>
      </c>
      <c r="D31" s="10" t="s">
        <v>849</v>
      </c>
      <c r="E31" s="10" t="s">
        <v>6711</v>
      </c>
      <c r="F31" s="10" t="s">
        <v>851</v>
      </c>
      <c r="G31" s="10" t="s">
        <v>502</v>
      </c>
      <c r="H31" s="7" t="s">
        <v>24</v>
      </c>
      <c r="I31" s="7" t="s">
        <v>25</v>
      </c>
      <c r="J31" s="13" t="str">
        <f>HYPERLINK("https://www.airitibooks.com/Detail/Detail?PublicationID=P20170522316", "https://www.airitibooks.com/Detail/Detail?PublicationID=P20170522316")</f>
        <v>https://www.airitibooks.com/Detail/Detail?PublicationID=P20170522316</v>
      </c>
      <c r="K31" s="13" t="str">
        <f>HYPERLINK("https://ntsu.idm.oclc.org/login?url=https://www.airitibooks.com/Detail/Detail?PublicationID=P20170522316", "https://ntsu.idm.oclc.org/login?url=https://www.airitibooks.com/Detail/Detail?PublicationID=P20170522316")</f>
        <v>https://ntsu.idm.oclc.org/login?url=https://www.airitibooks.com/Detail/Detail?PublicationID=P20170522316</v>
      </c>
    </row>
    <row r="32" spans="1:11" ht="51" x14ac:dyDescent="0.4">
      <c r="A32" s="10" t="s">
        <v>6706</v>
      </c>
      <c r="B32" s="10" t="s">
        <v>6707</v>
      </c>
      <c r="C32" s="10" t="s">
        <v>848</v>
      </c>
      <c r="D32" s="10" t="s">
        <v>849</v>
      </c>
      <c r="E32" s="10" t="s">
        <v>6708</v>
      </c>
      <c r="F32" s="10" t="s">
        <v>851</v>
      </c>
      <c r="G32" s="10" t="s">
        <v>502</v>
      </c>
      <c r="H32" s="7" t="s">
        <v>24</v>
      </c>
      <c r="I32" s="7" t="s">
        <v>25</v>
      </c>
      <c r="J32" s="13" t="str">
        <f>HYPERLINK("https://www.airitibooks.com/Detail/Detail?PublicationID=P20170522315", "https://www.airitibooks.com/Detail/Detail?PublicationID=P20170522315")</f>
        <v>https://www.airitibooks.com/Detail/Detail?PublicationID=P20170522315</v>
      </c>
      <c r="K32" s="13" t="str">
        <f>HYPERLINK("https://ntsu.idm.oclc.org/login?url=https://www.airitibooks.com/Detail/Detail?PublicationID=P20170522315", "https://ntsu.idm.oclc.org/login?url=https://www.airitibooks.com/Detail/Detail?PublicationID=P20170522315")</f>
        <v>https://ntsu.idm.oclc.org/login?url=https://www.airitibooks.com/Detail/Detail?PublicationID=P20170522315</v>
      </c>
    </row>
    <row r="33" spans="1:11" ht="51" x14ac:dyDescent="0.4">
      <c r="A33" s="10" t="s">
        <v>4275</v>
      </c>
      <c r="B33" s="10" t="s">
        <v>4276</v>
      </c>
      <c r="C33" s="10" t="s">
        <v>848</v>
      </c>
      <c r="D33" s="10" t="s">
        <v>849</v>
      </c>
      <c r="E33" s="10" t="s">
        <v>4277</v>
      </c>
      <c r="F33" s="10" t="s">
        <v>851</v>
      </c>
      <c r="G33" s="10" t="s">
        <v>502</v>
      </c>
      <c r="H33" s="7" t="s">
        <v>24</v>
      </c>
      <c r="I33" s="7" t="s">
        <v>25</v>
      </c>
      <c r="J33" s="13" t="str">
        <f>HYPERLINK("https://www.airitibooks.com/Detail/Detail?PublicationID=P20160315018", "https://www.airitibooks.com/Detail/Detail?PublicationID=P20160315018")</f>
        <v>https://www.airitibooks.com/Detail/Detail?PublicationID=P20160315018</v>
      </c>
      <c r="K33" s="13" t="str">
        <f>HYPERLINK("https://ntsu.idm.oclc.org/login?url=https://www.airitibooks.com/Detail/Detail?PublicationID=P20160315018", "https://ntsu.idm.oclc.org/login?url=https://www.airitibooks.com/Detail/Detail?PublicationID=P20160315018")</f>
        <v>https://ntsu.idm.oclc.org/login?url=https://www.airitibooks.com/Detail/Detail?PublicationID=P20160315018</v>
      </c>
    </row>
    <row r="34" spans="1:11" ht="51" x14ac:dyDescent="0.4">
      <c r="A34" s="10" t="s">
        <v>6703</v>
      </c>
      <c r="B34" s="10" t="s">
        <v>6704</v>
      </c>
      <c r="C34" s="10" t="s">
        <v>848</v>
      </c>
      <c r="D34" s="10" t="s">
        <v>849</v>
      </c>
      <c r="E34" s="10" t="s">
        <v>6705</v>
      </c>
      <c r="F34" s="10" t="s">
        <v>851</v>
      </c>
      <c r="G34" s="10" t="s">
        <v>502</v>
      </c>
      <c r="H34" s="7" t="s">
        <v>24</v>
      </c>
      <c r="I34" s="7" t="s">
        <v>25</v>
      </c>
      <c r="J34" s="13" t="str">
        <f>HYPERLINK("https://www.airitibooks.com/Detail/Detail?PublicationID=P20170522314", "https://www.airitibooks.com/Detail/Detail?PublicationID=P20170522314")</f>
        <v>https://www.airitibooks.com/Detail/Detail?PublicationID=P20170522314</v>
      </c>
      <c r="K34" s="13" t="str">
        <f>HYPERLINK("https://ntsu.idm.oclc.org/login?url=https://www.airitibooks.com/Detail/Detail?PublicationID=P20170522314", "https://ntsu.idm.oclc.org/login?url=https://www.airitibooks.com/Detail/Detail?PublicationID=P20170522314")</f>
        <v>https://ntsu.idm.oclc.org/login?url=https://www.airitibooks.com/Detail/Detail?PublicationID=P20170522314</v>
      </c>
    </row>
    <row r="35" spans="1:11" ht="51" x14ac:dyDescent="0.4">
      <c r="A35" s="10" t="s">
        <v>6700</v>
      </c>
      <c r="B35" s="10" t="s">
        <v>6701</v>
      </c>
      <c r="C35" s="10" t="s">
        <v>848</v>
      </c>
      <c r="D35" s="10" t="s">
        <v>849</v>
      </c>
      <c r="E35" s="10" t="s">
        <v>6702</v>
      </c>
      <c r="F35" s="10" t="s">
        <v>851</v>
      </c>
      <c r="G35" s="10" t="s">
        <v>502</v>
      </c>
      <c r="H35" s="7" t="s">
        <v>24</v>
      </c>
      <c r="I35" s="7" t="s">
        <v>25</v>
      </c>
      <c r="J35" s="13" t="str">
        <f>HYPERLINK("https://www.airitibooks.com/Detail/Detail?PublicationID=P20170522313", "https://www.airitibooks.com/Detail/Detail?PublicationID=P20170522313")</f>
        <v>https://www.airitibooks.com/Detail/Detail?PublicationID=P20170522313</v>
      </c>
      <c r="K35" s="13" t="str">
        <f>HYPERLINK("https://ntsu.idm.oclc.org/login?url=https://www.airitibooks.com/Detail/Detail?PublicationID=P20170522313", "https://ntsu.idm.oclc.org/login?url=https://www.airitibooks.com/Detail/Detail?PublicationID=P20170522313")</f>
        <v>https://ntsu.idm.oclc.org/login?url=https://www.airitibooks.com/Detail/Detail?PublicationID=P20170522313</v>
      </c>
    </row>
    <row r="36" spans="1:11" ht="51" x14ac:dyDescent="0.4">
      <c r="A36" s="10" t="s">
        <v>4272</v>
      </c>
      <c r="B36" s="10" t="s">
        <v>4273</v>
      </c>
      <c r="C36" s="10" t="s">
        <v>848</v>
      </c>
      <c r="D36" s="10" t="s">
        <v>849</v>
      </c>
      <c r="E36" s="10" t="s">
        <v>4274</v>
      </c>
      <c r="F36" s="10" t="s">
        <v>851</v>
      </c>
      <c r="G36" s="10" t="s">
        <v>502</v>
      </c>
      <c r="H36" s="7" t="s">
        <v>24</v>
      </c>
      <c r="I36" s="7" t="s">
        <v>25</v>
      </c>
      <c r="J36" s="13" t="str">
        <f>HYPERLINK("https://www.airitibooks.com/Detail/Detail?PublicationID=P20160315017", "https://www.airitibooks.com/Detail/Detail?PublicationID=P20160315017")</f>
        <v>https://www.airitibooks.com/Detail/Detail?PublicationID=P20160315017</v>
      </c>
      <c r="K36" s="13" t="str">
        <f>HYPERLINK("https://ntsu.idm.oclc.org/login?url=https://www.airitibooks.com/Detail/Detail?PublicationID=P20160315017", "https://ntsu.idm.oclc.org/login?url=https://www.airitibooks.com/Detail/Detail?PublicationID=P20160315017")</f>
        <v>https://ntsu.idm.oclc.org/login?url=https://www.airitibooks.com/Detail/Detail?PublicationID=P20160315017</v>
      </c>
    </row>
    <row r="37" spans="1:11" ht="51" x14ac:dyDescent="0.4">
      <c r="A37" s="10" t="s">
        <v>4269</v>
      </c>
      <c r="B37" s="10" t="s">
        <v>4270</v>
      </c>
      <c r="C37" s="10" t="s">
        <v>848</v>
      </c>
      <c r="D37" s="10" t="s">
        <v>849</v>
      </c>
      <c r="E37" s="10" t="s">
        <v>4271</v>
      </c>
      <c r="F37" s="10" t="s">
        <v>851</v>
      </c>
      <c r="G37" s="10" t="s">
        <v>502</v>
      </c>
      <c r="H37" s="7" t="s">
        <v>24</v>
      </c>
      <c r="I37" s="7" t="s">
        <v>25</v>
      </c>
      <c r="J37" s="13" t="str">
        <f>HYPERLINK("https://www.airitibooks.com/Detail/Detail?PublicationID=P20160315016", "https://www.airitibooks.com/Detail/Detail?PublicationID=P20160315016")</f>
        <v>https://www.airitibooks.com/Detail/Detail?PublicationID=P20160315016</v>
      </c>
      <c r="K37" s="13" t="str">
        <f>HYPERLINK("https://ntsu.idm.oclc.org/login?url=https://www.airitibooks.com/Detail/Detail?PublicationID=P20160315016", "https://ntsu.idm.oclc.org/login?url=https://www.airitibooks.com/Detail/Detail?PublicationID=P20160315016")</f>
        <v>https://ntsu.idm.oclc.org/login?url=https://www.airitibooks.com/Detail/Detail?PublicationID=P20160315016</v>
      </c>
    </row>
    <row r="38" spans="1:11" ht="51" x14ac:dyDescent="0.4">
      <c r="A38" s="10" t="s">
        <v>4266</v>
      </c>
      <c r="B38" s="10" t="s">
        <v>4267</v>
      </c>
      <c r="C38" s="10" t="s">
        <v>848</v>
      </c>
      <c r="D38" s="10" t="s">
        <v>849</v>
      </c>
      <c r="E38" s="10" t="s">
        <v>4268</v>
      </c>
      <c r="F38" s="10" t="s">
        <v>851</v>
      </c>
      <c r="G38" s="10" t="s">
        <v>502</v>
      </c>
      <c r="H38" s="7" t="s">
        <v>24</v>
      </c>
      <c r="I38" s="7" t="s">
        <v>25</v>
      </c>
      <c r="J38" s="13" t="str">
        <f>HYPERLINK("https://www.airitibooks.com/Detail/Detail?PublicationID=P20160315015", "https://www.airitibooks.com/Detail/Detail?PublicationID=P20160315015")</f>
        <v>https://www.airitibooks.com/Detail/Detail?PublicationID=P20160315015</v>
      </c>
      <c r="K38" s="13" t="str">
        <f>HYPERLINK("https://ntsu.idm.oclc.org/login?url=https://www.airitibooks.com/Detail/Detail?PublicationID=P20160315015", "https://ntsu.idm.oclc.org/login?url=https://www.airitibooks.com/Detail/Detail?PublicationID=P20160315015")</f>
        <v>https://ntsu.idm.oclc.org/login?url=https://www.airitibooks.com/Detail/Detail?PublicationID=P20160315015</v>
      </c>
    </row>
    <row r="39" spans="1:11" ht="51" x14ac:dyDescent="0.4">
      <c r="A39" s="10" t="s">
        <v>4263</v>
      </c>
      <c r="B39" s="10" t="s">
        <v>4264</v>
      </c>
      <c r="C39" s="10" t="s">
        <v>848</v>
      </c>
      <c r="D39" s="10" t="s">
        <v>849</v>
      </c>
      <c r="E39" s="10" t="s">
        <v>4265</v>
      </c>
      <c r="F39" s="10" t="s">
        <v>851</v>
      </c>
      <c r="G39" s="10" t="s">
        <v>502</v>
      </c>
      <c r="H39" s="7" t="s">
        <v>24</v>
      </c>
      <c r="I39" s="7" t="s">
        <v>25</v>
      </c>
      <c r="J39" s="13" t="str">
        <f>HYPERLINK("https://www.airitibooks.com/Detail/Detail?PublicationID=P20160315014", "https://www.airitibooks.com/Detail/Detail?PublicationID=P20160315014")</f>
        <v>https://www.airitibooks.com/Detail/Detail?PublicationID=P20160315014</v>
      </c>
      <c r="K39" s="13" t="str">
        <f>HYPERLINK("https://ntsu.idm.oclc.org/login?url=https://www.airitibooks.com/Detail/Detail?PublicationID=P20160315014", "https://ntsu.idm.oclc.org/login?url=https://www.airitibooks.com/Detail/Detail?PublicationID=P20160315014")</f>
        <v>https://ntsu.idm.oclc.org/login?url=https://www.airitibooks.com/Detail/Detail?PublicationID=P20160315014</v>
      </c>
    </row>
    <row r="40" spans="1:11" ht="51" x14ac:dyDescent="0.4">
      <c r="A40" s="10" t="s">
        <v>4260</v>
      </c>
      <c r="B40" s="10" t="s">
        <v>4261</v>
      </c>
      <c r="C40" s="10" t="s">
        <v>848</v>
      </c>
      <c r="D40" s="10" t="s">
        <v>849</v>
      </c>
      <c r="E40" s="10" t="s">
        <v>4262</v>
      </c>
      <c r="F40" s="10" t="s">
        <v>851</v>
      </c>
      <c r="G40" s="10" t="s">
        <v>502</v>
      </c>
      <c r="H40" s="7" t="s">
        <v>24</v>
      </c>
      <c r="I40" s="7" t="s">
        <v>25</v>
      </c>
      <c r="J40" s="13" t="str">
        <f>HYPERLINK("https://www.airitibooks.com/Detail/Detail?PublicationID=P20160315013", "https://www.airitibooks.com/Detail/Detail?PublicationID=P20160315013")</f>
        <v>https://www.airitibooks.com/Detail/Detail?PublicationID=P20160315013</v>
      </c>
      <c r="K40" s="13" t="str">
        <f>HYPERLINK("https://ntsu.idm.oclc.org/login?url=https://www.airitibooks.com/Detail/Detail?PublicationID=P20160315013", "https://ntsu.idm.oclc.org/login?url=https://www.airitibooks.com/Detail/Detail?PublicationID=P20160315013")</f>
        <v>https://ntsu.idm.oclc.org/login?url=https://www.airitibooks.com/Detail/Detail?PublicationID=P20160315013</v>
      </c>
    </row>
    <row r="41" spans="1:11" ht="51" x14ac:dyDescent="0.4">
      <c r="A41" s="10" t="s">
        <v>4257</v>
      </c>
      <c r="B41" s="10" t="s">
        <v>4258</v>
      </c>
      <c r="C41" s="10" t="s">
        <v>848</v>
      </c>
      <c r="D41" s="10" t="s">
        <v>849</v>
      </c>
      <c r="E41" s="10" t="s">
        <v>4259</v>
      </c>
      <c r="F41" s="10" t="s">
        <v>851</v>
      </c>
      <c r="G41" s="10" t="s">
        <v>502</v>
      </c>
      <c r="H41" s="7" t="s">
        <v>24</v>
      </c>
      <c r="I41" s="7" t="s">
        <v>25</v>
      </c>
      <c r="J41" s="13" t="str">
        <f>HYPERLINK("https://www.airitibooks.com/Detail/Detail?PublicationID=P20160315012", "https://www.airitibooks.com/Detail/Detail?PublicationID=P20160315012")</f>
        <v>https://www.airitibooks.com/Detail/Detail?PublicationID=P20160315012</v>
      </c>
      <c r="K41" s="13" t="str">
        <f>HYPERLINK("https://ntsu.idm.oclc.org/login?url=https://www.airitibooks.com/Detail/Detail?PublicationID=P20160315012", "https://ntsu.idm.oclc.org/login?url=https://www.airitibooks.com/Detail/Detail?PublicationID=P20160315012")</f>
        <v>https://ntsu.idm.oclc.org/login?url=https://www.airitibooks.com/Detail/Detail?PublicationID=P20160315012</v>
      </c>
    </row>
    <row r="42" spans="1:11" ht="51" x14ac:dyDescent="0.4">
      <c r="A42" s="10" t="s">
        <v>6697</v>
      </c>
      <c r="B42" s="10" t="s">
        <v>6698</v>
      </c>
      <c r="C42" s="10" t="s">
        <v>848</v>
      </c>
      <c r="D42" s="10" t="s">
        <v>849</v>
      </c>
      <c r="E42" s="10" t="s">
        <v>6699</v>
      </c>
      <c r="F42" s="10" t="s">
        <v>851</v>
      </c>
      <c r="G42" s="10" t="s">
        <v>502</v>
      </c>
      <c r="H42" s="7" t="s">
        <v>24</v>
      </c>
      <c r="I42" s="7" t="s">
        <v>25</v>
      </c>
      <c r="J42" s="13" t="str">
        <f>HYPERLINK("https://www.airitibooks.com/Detail/Detail?PublicationID=P20170522312", "https://www.airitibooks.com/Detail/Detail?PublicationID=P20170522312")</f>
        <v>https://www.airitibooks.com/Detail/Detail?PublicationID=P20170522312</v>
      </c>
      <c r="K42" s="13" t="str">
        <f>HYPERLINK("https://ntsu.idm.oclc.org/login?url=https://www.airitibooks.com/Detail/Detail?PublicationID=P20170522312", "https://ntsu.idm.oclc.org/login?url=https://www.airitibooks.com/Detail/Detail?PublicationID=P20170522312")</f>
        <v>https://ntsu.idm.oclc.org/login?url=https://www.airitibooks.com/Detail/Detail?PublicationID=P20170522312</v>
      </c>
    </row>
    <row r="43" spans="1:11" ht="51" x14ac:dyDescent="0.4">
      <c r="A43" s="10" t="s">
        <v>6694</v>
      </c>
      <c r="B43" s="10" t="s">
        <v>6695</v>
      </c>
      <c r="C43" s="10" t="s">
        <v>848</v>
      </c>
      <c r="D43" s="10" t="s">
        <v>849</v>
      </c>
      <c r="E43" s="10" t="s">
        <v>6696</v>
      </c>
      <c r="F43" s="10" t="s">
        <v>851</v>
      </c>
      <c r="G43" s="10" t="s">
        <v>502</v>
      </c>
      <c r="H43" s="7" t="s">
        <v>24</v>
      </c>
      <c r="I43" s="7" t="s">
        <v>25</v>
      </c>
      <c r="J43" s="13" t="str">
        <f>HYPERLINK("https://www.airitibooks.com/Detail/Detail?PublicationID=P20170522311", "https://www.airitibooks.com/Detail/Detail?PublicationID=P20170522311")</f>
        <v>https://www.airitibooks.com/Detail/Detail?PublicationID=P20170522311</v>
      </c>
      <c r="K43" s="13" t="str">
        <f>HYPERLINK("https://ntsu.idm.oclc.org/login?url=https://www.airitibooks.com/Detail/Detail?PublicationID=P20170522311", "https://ntsu.idm.oclc.org/login?url=https://www.airitibooks.com/Detail/Detail?PublicationID=P20170522311")</f>
        <v>https://ntsu.idm.oclc.org/login?url=https://www.airitibooks.com/Detail/Detail?PublicationID=P20170522311</v>
      </c>
    </row>
    <row r="44" spans="1:11" ht="51" x14ac:dyDescent="0.4">
      <c r="A44" s="10" t="s">
        <v>4254</v>
      </c>
      <c r="B44" s="10" t="s">
        <v>4255</v>
      </c>
      <c r="C44" s="10" t="s">
        <v>848</v>
      </c>
      <c r="D44" s="10" t="s">
        <v>849</v>
      </c>
      <c r="E44" s="10" t="s">
        <v>4256</v>
      </c>
      <c r="F44" s="10" t="s">
        <v>851</v>
      </c>
      <c r="G44" s="10" t="s">
        <v>502</v>
      </c>
      <c r="H44" s="7" t="s">
        <v>24</v>
      </c>
      <c r="I44" s="7" t="s">
        <v>25</v>
      </c>
      <c r="J44" s="13" t="str">
        <f>HYPERLINK("https://www.airitibooks.com/Detail/Detail?PublicationID=P20160315011", "https://www.airitibooks.com/Detail/Detail?PublicationID=P20160315011")</f>
        <v>https://www.airitibooks.com/Detail/Detail?PublicationID=P20160315011</v>
      </c>
      <c r="K44" s="13" t="str">
        <f>HYPERLINK("https://ntsu.idm.oclc.org/login?url=https://www.airitibooks.com/Detail/Detail?PublicationID=P20160315011", "https://ntsu.idm.oclc.org/login?url=https://www.airitibooks.com/Detail/Detail?PublicationID=P20160315011")</f>
        <v>https://ntsu.idm.oclc.org/login?url=https://www.airitibooks.com/Detail/Detail?PublicationID=P20160315011</v>
      </c>
    </row>
    <row r="45" spans="1:11" ht="51" x14ac:dyDescent="0.4">
      <c r="A45" s="10" t="s">
        <v>4251</v>
      </c>
      <c r="B45" s="10" t="s">
        <v>4252</v>
      </c>
      <c r="C45" s="10" t="s">
        <v>848</v>
      </c>
      <c r="D45" s="10" t="s">
        <v>849</v>
      </c>
      <c r="E45" s="10" t="s">
        <v>4253</v>
      </c>
      <c r="F45" s="10" t="s">
        <v>851</v>
      </c>
      <c r="G45" s="10" t="s">
        <v>502</v>
      </c>
      <c r="H45" s="7" t="s">
        <v>24</v>
      </c>
      <c r="I45" s="7" t="s">
        <v>25</v>
      </c>
      <c r="J45" s="13" t="str">
        <f>HYPERLINK("https://www.airitibooks.com/Detail/Detail?PublicationID=P20160315010", "https://www.airitibooks.com/Detail/Detail?PublicationID=P20160315010")</f>
        <v>https://www.airitibooks.com/Detail/Detail?PublicationID=P20160315010</v>
      </c>
      <c r="K45" s="13" t="str">
        <f>HYPERLINK("https://ntsu.idm.oclc.org/login?url=https://www.airitibooks.com/Detail/Detail?PublicationID=P20160315010", "https://ntsu.idm.oclc.org/login?url=https://www.airitibooks.com/Detail/Detail?PublicationID=P20160315010")</f>
        <v>https://ntsu.idm.oclc.org/login?url=https://www.airitibooks.com/Detail/Detail?PublicationID=P20160315010</v>
      </c>
    </row>
    <row r="46" spans="1:11" ht="51" x14ac:dyDescent="0.4">
      <c r="A46" s="10" t="s">
        <v>6691</v>
      </c>
      <c r="B46" s="10" t="s">
        <v>6692</v>
      </c>
      <c r="C46" s="10" t="s">
        <v>848</v>
      </c>
      <c r="D46" s="10" t="s">
        <v>849</v>
      </c>
      <c r="E46" s="10" t="s">
        <v>6693</v>
      </c>
      <c r="F46" s="10" t="s">
        <v>851</v>
      </c>
      <c r="G46" s="10" t="s">
        <v>502</v>
      </c>
      <c r="H46" s="7" t="s">
        <v>24</v>
      </c>
      <c r="I46" s="7" t="s">
        <v>25</v>
      </c>
      <c r="J46" s="13" t="str">
        <f>HYPERLINK("https://www.airitibooks.com/Detail/Detail?PublicationID=P20170522310", "https://www.airitibooks.com/Detail/Detail?PublicationID=P20170522310")</f>
        <v>https://www.airitibooks.com/Detail/Detail?PublicationID=P20170522310</v>
      </c>
      <c r="K46" s="13" t="str">
        <f>HYPERLINK("https://ntsu.idm.oclc.org/login?url=https://www.airitibooks.com/Detail/Detail?PublicationID=P20170522310", "https://ntsu.idm.oclc.org/login?url=https://www.airitibooks.com/Detail/Detail?PublicationID=P20170522310")</f>
        <v>https://ntsu.idm.oclc.org/login?url=https://www.airitibooks.com/Detail/Detail?PublicationID=P20170522310</v>
      </c>
    </row>
    <row r="47" spans="1:11" ht="51" x14ac:dyDescent="0.4">
      <c r="A47" s="10" t="s">
        <v>4248</v>
      </c>
      <c r="B47" s="10" t="s">
        <v>4249</v>
      </c>
      <c r="C47" s="10" t="s">
        <v>848</v>
      </c>
      <c r="D47" s="10" t="s">
        <v>849</v>
      </c>
      <c r="E47" s="10" t="s">
        <v>4250</v>
      </c>
      <c r="F47" s="10" t="s">
        <v>851</v>
      </c>
      <c r="G47" s="10" t="s">
        <v>502</v>
      </c>
      <c r="H47" s="7" t="s">
        <v>24</v>
      </c>
      <c r="I47" s="7" t="s">
        <v>25</v>
      </c>
      <c r="J47" s="13" t="str">
        <f>HYPERLINK("https://www.airitibooks.com/Detail/Detail?PublicationID=P20160315009", "https://www.airitibooks.com/Detail/Detail?PublicationID=P20160315009")</f>
        <v>https://www.airitibooks.com/Detail/Detail?PublicationID=P20160315009</v>
      </c>
      <c r="K47" s="13" t="str">
        <f>HYPERLINK("https://ntsu.idm.oclc.org/login?url=https://www.airitibooks.com/Detail/Detail?PublicationID=P20160315009", "https://ntsu.idm.oclc.org/login?url=https://www.airitibooks.com/Detail/Detail?PublicationID=P20160315009")</f>
        <v>https://ntsu.idm.oclc.org/login?url=https://www.airitibooks.com/Detail/Detail?PublicationID=P20160315009</v>
      </c>
    </row>
    <row r="48" spans="1:11" ht="51" x14ac:dyDescent="0.4">
      <c r="A48" s="10" t="s">
        <v>8195</v>
      </c>
      <c r="B48" s="10" t="s">
        <v>8196</v>
      </c>
      <c r="C48" s="10" t="s">
        <v>8197</v>
      </c>
      <c r="D48" s="10" t="s">
        <v>8198</v>
      </c>
      <c r="E48" s="10" t="s">
        <v>8199</v>
      </c>
      <c r="F48" s="10" t="s">
        <v>8200</v>
      </c>
      <c r="G48" s="10" t="s">
        <v>32</v>
      </c>
      <c r="H48" s="7" t="s">
        <v>24</v>
      </c>
      <c r="I48" s="7" t="s">
        <v>25</v>
      </c>
      <c r="J48" s="13" t="str">
        <f>HYPERLINK("https://www.airitibooks.com/Detail/Detail?PublicationID=P20180119039", "https://www.airitibooks.com/Detail/Detail?PublicationID=P20180119039")</f>
        <v>https://www.airitibooks.com/Detail/Detail?PublicationID=P20180119039</v>
      </c>
      <c r="K48" s="13" t="str">
        <f>HYPERLINK("https://ntsu.idm.oclc.org/login?url=https://www.airitibooks.com/Detail/Detail?PublicationID=P20180119039", "https://ntsu.idm.oclc.org/login?url=https://www.airitibooks.com/Detail/Detail?PublicationID=P20180119039")</f>
        <v>https://ntsu.idm.oclc.org/login?url=https://www.airitibooks.com/Detail/Detail?PublicationID=P20180119039</v>
      </c>
    </row>
    <row r="49" spans="1:11" ht="51" x14ac:dyDescent="0.4">
      <c r="A49" s="10" t="s">
        <v>6688</v>
      </c>
      <c r="B49" s="10" t="s">
        <v>6689</v>
      </c>
      <c r="C49" s="10" t="s">
        <v>848</v>
      </c>
      <c r="D49" s="10" t="s">
        <v>849</v>
      </c>
      <c r="E49" s="10" t="s">
        <v>6690</v>
      </c>
      <c r="F49" s="10" t="s">
        <v>851</v>
      </c>
      <c r="G49" s="10" t="s">
        <v>502</v>
      </c>
      <c r="H49" s="7" t="s">
        <v>24</v>
      </c>
      <c r="I49" s="7" t="s">
        <v>25</v>
      </c>
      <c r="J49" s="13" t="str">
        <f>HYPERLINK("https://www.airitibooks.com/Detail/Detail?PublicationID=P20170522309", "https://www.airitibooks.com/Detail/Detail?PublicationID=P20170522309")</f>
        <v>https://www.airitibooks.com/Detail/Detail?PublicationID=P20170522309</v>
      </c>
      <c r="K49" s="13" t="str">
        <f>HYPERLINK("https://ntsu.idm.oclc.org/login?url=https://www.airitibooks.com/Detail/Detail?PublicationID=P20170522309", "https://ntsu.idm.oclc.org/login?url=https://www.airitibooks.com/Detail/Detail?PublicationID=P20170522309")</f>
        <v>https://ntsu.idm.oclc.org/login?url=https://www.airitibooks.com/Detail/Detail?PublicationID=P20170522309</v>
      </c>
    </row>
    <row r="50" spans="1:11" ht="51" x14ac:dyDescent="0.4">
      <c r="A50" s="10" t="s">
        <v>4245</v>
      </c>
      <c r="B50" s="10" t="s">
        <v>4246</v>
      </c>
      <c r="C50" s="10" t="s">
        <v>848</v>
      </c>
      <c r="D50" s="10" t="s">
        <v>849</v>
      </c>
      <c r="E50" s="10" t="s">
        <v>4247</v>
      </c>
      <c r="F50" s="10" t="s">
        <v>851</v>
      </c>
      <c r="G50" s="10" t="s">
        <v>502</v>
      </c>
      <c r="H50" s="7" t="s">
        <v>24</v>
      </c>
      <c r="I50" s="7" t="s">
        <v>25</v>
      </c>
      <c r="J50" s="13" t="str">
        <f>HYPERLINK("https://www.airitibooks.com/Detail/Detail?PublicationID=P20160315008", "https://www.airitibooks.com/Detail/Detail?PublicationID=P20160315008")</f>
        <v>https://www.airitibooks.com/Detail/Detail?PublicationID=P20160315008</v>
      </c>
      <c r="K50" s="13" t="str">
        <f>HYPERLINK("https://ntsu.idm.oclc.org/login?url=https://www.airitibooks.com/Detail/Detail?PublicationID=P20160315008", "https://ntsu.idm.oclc.org/login?url=https://www.airitibooks.com/Detail/Detail?PublicationID=P20160315008")</f>
        <v>https://ntsu.idm.oclc.org/login?url=https://www.airitibooks.com/Detail/Detail?PublicationID=P20160315008</v>
      </c>
    </row>
    <row r="51" spans="1:11" ht="51" x14ac:dyDescent="0.4">
      <c r="A51" s="10" t="s">
        <v>6685</v>
      </c>
      <c r="B51" s="10" t="s">
        <v>6686</v>
      </c>
      <c r="C51" s="10" t="s">
        <v>848</v>
      </c>
      <c r="D51" s="10" t="s">
        <v>849</v>
      </c>
      <c r="E51" s="10" t="s">
        <v>6687</v>
      </c>
      <c r="F51" s="10" t="s">
        <v>851</v>
      </c>
      <c r="G51" s="10" t="s">
        <v>502</v>
      </c>
      <c r="H51" s="7" t="s">
        <v>24</v>
      </c>
      <c r="I51" s="7" t="s">
        <v>25</v>
      </c>
      <c r="J51" s="13" t="str">
        <f>HYPERLINK("https://www.airitibooks.com/Detail/Detail?PublicationID=P20170522308", "https://www.airitibooks.com/Detail/Detail?PublicationID=P20170522308")</f>
        <v>https://www.airitibooks.com/Detail/Detail?PublicationID=P20170522308</v>
      </c>
      <c r="K51" s="13" t="str">
        <f>HYPERLINK("https://ntsu.idm.oclc.org/login?url=https://www.airitibooks.com/Detail/Detail?PublicationID=P20170522308", "https://ntsu.idm.oclc.org/login?url=https://www.airitibooks.com/Detail/Detail?PublicationID=P20170522308")</f>
        <v>https://ntsu.idm.oclc.org/login?url=https://www.airitibooks.com/Detail/Detail?PublicationID=P20170522308</v>
      </c>
    </row>
    <row r="52" spans="1:11" ht="51" x14ac:dyDescent="0.4">
      <c r="A52" s="10" t="s">
        <v>6682</v>
      </c>
      <c r="B52" s="10" t="s">
        <v>6683</v>
      </c>
      <c r="C52" s="10" t="s">
        <v>848</v>
      </c>
      <c r="D52" s="10" t="s">
        <v>849</v>
      </c>
      <c r="E52" s="10" t="s">
        <v>6684</v>
      </c>
      <c r="F52" s="10" t="s">
        <v>851</v>
      </c>
      <c r="G52" s="10" t="s">
        <v>502</v>
      </c>
      <c r="H52" s="7" t="s">
        <v>24</v>
      </c>
      <c r="I52" s="7" t="s">
        <v>25</v>
      </c>
      <c r="J52" s="13" t="str">
        <f>HYPERLINK("https://www.airitibooks.com/Detail/Detail?PublicationID=P20170522307", "https://www.airitibooks.com/Detail/Detail?PublicationID=P20170522307")</f>
        <v>https://www.airitibooks.com/Detail/Detail?PublicationID=P20170522307</v>
      </c>
      <c r="K52" s="13" t="str">
        <f>HYPERLINK("https://ntsu.idm.oclc.org/login?url=https://www.airitibooks.com/Detail/Detail?PublicationID=P20170522307", "https://ntsu.idm.oclc.org/login?url=https://www.airitibooks.com/Detail/Detail?PublicationID=P20170522307")</f>
        <v>https://ntsu.idm.oclc.org/login?url=https://www.airitibooks.com/Detail/Detail?PublicationID=P20170522307</v>
      </c>
    </row>
    <row r="53" spans="1:11" ht="51" x14ac:dyDescent="0.4">
      <c r="A53" s="10" t="s">
        <v>4242</v>
      </c>
      <c r="B53" s="10" t="s">
        <v>4243</v>
      </c>
      <c r="C53" s="10" t="s">
        <v>848</v>
      </c>
      <c r="D53" s="10" t="s">
        <v>849</v>
      </c>
      <c r="E53" s="10" t="s">
        <v>4244</v>
      </c>
      <c r="F53" s="10" t="s">
        <v>851</v>
      </c>
      <c r="G53" s="10" t="s">
        <v>502</v>
      </c>
      <c r="H53" s="7" t="s">
        <v>24</v>
      </c>
      <c r="I53" s="7" t="s">
        <v>25</v>
      </c>
      <c r="J53" s="13" t="str">
        <f>HYPERLINK("https://www.airitibooks.com/Detail/Detail?PublicationID=P20160315007", "https://www.airitibooks.com/Detail/Detail?PublicationID=P20160315007")</f>
        <v>https://www.airitibooks.com/Detail/Detail?PublicationID=P20160315007</v>
      </c>
      <c r="K53" s="13" t="str">
        <f>HYPERLINK("https://ntsu.idm.oclc.org/login?url=https://www.airitibooks.com/Detail/Detail?PublicationID=P20160315007", "https://ntsu.idm.oclc.org/login?url=https://www.airitibooks.com/Detail/Detail?PublicationID=P20160315007")</f>
        <v>https://ntsu.idm.oclc.org/login?url=https://www.airitibooks.com/Detail/Detail?PublicationID=P20160315007</v>
      </c>
    </row>
    <row r="54" spans="1:11" ht="51" x14ac:dyDescent="0.4">
      <c r="A54" s="10" t="s">
        <v>6677</v>
      </c>
      <c r="B54" s="10" t="s">
        <v>6678</v>
      </c>
      <c r="C54" s="10" t="s">
        <v>848</v>
      </c>
      <c r="D54" s="10" t="s">
        <v>849</v>
      </c>
      <c r="E54" s="10" t="s">
        <v>6679</v>
      </c>
      <c r="F54" s="10" t="s">
        <v>851</v>
      </c>
      <c r="G54" s="10" t="s">
        <v>502</v>
      </c>
      <c r="H54" s="7" t="s">
        <v>24</v>
      </c>
      <c r="I54" s="7" t="s">
        <v>25</v>
      </c>
      <c r="J54" s="13" t="str">
        <f>HYPERLINK("https://www.airitibooks.com/Detail/Detail?PublicationID=P20170522305", "https://www.airitibooks.com/Detail/Detail?PublicationID=P20170522305")</f>
        <v>https://www.airitibooks.com/Detail/Detail?PublicationID=P20170522305</v>
      </c>
      <c r="K54" s="13" t="str">
        <f>HYPERLINK("https://ntsu.idm.oclc.org/login?url=https://www.airitibooks.com/Detail/Detail?PublicationID=P20170522305", "https://ntsu.idm.oclc.org/login?url=https://www.airitibooks.com/Detail/Detail?PublicationID=P20170522305")</f>
        <v>https://ntsu.idm.oclc.org/login?url=https://www.airitibooks.com/Detail/Detail?PublicationID=P20170522305</v>
      </c>
    </row>
    <row r="55" spans="1:11" ht="51" x14ac:dyDescent="0.4">
      <c r="A55" s="10" t="s">
        <v>6668</v>
      </c>
      <c r="B55" s="10" t="s">
        <v>6669</v>
      </c>
      <c r="C55" s="10" t="s">
        <v>848</v>
      </c>
      <c r="D55" s="10" t="s">
        <v>849</v>
      </c>
      <c r="E55" s="10" t="s">
        <v>6670</v>
      </c>
      <c r="F55" s="10" t="s">
        <v>851</v>
      </c>
      <c r="G55" s="10" t="s">
        <v>502</v>
      </c>
      <c r="H55" s="7" t="s">
        <v>24</v>
      </c>
      <c r="I55" s="7" t="s">
        <v>25</v>
      </c>
      <c r="J55" s="13" t="str">
        <f>HYPERLINK("https://www.airitibooks.com/Detail/Detail?PublicationID=P20170522263", "https://www.airitibooks.com/Detail/Detail?PublicationID=P20170522263")</f>
        <v>https://www.airitibooks.com/Detail/Detail?PublicationID=P20170522263</v>
      </c>
      <c r="K55" s="13" t="str">
        <f>HYPERLINK("https://ntsu.idm.oclc.org/login?url=https://www.airitibooks.com/Detail/Detail?PublicationID=P20170522263", "https://ntsu.idm.oclc.org/login?url=https://www.airitibooks.com/Detail/Detail?PublicationID=P20170522263")</f>
        <v>https://ntsu.idm.oclc.org/login?url=https://www.airitibooks.com/Detail/Detail?PublicationID=P20170522263</v>
      </c>
    </row>
    <row r="56" spans="1:11" ht="51" x14ac:dyDescent="0.4">
      <c r="A56" s="10" t="s">
        <v>4239</v>
      </c>
      <c r="B56" s="10" t="s">
        <v>4240</v>
      </c>
      <c r="C56" s="10" t="s">
        <v>848</v>
      </c>
      <c r="D56" s="10" t="s">
        <v>849</v>
      </c>
      <c r="E56" s="10" t="s">
        <v>4241</v>
      </c>
      <c r="F56" s="10" t="s">
        <v>851</v>
      </c>
      <c r="G56" s="10" t="s">
        <v>502</v>
      </c>
      <c r="H56" s="7" t="s">
        <v>24</v>
      </c>
      <c r="I56" s="7" t="s">
        <v>25</v>
      </c>
      <c r="J56" s="13" t="str">
        <f>HYPERLINK("https://www.airitibooks.com/Detail/Detail?PublicationID=P20160315006", "https://www.airitibooks.com/Detail/Detail?PublicationID=P20160315006")</f>
        <v>https://www.airitibooks.com/Detail/Detail?PublicationID=P20160315006</v>
      </c>
      <c r="K56" s="13" t="str">
        <f>HYPERLINK("https://ntsu.idm.oclc.org/login?url=https://www.airitibooks.com/Detail/Detail?PublicationID=P20160315006", "https://ntsu.idm.oclc.org/login?url=https://www.airitibooks.com/Detail/Detail?PublicationID=P20160315006")</f>
        <v>https://ntsu.idm.oclc.org/login?url=https://www.airitibooks.com/Detail/Detail?PublicationID=P20160315006</v>
      </c>
    </row>
    <row r="57" spans="1:11" ht="51" x14ac:dyDescent="0.4">
      <c r="A57" s="10" t="s">
        <v>6680</v>
      </c>
      <c r="B57" s="10" t="s">
        <v>6681</v>
      </c>
      <c r="C57" s="10" t="s">
        <v>848</v>
      </c>
      <c r="D57" s="10" t="s">
        <v>849</v>
      </c>
      <c r="E57" s="10" t="s">
        <v>4241</v>
      </c>
      <c r="F57" s="10" t="s">
        <v>851</v>
      </c>
      <c r="G57" s="10" t="s">
        <v>502</v>
      </c>
      <c r="H57" s="7" t="s">
        <v>24</v>
      </c>
      <c r="I57" s="7" t="s">
        <v>25</v>
      </c>
      <c r="J57" s="13" t="str">
        <f>HYPERLINK("https://www.airitibooks.com/Detail/Detail?PublicationID=P20170522306", "https://www.airitibooks.com/Detail/Detail?PublicationID=P20170522306")</f>
        <v>https://www.airitibooks.com/Detail/Detail?PublicationID=P20170522306</v>
      </c>
      <c r="K57" s="13" t="str">
        <f>HYPERLINK("https://ntsu.idm.oclc.org/login?url=https://www.airitibooks.com/Detail/Detail?PublicationID=P20170522306", "https://ntsu.idm.oclc.org/login?url=https://www.airitibooks.com/Detail/Detail?PublicationID=P20170522306")</f>
        <v>https://ntsu.idm.oclc.org/login?url=https://www.airitibooks.com/Detail/Detail?PublicationID=P20170522306</v>
      </c>
    </row>
    <row r="58" spans="1:11" ht="51" x14ac:dyDescent="0.4">
      <c r="A58" s="10" t="s">
        <v>6674</v>
      </c>
      <c r="B58" s="10" t="s">
        <v>6675</v>
      </c>
      <c r="C58" s="10" t="s">
        <v>848</v>
      </c>
      <c r="D58" s="10" t="s">
        <v>849</v>
      </c>
      <c r="E58" s="10" t="s">
        <v>6676</v>
      </c>
      <c r="F58" s="10" t="s">
        <v>851</v>
      </c>
      <c r="G58" s="10" t="s">
        <v>502</v>
      </c>
      <c r="H58" s="7" t="s">
        <v>24</v>
      </c>
      <c r="I58" s="7" t="s">
        <v>25</v>
      </c>
      <c r="J58" s="13" t="str">
        <f>HYPERLINK("https://www.airitibooks.com/Detail/Detail?PublicationID=P20170522304", "https://www.airitibooks.com/Detail/Detail?PublicationID=P20170522304")</f>
        <v>https://www.airitibooks.com/Detail/Detail?PublicationID=P20170522304</v>
      </c>
      <c r="K58" s="13" t="str">
        <f>HYPERLINK("https://ntsu.idm.oclc.org/login?url=https://www.airitibooks.com/Detail/Detail?PublicationID=P20170522304", "https://ntsu.idm.oclc.org/login?url=https://www.airitibooks.com/Detail/Detail?PublicationID=P20170522304")</f>
        <v>https://ntsu.idm.oclc.org/login?url=https://www.airitibooks.com/Detail/Detail?PublicationID=P20170522304</v>
      </c>
    </row>
    <row r="59" spans="1:11" ht="51" x14ac:dyDescent="0.4">
      <c r="A59" s="10" t="s">
        <v>4236</v>
      </c>
      <c r="B59" s="10" t="s">
        <v>4237</v>
      </c>
      <c r="C59" s="10" t="s">
        <v>848</v>
      </c>
      <c r="D59" s="10" t="s">
        <v>849</v>
      </c>
      <c r="E59" s="10" t="s">
        <v>4238</v>
      </c>
      <c r="F59" s="10" t="s">
        <v>851</v>
      </c>
      <c r="G59" s="10" t="s">
        <v>502</v>
      </c>
      <c r="H59" s="7" t="s">
        <v>24</v>
      </c>
      <c r="I59" s="7" t="s">
        <v>25</v>
      </c>
      <c r="J59" s="13" t="str">
        <f>HYPERLINK("https://www.airitibooks.com/Detail/Detail?PublicationID=P20160315005", "https://www.airitibooks.com/Detail/Detail?PublicationID=P20160315005")</f>
        <v>https://www.airitibooks.com/Detail/Detail?PublicationID=P20160315005</v>
      </c>
      <c r="K59" s="13" t="str">
        <f>HYPERLINK("https://ntsu.idm.oclc.org/login?url=https://www.airitibooks.com/Detail/Detail?PublicationID=P20160315005", "https://ntsu.idm.oclc.org/login?url=https://www.airitibooks.com/Detail/Detail?PublicationID=P20160315005")</f>
        <v>https://ntsu.idm.oclc.org/login?url=https://www.airitibooks.com/Detail/Detail?PublicationID=P20160315005</v>
      </c>
    </row>
    <row r="60" spans="1:11" ht="51" x14ac:dyDescent="0.4">
      <c r="A60" s="10" t="s">
        <v>4233</v>
      </c>
      <c r="B60" s="10" t="s">
        <v>4234</v>
      </c>
      <c r="C60" s="10" t="s">
        <v>848</v>
      </c>
      <c r="D60" s="10" t="s">
        <v>849</v>
      </c>
      <c r="E60" s="10" t="s">
        <v>4235</v>
      </c>
      <c r="F60" s="10" t="s">
        <v>851</v>
      </c>
      <c r="G60" s="10" t="s">
        <v>502</v>
      </c>
      <c r="H60" s="7" t="s">
        <v>24</v>
      </c>
      <c r="I60" s="7" t="s">
        <v>25</v>
      </c>
      <c r="J60" s="13" t="str">
        <f>HYPERLINK("https://www.airitibooks.com/Detail/Detail?PublicationID=P20160315004", "https://www.airitibooks.com/Detail/Detail?PublicationID=P20160315004")</f>
        <v>https://www.airitibooks.com/Detail/Detail?PublicationID=P20160315004</v>
      </c>
      <c r="K60" s="13" t="str">
        <f>HYPERLINK("https://ntsu.idm.oclc.org/login?url=https://www.airitibooks.com/Detail/Detail?PublicationID=P20160315004", "https://ntsu.idm.oclc.org/login?url=https://www.airitibooks.com/Detail/Detail?PublicationID=P20160315004")</f>
        <v>https://ntsu.idm.oclc.org/login?url=https://www.airitibooks.com/Detail/Detail?PublicationID=P20160315004</v>
      </c>
    </row>
    <row r="61" spans="1:11" ht="51" x14ac:dyDescent="0.4">
      <c r="A61" s="10" t="s">
        <v>6665</v>
      </c>
      <c r="B61" s="10" t="s">
        <v>6666</v>
      </c>
      <c r="C61" s="10" t="s">
        <v>848</v>
      </c>
      <c r="D61" s="10" t="s">
        <v>849</v>
      </c>
      <c r="E61" s="10" t="s">
        <v>6667</v>
      </c>
      <c r="F61" s="10" t="s">
        <v>851</v>
      </c>
      <c r="G61" s="10" t="s">
        <v>502</v>
      </c>
      <c r="H61" s="7" t="s">
        <v>24</v>
      </c>
      <c r="I61" s="7" t="s">
        <v>25</v>
      </c>
      <c r="J61" s="13" t="str">
        <f>HYPERLINK("https://www.airitibooks.com/Detail/Detail?PublicationID=P20170522262", "https://www.airitibooks.com/Detail/Detail?PublicationID=P20170522262")</f>
        <v>https://www.airitibooks.com/Detail/Detail?PublicationID=P20170522262</v>
      </c>
      <c r="K61" s="13" t="str">
        <f>HYPERLINK("https://ntsu.idm.oclc.org/login?url=https://www.airitibooks.com/Detail/Detail?PublicationID=P20170522262", "https://ntsu.idm.oclc.org/login?url=https://www.airitibooks.com/Detail/Detail?PublicationID=P20170522262")</f>
        <v>https://ntsu.idm.oclc.org/login?url=https://www.airitibooks.com/Detail/Detail?PublicationID=P20170522262</v>
      </c>
    </row>
    <row r="62" spans="1:11" ht="51" x14ac:dyDescent="0.4">
      <c r="A62" s="10" t="s">
        <v>6671</v>
      </c>
      <c r="B62" s="10" t="s">
        <v>6672</v>
      </c>
      <c r="C62" s="10" t="s">
        <v>848</v>
      </c>
      <c r="D62" s="10" t="s">
        <v>849</v>
      </c>
      <c r="E62" s="10" t="s">
        <v>6673</v>
      </c>
      <c r="F62" s="10" t="s">
        <v>851</v>
      </c>
      <c r="G62" s="10" t="s">
        <v>502</v>
      </c>
      <c r="H62" s="7" t="s">
        <v>24</v>
      </c>
      <c r="I62" s="7" t="s">
        <v>25</v>
      </c>
      <c r="J62" s="13" t="str">
        <f>HYPERLINK("https://www.airitibooks.com/Detail/Detail?PublicationID=P20170522303", "https://www.airitibooks.com/Detail/Detail?PublicationID=P20170522303")</f>
        <v>https://www.airitibooks.com/Detail/Detail?PublicationID=P20170522303</v>
      </c>
      <c r="K62" s="13" t="str">
        <f>HYPERLINK("https://ntsu.idm.oclc.org/login?url=https://www.airitibooks.com/Detail/Detail?PublicationID=P20170522303", "https://ntsu.idm.oclc.org/login?url=https://www.airitibooks.com/Detail/Detail?PublicationID=P20170522303")</f>
        <v>https://ntsu.idm.oclc.org/login?url=https://www.airitibooks.com/Detail/Detail?PublicationID=P20170522303</v>
      </c>
    </row>
    <row r="63" spans="1:11" ht="51" x14ac:dyDescent="0.4">
      <c r="A63" s="10" t="s">
        <v>4230</v>
      </c>
      <c r="B63" s="10" t="s">
        <v>4231</v>
      </c>
      <c r="C63" s="10" t="s">
        <v>848</v>
      </c>
      <c r="D63" s="10" t="s">
        <v>849</v>
      </c>
      <c r="E63" s="10" t="s">
        <v>4232</v>
      </c>
      <c r="F63" s="10" t="s">
        <v>851</v>
      </c>
      <c r="G63" s="10" t="s">
        <v>502</v>
      </c>
      <c r="H63" s="7" t="s">
        <v>24</v>
      </c>
      <c r="I63" s="7" t="s">
        <v>25</v>
      </c>
      <c r="J63" s="13" t="str">
        <f>HYPERLINK("https://www.airitibooks.com/Detail/Detail?PublicationID=P20160315002", "https://www.airitibooks.com/Detail/Detail?PublicationID=P20160315002")</f>
        <v>https://www.airitibooks.com/Detail/Detail?PublicationID=P20160315002</v>
      </c>
      <c r="K63" s="13" t="str">
        <f>HYPERLINK("https://ntsu.idm.oclc.org/login?url=https://www.airitibooks.com/Detail/Detail?PublicationID=P20160315002", "https://ntsu.idm.oclc.org/login?url=https://www.airitibooks.com/Detail/Detail?PublicationID=P20160315002")</f>
        <v>https://ntsu.idm.oclc.org/login?url=https://www.airitibooks.com/Detail/Detail?PublicationID=P20160315002</v>
      </c>
    </row>
    <row r="64" spans="1:11" ht="51" x14ac:dyDescent="0.4">
      <c r="A64" s="10" t="s">
        <v>6438</v>
      </c>
      <c r="B64" s="10" t="s">
        <v>6439</v>
      </c>
      <c r="C64" s="10" t="s">
        <v>848</v>
      </c>
      <c r="D64" s="10" t="s">
        <v>849</v>
      </c>
      <c r="E64" s="10" t="s">
        <v>6440</v>
      </c>
      <c r="F64" s="10" t="s">
        <v>851</v>
      </c>
      <c r="G64" s="10" t="s">
        <v>502</v>
      </c>
      <c r="H64" s="7" t="s">
        <v>24</v>
      </c>
      <c r="I64" s="7" t="s">
        <v>25</v>
      </c>
      <c r="J64" s="13" t="str">
        <f>HYPERLINK("https://www.airitibooks.com/Detail/Detail?PublicationID=P20170428015", "https://www.airitibooks.com/Detail/Detail?PublicationID=P20170428015")</f>
        <v>https://www.airitibooks.com/Detail/Detail?PublicationID=P20170428015</v>
      </c>
      <c r="K64" s="13" t="str">
        <f>HYPERLINK("https://ntsu.idm.oclc.org/login?url=https://www.airitibooks.com/Detail/Detail?PublicationID=P20170428015", "https://ntsu.idm.oclc.org/login?url=https://www.airitibooks.com/Detail/Detail?PublicationID=P20170428015")</f>
        <v>https://ntsu.idm.oclc.org/login?url=https://www.airitibooks.com/Detail/Detail?PublicationID=P20170428015</v>
      </c>
    </row>
    <row r="65" spans="1:11" ht="51" x14ac:dyDescent="0.4">
      <c r="A65" s="10" t="s">
        <v>6441</v>
      </c>
      <c r="B65" s="10" t="s">
        <v>6442</v>
      </c>
      <c r="C65" s="10" t="s">
        <v>848</v>
      </c>
      <c r="D65" s="10" t="s">
        <v>849</v>
      </c>
      <c r="E65" s="10" t="s">
        <v>6440</v>
      </c>
      <c r="F65" s="10" t="s">
        <v>851</v>
      </c>
      <c r="G65" s="10" t="s">
        <v>502</v>
      </c>
      <c r="H65" s="7" t="s">
        <v>24</v>
      </c>
      <c r="I65" s="7" t="s">
        <v>25</v>
      </c>
      <c r="J65" s="13" t="str">
        <f>HYPERLINK("https://www.airitibooks.com/Detail/Detail?PublicationID=P20170428016", "https://www.airitibooks.com/Detail/Detail?PublicationID=P20170428016")</f>
        <v>https://www.airitibooks.com/Detail/Detail?PublicationID=P20170428016</v>
      </c>
      <c r="K65" s="13" t="str">
        <f>HYPERLINK("https://ntsu.idm.oclc.org/login?url=https://www.airitibooks.com/Detail/Detail?PublicationID=P20170428016", "https://ntsu.idm.oclc.org/login?url=https://www.airitibooks.com/Detail/Detail?PublicationID=P20170428016")</f>
        <v>https://ntsu.idm.oclc.org/login?url=https://www.airitibooks.com/Detail/Detail?PublicationID=P20170428016</v>
      </c>
    </row>
    <row r="66" spans="1:11" ht="51" x14ac:dyDescent="0.4">
      <c r="A66" s="10" t="s">
        <v>4227</v>
      </c>
      <c r="B66" s="10" t="s">
        <v>4228</v>
      </c>
      <c r="C66" s="10" t="s">
        <v>848</v>
      </c>
      <c r="D66" s="10" t="s">
        <v>849</v>
      </c>
      <c r="E66" s="10" t="s">
        <v>4229</v>
      </c>
      <c r="F66" s="10" t="s">
        <v>851</v>
      </c>
      <c r="G66" s="10" t="s">
        <v>502</v>
      </c>
      <c r="H66" s="7" t="s">
        <v>24</v>
      </c>
      <c r="I66" s="7" t="s">
        <v>25</v>
      </c>
      <c r="J66" s="13" t="str">
        <f>HYPERLINK("https://www.airitibooks.com/Detail/Detail?PublicationID=P20160315001", "https://www.airitibooks.com/Detail/Detail?PublicationID=P20160315001")</f>
        <v>https://www.airitibooks.com/Detail/Detail?PublicationID=P20160315001</v>
      </c>
      <c r="K66" s="13" t="str">
        <f>HYPERLINK("https://ntsu.idm.oclc.org/login?url=https://www.airitibooks.com/Detail/Detail?PublicationID=P20160315001", "https://ntsu.idm.oclc.org/login?url=https://www.airitibooks.com/Detail/Detail?PublicationID=P20160315001")</f>
        <v>https://ntsu.idm.oclc.org/login?url=https://www.airitibooks.com/Detail/Detail?PublicationID=P20160315001</v>
      </c>
    </row>
    <row r="67" spans="1:11" ht="51" x14ac:dyDescent="0.4">
      <c r="A67" s="10" t="s">
        <v>927</v>
      </c>
      <c r="B67" s="10" t="s">
        <v>928</v>
      </c>
      <c r="C67" s="10" t="s">
        <v>848</v>
      </c>
      <c r="D67" s="10" t="s">
        <v>849</v>
      </c>
      <c r="E67" s="10" t="s">
        <v>929</v>
      </c>
      <c r="F67" s="10" t="s">
        <v>851</v>
      </c>
      <c r="G67" s="10" t="s">
        <v>502</v>
      </c>
      <c r="H67" s="7" t="s">
        <v>24</v>
      </c>
      <c r="I67" s="7" t="s">
        <v>25</v>
      </c>
      <c r="J67" s="13" t="str">
        <f>HYPERLINK("https://www.airitibooks.com/Detail/Detail?PublicationID=P20131016636", "https://www.airitibooks.com/Detail/Detail?PublicationID=P20131016636")</f>
        <v>https://www.airitibooks.com/Detail/Detail?PublicationID=P20131016636</v>
      </c>
      <c r="K67" s="13" t="str">
        <f>HYPERLINK("https://ntsu.idm.oclc.org/login?url=https://www.airitibooks.com/Detail/Detail?PublicationID=P20131016636", "https://ntsu.idm.oclc.org/login?url=https://www.airitibooks.com/Detail/Detail?PublicationID=P20131016636")</f>
        <v>https://ntsu.idm.oclc.org/login?url=https://www.airitibooks.com/Detail/Detail?PublicationID=P20131016636</v>
      </c>
    </row>
    <row r="68" spans="1:11" ht="51" x14ac:dyDescent="0.4">
      <c r="A68" s="10" t="s">
        <v>6217</v>
      </c>
      <c r="B68" s="10" t="s">
        <v>6218</v>
      </c>
      <c r="C68" s="10" t="s">
        <v>848</v>
      </c>
      <c r="D68" s="10" t="s">
        <v>849</v>
      </c>
      <c r="E68" s="10" t="s">
        <v>6219</v>
      </c>
      <c r="F68" s="10" t="s">
        <v>851</v>
      </c>
      <c r="G68" s="10" t="s">
        <v>502</v>
      </c>
      <c r="H68" s="7" t="s">
        <v>24</v>
      </c>
      <c r="I68" s="7" t="s">
        <v>25</v>
      </c>
      <c r="J68" s="13" t="str">
        <f>HYPERLINK("https://www.airitibooks.com/Detail/Detail?PublicationID=P20170216013", "https://www.airitibooks.com/Detail/Detail?PublicationID=P20170216013")</f>
        <v>https://www.airitibooks.com/Detail/Detail?PublicationID=P20170216013</v>
      </c>
      <c r="K68" s="13" t="str">
        <f>HYPERLINK("https://ntsu.idm.oclc.org/login?url=https://www.airitibooks.com/Detail/Detail?PublicationID=P20170216013", "https://ntsu.idm.oclc.org/login?url=https://www.airitibooks.com/Detail/Detail?PublicationID=P20170216013")</f>
        <v>https://ntsu.idm.oclc.org/login?url=https://www.airitibooks.com/Detail/Detail?PublicationID=P20170216013</v>
      </c>
    </row>
    <row r="69" spans="1:11" ht="51" x14ac:dyDescent="0.4">
      <c r="A69" s="10" t="s">
        <v>924</v>
      </c>
      <c r="B69" s="10" t="s">
        <v>925</v>
      </c>
      <c r="C69" s="10" t="s">
        <v>848</v>
      </c>
      <c r="D69" s="10" t="s">
        <v>849</v>
      </c>
      <c r="E69" s="10" t="s">
        <v>926</v>
      </c>
      <c r="F69" s="10" t="s">
        <v>851</v>
      </c>
      <c r="G69" s="10" t="s">
        <v>502</v>
      </c>
      <c r="H69" s="7" t="s">
        <v>24</v>
      </c>
      <c r="I69" s="7" t="s">
        <v>25</v>
      </c>
      <c r="J69" s="13" t="str">
        <f>HYPERLINK("https://www.airitibooks.com/Detail/Detail?PublicationID=P20131016635", "https://www.airitibooks.com/Detail/Detail?PublicationID=P20131016635")</f>
        <v>https://www.airitibooks.com/Detail/Detail?PublicationID=P20131016635</v>
      </c>
      <c r="K69" s="13" t="str">
        <f>HYPERLINK("https://ntsu.idm.oclc.org/login?url=https://www.airitibooks.com/Detail/Detail?PublicationID=P20131016635", "https://ntsu.idm.oclc.org/login?url=https://www.airitibooks.com/Detail/Detail?PublicationID=P20131016635")</f>
        <v>https://ntsu.idm.oclc.org/login?url=https://www.airitibooks.com/Detail/Detail?PublicationID=P20131016635</v>
      </c>
    </row>
    <row r="70" spans="1:11" ht="51" x14ac:dyDescent="0.4">
      <c r="A70" s="10" t="s">
        <v>6193</v>
      </c>
      <c r="B70" s="10" t="s">
        <v>6194</v>
      </c>
      <c r="C70" s="10" t="s">
        <v>848</v>
      </c>
      <c r="D70" s="10" t="s">
        <v>849</v>
      </c>
      <c r="E70" s="10" t="s">
        <v>6195</v>
      </c>
      <c r="F70" s="10" t="s">
        <v>851</v>
      </c>
      <c r="G70" s="10" t="s">
        <v>502</v>
      </c>
      <c r="H70" s="7" t="s">
        <v>24</v>
      </c>
      <c r="I70" s="7" t="s">
        <v>25</v>
      </c>
      <c r="J70" s="13" t="str">
        <f>HYPERLINK("https://www.airitibooks.com/Detail/Detail?PublicationID=P20170216002", "https://www.airitibooks.com/Detail/Detail?PublicationID=P20170216002")</f>
        <v>https://www.airitibooks.com/Detail/Detail?PublicationID=P20170216002</v>
      </c>
      <c r="K70" s="13" t="str">
        <f>HYPERLINK("https://ntsu.idm.oclc.org/login?url=https://www.airitibooks.com/Detail/Detail?PublicationID=P20170216002", "https://ntsu.idm.oclc.org/login?url=https://www.airitibooks.com/Detail/Detail?PublicationID=P20170216002")</f>
        <v>https://ntsu.idm.oclc.org/login?url=https://www.airitibooks.com/Detail/Detail?PublicationID=P20170216002</v>
      </c>
    </row>
    <row r="71" spans="1:11" ht="51" x14ac:dyDescent="0.4">
      <c r="A71" s="10" t="s">
        <v>921</v>
      </c>
      <c r="B71" s="10" t="s">
        <v>922</v>
      </c>
      <c r="C71" s="10" t="s">
        <v>848</v>
      </c>
      <c r="D71" s="10" t="s">
        <v>849</v>
      </c>
      <c r="E71" s="10" t="s">
        <v>923</v>
      </c>
      <c r="F71" s="10" t="s">
        <v>851</v>
      </c>
      <c r="G71" s="10" t="s">
        <v>502</v>
      </c>
      <c r="H71" s="7" t="s">
        <v>24</v>
      </c>
      <c r="I71" s="7" t="s">
        <v>25</v>
      </c>
      <c r="J71" s="13" t="str">
        <f>HYPERLINK("https://www.airitibooks.com/Detail/Detail?PublicationID=P20131016634", "https://www.airitibooks.com/Detail/Detail?PublicationID=P20131016634")</f>
        <v>https://www.airitibooks.com/Detail/Detail?PublicationID=P20131016634</v>
      </c>
      <c r="K71" s="13" t="str">
        <f>HYPERLINK("https://ntsu.idm.oclc.org/login?url=https://www.airitibooks.com/Detail/Detail?PublicationID=P20131016634", "https://ntsu.idm.oclc.org/login?url=https://www.airitibooks.com/Detail/Detail?PublicationID=P20131016634")</f>
        <v>https://ntsu.idm.oclc.org/login?url=https://www.airitibooks.com/Detail/Detail?PublicationID=P20131016634</v>
      </c>
    </row>
    <row r="72" spans="1:11" ht="51" x14ac:dyDescent="0.4">
      <c r="A72" s="10" t="s">
        <v>5833</v>
      </c>
      <c r="B72" s="10" t="s">
        <v>5834</v>
      </c>
      <c r="C72" s="10" t="s">
        <v>848</v>
      </c>
      <c r="D72" s="10" t="s">
        <v>849</v>
      </c>
      <c r="E72" s="10" t="s">
        <v>5835</v>
      </c>
      <c r="F72" s="10" t="s">
        <v>851</v>
      </c>
      <c r="G72" s="10" t="s">
        <v>502</v>
      </c>
      <c r="H72" s="7" t="s">
        <v>24</v>
      </c>
      <c r="I72" s="7" t="s">
        <v>25</v>
      </c>
      <c r="J72" s="13" t="str">
        <f>HYPERLINK("https://www.airitibooks.com/Detail/Detail?PublicationID=P20170104233", "https://www.airitibooks.com/Detail/Detail?PublicationID=P20170104233")</f>
        <v>https://www.airitibooks.com/Detail/Detail?PublicationID=P20170104233</v>
      </c>
      <c r="K72" s="13" t="str">
        <f>HYPERLINK("https://ntsu.idm.oclc.org/login?url=https://www.airitibooks.com/Detail/Detail?PublicationID=P20170104233", "https://ntsu.idm.oclc.org/login?url=https://www.airitibooks.com/Detail/Detail?PublicationID=P20170104233")</f>
        <v>https://ntsu.idm.oclc.org/login?url=https://www.airitibooks.com/Detail/Detail?PublicationID=P20170104233</v>
      </c>
    </row>
    <row r="73" spans="1:11" ht="51" x14ac:dyDescent="0.4">
      <c r="A73" s="10" t="s">
        <v>918</v>
      </c>
      <c r="B73" s="10" t="s">
        <v>919</v>
      </c>
      <c r="C73" s="10" t="s">
        <v>848</v>
      </c>
      <c r="D73" s="10" t="s">
        <v>849</v>
      </c>
      <c r="E73" s="10" t="s">
        <v>920</v>
      </c>
      <c r="F73" s="10" t="s">
        <v>851</v>
      </c>
      <c r="G73" s="10" t="s">
        <v>502</v>
      </c>
      <c r="H73" s="7" t="s">
        <v>24</v>
      </c>
      <c r="I73" s="7" t="s">
        <v>25</v>
      </c>
      <c r="J73" s="13" t="str">
        <f>HYPERLINK("https://www.airitibooks.com/Detail/Detail?PublicationID=P20131016633", "https://www.airitibooks.com/Detail/Detail?PublicationID=P20131016633")</f>
        <v>https://www.airitibooks.com/Detail/Detail?PublicationID=P20131016633</v>
      </c>
      <c r="K73" s="13" t="str">
        <f>HYPERLINK("https://ntsu.idm.oclc.org/login?url=https://www.airitibooks.com/Detail/Detail?PublicationID=P20131016633", "https://ntsu.idm.oclc.org/login?url=https://www.airitibooks.com/Detail/Detail?PublicationID=P20131016633")</f>
        <v>https://ntsu.idm.oclc.org/login?url=https://www.airitibooks.com/Detail/Detail?PublicationID=P20131016633</v>
      </c>
    </row>
    <row r="74" spans="1:11" ht="51" x14ac:dyDescent="0.4">
      <c r="A74" s="10" t="s">
        <v>915</v>
      </c>
      <c r="B74" s="10" t="s">
        <v>916</v>
      </c>
      <c r="C74" s="10" t="s">
        <v>848</v>
      </c>
      <c r="D74" s="10" t="s">
        <v>849</v>
      </c>
      <c r="E74" s="10" t="s">
        <v>917</v>
      </c>
      <c r="F74" s="10" t="s">
        <v>851</v>
      </c>
      <c r="G74" s="10" t="s">
        <v>502</v>
      </c>
      <c r="H74" s="7" t="s">
        <v>24</v>
      </c>
      <c r="I74" s="7" t="s">
        <v>25</v>
      </c>
      <c r="J74" s="13" t="str">
        <f>HYPERLINK("https://www.airitibooks.com/Detail/Detail?PublicationID=P20131016632", "https://www.airitibooks.com/Detail/Detail?PublicationID=P20131016632")</f>
        <v>https://www.airitibooks.com/Detail/Detail?PublicationID=P20131016632</v>
      </c>
      <c r="K74" s="13" t="str">
        <f>HYPERLINK("https://ntsu.idm.oclc.org/login?url=https://www.airitibooks.com/Detail/Detail?PublicationID=P20131016632", "https://ntsu.idm.oclc.org/login?url=https://www.airitibooks.com/Detail/Detail?PublicationID=P20131016632")</f>
        <v>https://ntsu.idm.oclc.org/login?url=https://www.airitibooks.com/Detail/Detail?PublicationID=P20131016632</v>
      </c>
    </row>
    <row r="75" spans="1:11" ht="51" x14ac:dyDescent="0.4">
      <c r="A75" s="10" t="s">
        <v>5652</v>
      </c>
      <c r="B75" s="10" t="s">
        <v>5653</v>
      </c>
      <c r="C75" s="10" t="s">
        <v>848</v>
      </c>
      <c r="D75" s="10" t="s">
        <v>849</v>
      </c>
      <c r="E75" s="10" t="s">
        <v>5654</v>
      </c>
      <c r="F75" s="10" t="s">
        <v>851</v>
      </c>
      <c r="G75" s="10" t="s">
        <v>502</v>
      </c>
      <c r="H75" s="7" t="s">
        <v>24</v>
      </c>
      <c r="I75" s="7" t="s">
        <v>25</v>
      </c>
      <c r="J75" s="13" t="str">
        <f>HYPERLINK("https://www.airitibooks.com/Detail/Detail?PublicationID=P20161107018", "https://www.airitibooks.com/Detail/Detail?PublicationID=P20161107018")</f>
        <v>https://www.airitibooks.com/Detail/Detail?PublicationID=P20161107018</v>
      </c>
      <c r="K75" s="13" t="str">
        <f>HYPERLINK("https://ntsu.idm.oclc.org/login?url=https://www.airitibooks.com/Detail/Detail?PublicationID=P20161107018", "https://ntsu.idm.oclc.org/login?url=https://www.airitibooks.com/Detail/Detail?PublicationID=P20161107018")</f>
        <v>https://ntsu.idm.oclc.org/login?url=https://www.airitibooks.com/Detail/Detail?PublicationID=P20161107018</v>
      </c>
    </row>
    <row r="76" spans="1:11" ht="51" x14ac:dyDescent="0.4">
      <c r="A76" s="10" t="s">
        <v>912</v>
      </c>
      <c r="B76" s="10" t="s">
        <v>913</v>
      </c>
      <c r="C76" s="10" t="s">
        <v>848</v>
      </c>
      <c r="D76" s="10" t="s">
        <v>849</v>
      </c>
      <c r="E76" s="10" t="s">
        <v>914</v>
      </c>
      <c r="F76" s="10" t="s">
        <v>851</v>
      </c>
      <c r="G76" s="10" t="s">
        <v>502</v>
      </c>
      <c r="H76" s="7" t="s">
        <v>24</v>
      </c>
      <c r="I76" s="7" t="s">
        <v>25</v>
      </c>
      <c r="J76" s="13" t="str">
        <f>HYPERLINK("https://www.airitibooks.com/Detail/Detail?PublicationID=P20131016631", "https://www.airitibooks.com/Detail/Detail?PublicationID=P20131016631")</f>
        <v>https://www.airitibooks.com/Detail/Detail?PublicationID=P20131016631</v>
      </c>
      <c r="K76" s="13" t="str">
        <f>HYPERLINK("https://ntsu.idm.oclc.org/login?url=https://www.airitibooks.com/Detail/Detail?PublicationID=P20131016631", "https://ntsu.idm.oclc.org/login?url=https://www.airitibooks.com/Detail/Detail?PublicationID=P20131016631")</f>
        <v>https://ntsu.idm.oclc.org/login?url=https://www.airitibooks.com/Detail/Detail?PublicationID=P20131016631</v>
      </c>
    </row>
    <row r="77" spans="1:11" ht="51" x14ac:dyDescent="0.4">
      <c r="A77" s="10" t="s">
        <v>5560</v>
      </c>
      <c r="B77" s="10" t="s">
        <v>5561</v>
      </c>
      <c r="C77" s="10" t="s">
        <v>848</v>
      </c>
      <c r="D77" s="10" t="s">
        <v>849</v>
      </c>
      <c r="E77" s="10" t="s">
        <v>5562</v>
      </c>
      <c r="F77" s="10" t="s">
        <v>851</v>
      </c>
      <c r="G77" s="10" t="s">
        <v>502</v>
      </c>
      <c r="H77" s="7" t="s">
        <v>24</v>
      </c>
      <c r="I77" s="7" t="s">
        <v>25</v>
      </c>
      <c r="J77" s="13" t="str">
        <f>HYPERLINK("https://www.airitibooks.com/Detail/Detail?PublicationID=P20160930040", "https://www.airitibooks.com/Detail/Detail?PublicationID=P20160930040")</f>
        <v>https://www.airitibooks.com/Detail/Detail?PublicationID=P20160930040</v>
      </c>
      <c r="K77" s="13" t="str">
        <f>HYPERLINK("https://ntsu.idm.oclc.org/login?url=https://www.airitibooks.com/Detail/Detail?PublicationID=P20160930040", "https://ntsu.idm.oclc.org/login?url=https://www.airitibooks.com/Detail/Detail?PublicationID=P20160930040")</f>
        <v>https://ntsu.idm.oclc.org/login?url=https://www.airitibooks.com/Detail/Detail?PublicationID=P20160930040</v>
      </c>
    </row>
    <row r="78" spans="1:11" ht="51" x14ac:dyDescent="0.4">
      <c r="A78" s="10" t="s">
        <v>5563</v>
      </c>
      <c r="B78" s="10" t="s">
        <v>5564</v>
      </c>
      <c r="C78" s="10" t="s">
        <v>848</v>
      </c>
      <c r="D78" s="10" t="s">
        <v>849</v>
      </c>
      <c r="E78" s="10" t="s">
        <v>5562</v>
      </c>
      <c r="F78" s="10" t="s">
        <v>851</v>
      </c>
      <c r="G78" s="10" t="s">
        <v>502</v>
      </c>
      <c r="H78" s="7" t="s">
        <v>24</v>
      </c>
      <c r="I78" s="7" t="s">
        <v>25</v>
      </c>
      <c r="J78" s="13" t="str">
        <f>HYPERLINK("https://www.airitibooks.com/Detail/Detail?PublicationID=P20160930041", "https://www.airitibooks.com/Detail/Detail?PublicationID=P20160930041")</f>
        <v>https://www.airitibooks.com/Detail/Detail?PublicationID=P20160930041</v>
      </c>
      <c r="K78" s="13" t="str">
        <f>HYPERLINK("https://ntsu.idm.oclc.org/login?url=https://www.airitibooks.com/Detail/Detail?PublicationID=P20160930041", "https://ntsu.idm.oclc.org/login?url=https://www.airitibooks.com/Detail/Detail?PublicationID=P20160930041")</f>
        <v>https://ntsu.idm.oclc.org/login?url=https://www.airitibooks.com/Detail/Detail?PublicationID=P20160930041</v>
      </c>
    </row>
    <row r="79" spans="1:11" ht="51" x14ac:dyDescent="0.4">
      <c r="A79" s="10" t="s">
        <v>909</v>
      </c>
      <c r="B79" s="10" t="s">
        <v>910</v>
      </c>
      <c r="C79" s="10" t="s">
        <v>848</v>
      </c>
      <c r="D79" s="10" t="s">
        <v>849</v>
      </c>
      <c r="E79" s="10" t="s">
        <v>911</v>
      </c>
      <c r="F79" s="10" t="s">
        <v>851</v>
      </c>
      <c r="G79" s="10" t="s">
        <v>502</v>
      </c>
      <c r="H79" s="7" t="s">
        <v>24</v>
      </c>
      <c r="I79" s="7" t="s">
        <v>25</v>
      </c>
      <c r="J79" s="13" t="str">
        <f>HYPERLINK("https://www.airitibooks.com/Detail/Detail?PublicationID=P20131016630", "https://www.airitibooks.com/Detail/Detail?PublicationID=P20131016630")</f>
        <v>https://www.airitibooks.com/Detail/Detail?PublicationID=P20131016630</v>
      </c>
      <c r="K79" s="13" t="str">
        <f>HYPERLINK("https://ntsu.idm.oclc.org/login?url=https://www.airitibooks.com/Detail/Detail?PublicationID=P20131016630", "https://ntsu.idm.oclc.org/login?url=https://www.airitibooks.com/Detail/Detail?PublicationID=P20131016630")</f>
        <v>https://ntsu.idm.oclc.org/login?url=https://www.airitibooks.com/Detail/Detail?PublicationID=P20131016630</v>
      </c>
    </row>
    <row r="80" spans="1:11" ht="51" x14ac:dyDescent="0.4">
      <c r="A80" s="10" t="s">
        <v>906</v>
      </c>
      <c r="B80" s="10" t="s">
        <v>907</v>
      </c>
      <c r="C80" s="10" t="s">
        <v>848</v>
      </c>
      <c r="D80" s="10" t="s">
        <v>849</v>
      </c>
      <c r="E80" s="10" t="s">
        <v>908</v>
      </c>
      <c r="F80" s="10" t="s">
        <v>851</v>
      </c>
      <c r="G80" s="10" t="s">
        <v>502</v>
      </c>
      <c r="H80" s="7" t="s">
        <v>24</v>
      </c>
      <c r="I80" s="7" t="s">
        <v>25</v>
      </c>
      <c r="J80" s="13" t="str">
        <f>HYPERLINK("https://www.airitibooks.com/Detail/Detail?PublicationID=P20131016629", "https://www.airitibooks.com/Detail/Detail?PublicationID=P20131016629")</f>
        <v>https://www.airitibooks.com/Detail/Detail?PublicationID=P20131016629</v>
      </c>
      <c r="K80" s="13" t="str">
        <f>HYPERLINK("https://ntsu.idm.oclc.org/login?url=https://www.airitibooks.com/Detail/Detail?PublicationID=P20131016629", "https://ntsu.idm.oclc.org/login?url=https://www.airitibooks.com/Detail/Detail?PublicationID=P20131016629")</f>
        <v>https://ntsu.idm.oclc.org/login?url=https://www.airitibooks.com/Detail/Detail?PublicationID=P20131016629</v>
      </c>
    </row>
    <row r="81" spans="1:11" ht="51" x14ac:dyDescent="0.4">
      <c r="A81" s="10" t="s">
        <v>903</v>
      </c>
      <c r="B81" s="10" t="s">
        <v>904</v>
      </c>
      <c r="C81" s="10" t="s">
        <v>848</v>
      </c>
      <c r="D81" s="10" t="s">
        <v>849</v>
      </c>
      <c r="E81" s="10" t="s">
        <v>905</v>
      </c>
      <c r="F81" s="10" t="s">
        <v>851</v>
      </c>
      <c r="G81" s="10" t="s">
        <v>502</v>
      </c>
      <c r="H81" s="7" t="s">
        <v>24</v>
      </c>
      <c r="I81" s="7" t="s">
        <v>25</v>
      </c>
      <c r="J81" s="13" t="str">
        <f>HYPERLINK("https://www.airitibooks.com/Detail/Detail?PublicationID=P20131016628", "https://www.airitibooks.com/Detail/Detail?PublicationID=P20131016628")</f>
        <v>https://www.airitibooks.com/Detail/Detail?PublicationID=P20131016628</v>
      </c>
      <c r="K81" s="13" t="str">
        <f>HYPERLINK("https://ntsu.idm.oclc.org/login?url=https://www.airitibooks.com/Detail/Detail?PublicationID=P20131016628", "https://ntsu.idm.oclc.org/login?url=https://www.airitibooks.com/Detail/Detail?PublicationID=P20131016628")</f>
        <v>https://ntsu.idm.oclc.org/login?url=https://www.airitibooks.com/Detail/Detail?PublicationID=P20131016628</v>
      </c>
    </row>
    <row r="82" spans="1:11" ht="68" x14ac:dyDescent="0.4">
      <c r="A82" s="10" t="s">
        <v>6211</v>
      </c>
      <c r="B82" s="10" t="s">
        <v>6212</v>
      </c>
      <c r="C82" s="10" t="s">
        <v>848</v>
      </c>
      <c r="D82" s="10" t="s">
        <v>849</v>
      </c>
      <c r="E82" s="10" t="s">
        <v>6213</v>
      </c>
      <c r="F82" s="10" t="s">
        <v>851</v>
      </c>
      <c r="G82" s="10" t="s">
        <v>502</v>
      </c>
      <c r="H82" s="7" t="s">
        <v>24</v>
      </c>
      <c r="I82" s="7" t="s">
        <v>25</v>
      </c>
      <c r="J82" s="13" t="str">
        <f>HYPERLINK("https://www.airitibooks.com/Detail/Detail?PublicationID=P20170216008", "https://www.airitibooks.com/Detail/Detail?PublicationID=P20170216008")</f>
        <v>https://www.airitibooks.com/Detail/Detail?PublicationID=P20170216008</v>
      </c>
      <c r="K82" s="13" t="str">
        <f>HYPERLINK("https://ntsu.idm.oclc.org/login?url=https://www.airitibooks.com/Detail/Detail?PublicationID=P20170216008", "https://ntsu.idm.oclc.org/login?url=https://www.airitibooks.com/Detail/Detail?PublicationID=P20170216008")</f>
        <v>https://ntsu.idm.oclc.org/login?url=https://www.airitibooks.com/Detail/Detail?PublicationID=P20170216008</v>
      </c>
    </row>
    <row r="83" spans="1:11" ht="51" x14ac:dyDescent="0.4">
      <c r="A83" s="10" t="s">
        <v>900</v>
      </c>
      <c r="B83" s="10" t="s">
        <v>901</v>
      </c>
      <c r="C83" s="10" t="s">
        <v>848</v>
      </c>
      <c r="D83" s="10" t="s">
        <v>849</v>
      </c>
      <c r="E83" s="10" t="s">
        <v>902</v>
      </c>
      <c r="F83" s="10" t="s">
        <v>851</v>
      </c>
      <c r="G83" s="10" t="s">
        <v>502</v>
      </c>
      <c r="H83" s="7" t="s">
        <v>24</v>
      </c>
      <c r="I83" s="7" t="s">
        <v>25</v>
      </c>
      <c r="J83" s="13" t="str">
        <f>HYPERLINK("https://www.airitibooks.com/Detail/Detail?PublicationID=P20131016627", "https://www.airitibooks.com/Detail/Detail?PublicationID=P20131016627")</f>
        <v>https://www.airitibooks.com/Detail/Detail?PublicationID=P20131016627</v>
      </c>
      <c r="K83" s="13" t="str">
        <f>HYPERLINK("https://ntsu.idm.oclc.org/login?url=https://www.airitibooks.com/Detail/Detail?PublicationID=P20131016627", "https://ntsu.idm.oclc.org/login?url=https://www.airitibooks.com/Detail/Detail?PublicationID=P20131016627")</f>
        <v>https://ntsu.idm.oclc.org/login?url=https://www.airitibooks.com/Detail/Detail?PublicationID=P20131016627</v>
      </c>
    </row>
    <row r="84" spans="1:11" ht="51" x14ac:dyDescent="0.4">
      <c r="A84" s="10" t="s">
        <v>897</v>
      </c>
      <c r="B84" s="10" t="s">
        <v>898</v>
      </c>
      <c r="C84" s="10" t="s">
        <v>848</v>
      </c>
      <c r="D84" s="10" t="s">
        <v>849</v>
      </c>
      <c r="E84" s="10" t="s">
        <v>899</v>
      </c>
      <c r="F84" s="10" t="s">
        <v>851</v>
      </c>
      <c r="G84" s="10" t="s">
        <v>502</v>
      </c>
      <c r="H84" s="7" t="s">
        <v>24</v>
      </c>
      <c r="I84" s="7" t="s">
        <v>25</v>
      </c>
      <c r="J84" s="13" t="str">
        <f>HYPERLINK("https://www.airitibooks.com/Detail/Detail?PublicationID=P20131016626", "https://www.airitibooks.com/Detail/Detail?PublicationID=P20131016626")</f>
        <v>https://www.airitibooks.com/Detail/Detail?PublicationID=P20131016626</v>
      </c>
      <c r="K84" s="13" t="str">
        <f>HYPERLINK("https://ntsu.idm.oclc.org/login?url=https://www.airitibooks.com/Detail/Detail?PublicationID=P20131016626", "https://ntsu.idm.oclc.org/login?url=https://www.airitibooks.com/Detail/Detail?PublicationID=P20131016626")</f>
        <v>https://ntsu.idm.oclc.org/login?url=https://www.airitibooks.com/Detail/Detail?PublicationID=P20131016626</v>
      </c>
    </row>
    <row r="85" spans="1:11" ht="51" x14ac:dyDescent="0.4">
      <c r="A85" s="10" t="s">
        <v>894</v>
      </c>
      <c r="B85" s="10" t="s">
        <v>895</v>
      </c>
      <c r="C85" s="10" t="s">
        <v>848</v>
      </c>
      <c r="D85" s="10" t="s">
        <v>849</v>
      </c>
      <c r="E85" s="10" t="s">
        <v>896</v>
      </c>
      <c r="F85" s="10" t="s">
        <v>851</v>
      </c>
      <c r="G85" s="10" t="s">
        <v>502</v>
      </c>
      <c r="H85" s="7" t="s">
        <v>24</v>
      </c>
      <c r="I85" s="7" t="s">
        <v>25</v>
      </c>
      <c r="J85" s="13" t="str">
        <f>HYPERLINK("https://www.airitibooks.com/Detail/Detail?PublicationID=P20131016625", "https://www.airitibooks.com/Detail/Detail?PublicationID=P20131016625")</f>
        <v>https://www.airitibooks.com/Detail/Detail?PublicationID=P20131016625</v>
      </c>
      <c r="K85" s="13" t="str">
        <f>HYPERLINK("https://ntsu.idm.oclc.org/login?url=https://www.airitibooks.com/Detail/Detail?PublicationID=P20131016625", "https://ntsu.idm.oclc.org/login?url=https://www.airitibooks.com/Detail/Detail?PublicationID=P20131016625")</f>
        <v>https://ntsu.idm.oclc.org/login?url=https://www.airitibooks.com/Detail/Detail?PublicationID=P20131016625</v>
      </c>
    </row>
    <row r="86" spans="1:11" ht="51" x14ac:dyDescent="0.4">
      <c r="A86" s="10" t="s">
        <v>6208</v>
      </c>
      <c r="B86" s="10" t="s">
        <v>6209</v>
      </c>
      <c r="C86" s="10" t="s">
        <v>848</v>
      </c>
      <c r="D86" s="10" t="s">
        <v>849</v>
      </c>
      <c r="E86" s="10" t="s">
        <v>6210</v>
      </c>
      <c r="F86" s="10" t="s">
        <v>851</v>
      </c>
      <c r="G86" s="10" t="s">
        <v>502</v>
      </c>
      <c r="H86" s="7" t="s">
        <v>24</v>
      </c>
      <c r="I86" s="7" t="s">
        <v>25</v>
      </c>
      <c r="J86" s="13" t="str">
        <f>HYPERLINK("https://www.airitibooks.com/Detail/Detail?PublicationID=P20170216007", "https://www.airitibooks.com/Detail/Detail?PublicationID=P20170216007")</f>
        <v>https://www.airitibooks.com/Detail/Detail?PublicationID=P20170216007</v>
      </c>
      <c r="K86" s="13" t="str">
        <f>HYPERLINK("https://ntsu.idm.oclc.org/login?url=https://www.airitibooks.com/Detail/Detail?PublicationID=P20170216007", "https://ntsu.idm.oclc.org/login?url=https://www.airitibooks.com/Detail/Detail?PublicationID=P20170216007")</f>
        <v>https://ntsu.idm.oclc.org/login?url=https://www.airitibooks.com/Detail/Detail?PublicationID=P20170216007</v>
      </c>
    </row>
    <row r="87" spans="1:11" ht="51" x14ac:dyDescent="0.4">
      <c r="A87" s="10" t="s">
        <v>891</v>
      </c>
      <c r="B87" s="10" t="s">
        <v>892</v>
      </c>
      <c r="C87" s="10" t="s">
        <v>848</v>
      </c>
      <c r="D87" s="10" t="s">
        <v>849</v>
      </c>
      <c r="E87" s="10" t="s">
        <v>893</v>
      </c>
      <c r="F87" s="10" t="s">
        <v>851</v>
      </c>
      <c r="G87" s="10" t="s">
        <v>502</v>
      </c>
      <c r="H87" s="7" t="s">
        <v>24</v>
      </c>
      <c r="I87" s="7" t="s">
        <v>25</v>
      </c>
      <c r="J87" s="13" t="str">
        <f>HYPERLINK("https://www.airitibooks.com/Detail/Detail?PublicationID=P20131016624", "https://www.airitibooks.com/Detail/Detail?PublicationID=P20131016624")</f>
        <v>https://www.airitibooks.com/Detail/Detail?PublicationID=P20131016624</v>
      </c>
      <c r="K87" s="13" t="str">
        <f>HYPERLINK("https://ntsu.idm.oclc.org/login?url=https://www.airitibooks.com/Detail/Detail?PublicationID=P20131016624", "https://ntsu.idm.oclc.org/login?url=https://www.airitibooks.com/Detail/Detail?PublicationID=P20131016624")</f>
        <v>https://ntsu.idm.oclc.org/login?url=https://www.airitibooks.com/Detail/Detail?PublicationID=P20131016624</v>
      </c>
    </row>
    <row r="88" spans="1:11" ht="85" x14ac:dyDescent="0.4">
      <c r="A88" s="10" t="s">
        <v>888</v>
      </c>
      <c r="B88" s="10" t="s">
        <v>889</v>
      </c>
      <c r="C88" s="10" t="s">
        <v>848</v>
      </c>
      <c r="D88" s="10" t="s">
        <v>849</v>
      </c>
      <c r="E88" s="10" t="s">
        <v>890</v>
      </c>
      <c r="F88" s="10" t="s">
        <v>851</v>
      </c>
      <c r="G88" s="10" t="s">
        <v>502</v>
      </c>
      <c r="H88" s="7" t="s">
        <v>24</v>
      </c>
      <c r="I88" s="7" t="s">
        <v>25</v>
      </c>
      <c r="J88" s="13" t="str">
        <f>HYPERLINK("https://www.airitibooks.com/Detail/Detail?PublicationID=P20131016623", "https://www.airitibooks.com/Detail/Detail?PublicationID=P20131016623")</f>
        <v>https://www.airitibooks.com/Detail/Detail?PublicationID=P20131016623</v>
      </c>
      <c r="K88" s="13" t="str">
        <f>HYPERLINK("https://ntsu.idm.oclc.org/login?url=https://www.airitibooks.com/Detail/Detail?PublicationID=P20131016623", "https://ntsu.idm.oclc.org/login?url=https://www.airitibooks.com/Detail/Detail?PublicationID=P20131016623")</f>
        <v>https://ntsu.idm.oclc.org/login?url=https://www.airitibooks.com/Detail/Detail?PublicationID=P20131016623</v>
      </c>
    </row>
    <row r="89" spans="1:11" ht="51" x14ac:dyDescent="0.4">
      <c r="A89" s="10" t="s">
        <v>885</v>
      </c>
      <c r="B89" s="10" t="s">
        <v>886</v>
      </c>
      <c r="C89" s="10" t="s">
        <v>848</v>
      </c>
      <c r="D89" s="10" t="s">
        <v>849</v>
      </c>
      <c r="E89" s="10" t="s">
        <v>887</v>
      </c>
      <c r="F89" s="10" t="s">
        <v>851</v>
      </c>
      <c r="G89" s="10" t="s">
        <v>502</v>
      </c>
      <c r="H89" s="7" t="s">
        <v>24</v>
      </c>
      <c r="I89" s="7" t="s">
        <v>25</v>
      </c>
      <c r="J89" s="13" t="str">
        <f>HYPERLINK("https://www.airitibooks.com/Detail/Detail?PublicationID=P20131016622", "https://www.airitibooks.com/Detail/Detail?PublicationID=P20131016622")</f>
        <v>https://www.airitibooks.com/Detail/Detail?PublicationID=P20131016622</v>
      </c>
      <c r="K89" s="13" t="str">
        <f>HYPERLINK("https://ntsu.idm.oclc.org/login?url=https://www.airitibooks.com/Detail/Detail?PublicationID=P20131016622", "https://ntsu.idm.oclc.org/login?url=https://www.airitibooks.com/Detail/Detail?PublicationID=P20131016622")</f>
        <v>https://ntsu.idm.oclc.org/login?url=https://www.airitibooks.com/Detail/Detail?PublicationID=P20131016622</v>
      </c>
    </row>
    <row r="90" spans="1:11" ht="51" x14ac:dyDescent="0.4">
      <c r="A90" s="10" t="s">
        <v>882</v>
      </c>
      <c r="B90" s="10" t="s">
        <v>883</v>
      </c>
      <c r="C90" s="10" t="s">
        <v>848</v>
      </c>
      <c r="D90" s="10" t="s">
        <v>849</v>
      </c>
      <c r="E90" s="10" t="s">
        <v>884</v>
      </c>
      <c r="F90" s="10" t="s">
        <v>851</v>
      </c>
      <c r="G90" s="10" t="s">
        <v>502</v>
      </c>
      <c r="H90" s="7" t="s">
        <v>24</v>
      </c>
      <c r="I90" s="7" t="s">
        <v>25</v>
      </c>
      <c r="J90" s="13" t="str">
        <f>HYPERLINK("https://www.airitibooks.com/Detail/Detail?PublicationID=P20131016621", "https://www.airitibooks.com/Detail/Detail?PublicationID=P20131016621")</f>
        <v>https://www.airitibooks.com/Detail/Detail?PublicationID=P20131016621</v>
      </c>
      <c r="K90" s="13" t="str">
        <f>HYPERLINK("https://ntsu.idm.oclc.org/login?url=https://www.airitibooks.com/Detail/Detail?PublicationID=P20131016621", "https://ntsu.idm.oclc.org/login?url=https://www.airitibooks.com/Detail/Detail?PublicationID=P20131016621")</f>
        <v>https://ntsu.idm.oclc.org/login?url=https://www.airitibooks.com/Detail/Detail?PublicationID=P20131016621</v>
      </c>
    </row>
    <row r="91" spans="1:11" ht="51" x14ac:dyDescent="0.4">
      <c r="A91" s="10" t="s">
        <v>6205</v>
      </c>
      <c r="B91" s="10" t="s">
        <v>6206</v>
      </c>
      <c r="C91" s="10" t="s">
        <v>848</v>
      </c>
      <c r="D91" s="10" t="s">
        <v>849</v>
      </c>
      <c r="E91" s="10" t="s">
        <v>6207</v>
      </c>
      <c r="F91" s="10" t="s">
        <v>851</v>
      </c>
      <c r="G91" s="10" t="s">
        <v>502</v>
      </c>
      <c r="H91" s="7" t="s">
        <v>24</v>
      </c>
      <c r="I91" s="7" t="s">
        <v>25</v>
      </c>
      <c r="J91" s="13" t="str">
        <f>HYPERLINK("https://www.airitibooks.com/Detail/Detail?PublicationID=P20170216006", "https://www.airitibooks.com/Detail/Detail?PublicationID=P20170216006")</f>
        <v>https://www.airitibooks.com/Detail/Detail?PublicationID=P20170216006</v>
      </c>
      <c r="K91" s="13" t="str">
        <f>HYPERLINK("https://ntsu.idm.oclc.org/login?url=https://www.airitibooks.com/Detail/Detail?PublicationID=P20170216006", "https://ntsu.idm.oclc.org/login?url=https://www.airitibooks.com/Detail/Detail?PublicationID=P20170216006")</f>
        <v>https://ntsu.idm.oclc.org/login?url=https://www.airitibooks.com/Detail/Detail?PublicationID=P20170216006</v>
      </c>
    </row>
    <row r="92" spans="1:11" ht="51" x14ac:dyDescent="0.4">
      <c r="A92" s="10" t="s">
        <v>879</v>
      </c>
      <c r="B92" s="10" t="s">
        <v>880</v>
      </c>
      <c r="C92" s="10" t="s">
        <v>848</v>
      </c>
      <c r="D92" s="10" t="s">
        <v>849</v>
      </c>
      <c r="E92" s="10" t="s">
        <v>881</v>
      </c>
      <c r="F92" s="10" t="s">
        <v>851</v>
      </c>
      <c r="G92" s="10" t="s">
        <v>502</v>
      </c>
      <c r="H92" s="7" t="s">
        <v>24</v>
      </c>
      <c r="I92" s="7" t="s">
        <v>25</v>
      </c>
      <c r="J92" s="13" t="str">
        <f>HYPERLINK("https://www.airitibooks.com/Detail/Detail?PublicationID=P20131016620", "https://www.airitibooks.com/Detail/Detail?PublicationID=P20131016620")</f>
        <v>https://www.airitibooks.com/Detail/Detail?PublicationID=P20131016620</v>
      </c>
      <c r="K92" s="13" t="str">
        <f>HYPERLINK("https://ntsu.idm.oclc.org/login?url=https://www.airitibooks.com/Detail/Detail?PublicationID=P20131016620", "https://ntsu.idm.oclc.org/login?url=https://www.airitibooks.com/Detail/Detail?PublicationID=P20131016620")</f>
        <v>https://ntsu.idm.oclc.org/login?url=https://www.airitibooks.com/Detail/Detail?PublicationID=P20131016620</v>
      </c>
    </row>
    <row r="93" spans="1:11" ht="51" x14ac:dyDescent="0.4">
      <c r="A93" s="10" t="s">
        <v>876</v>
      </c>
      <c r="B93" s="10" t="s">
        <v>877</v>
      </c>
      <c r="C93" s="10" t="s">
        <v>848</v>
      </c>
      <c r="D93" s="10" t="s">
        <v>849</v>
      </c>
      <c r="E93" s="10" t="s">
        <v>878</v>
      </c>
      <c r="F93" s="10" t="s">
        <v>851</v>
      </c>
      <c r="G93" s="10" t="s">
        <v>502</v>
      </c>
      <c r="H93" s="7" t="s">
        <v>24</v>
      </c>
      <c r="I93" s="7" t="s">
        <v>25</v>
      </c>
      <c r="J93" s="13" t="str">
        <f>HYPERLINK("https://www.airitibooks.com/Detail/Detail?PublicationID=P20131016619", "https://www.airitibooks.com/Detail/Detail?PublicationID=P20131016619")</f>
        <v>https://www.airitibooks.com/Detail/Detail?PublicationID=P20131016619</v>
      </c>
      <c r="K93" s="13" t="str">
        <f>HYPERLINK("https://ntsu.idm.oclc.org/login?url=https://www.airitibooks.com/Detail/Detail?PublicationID=P20131016619", "https://ntsu.idm.oclc.org/login?url=https://www.airitibooks.com/Detail/Detail?PublicationID=P20131016619")</f>
        <v>https://ntsu.idm.oclc.org/login?url=https://www.airitibooks.com/Detail/Detail?PublicationID=P20131016619</v>
      </c>
    </row>
    <row r="94" spans="1:11" ht="51" x14ac:dyDescent="0.4">
      <c r="A94" s="10" t="s">
        <v>6202</v>
      </c>
      <c r="B94" s="10" t="s">
        <v>6203</v>
      </c>
      <c r="C94" s="10" t="s">
        <v>848</v>
      </c>
      <c r="D94" s="10" t="s">
        <v>849</v>
      </c>
      <c r="E94" s="10" t="s">
        <v>6204</v>
      </c>
      <c r="F94" s="10" t="s">
        <v>851</v>
      </c>
      <c r="G94" s="10" t="s">
        <v>502</v>
      </c>
      <c r="H94" s="7" t="s">
        <v>24</v>
      </c>
      <c r="I94" s="7" t="s">
        <v>25</v>
      </c>
      <c r="J94" s="13" t="str">
        <f>HYPERLINK("https://www.airitibooks.com/Detail/Detail?PublicationID=P20170216005", "https://www.airitibooks.com/Detail/Detail?PublicationID=P20170216005")</f>
        <v>https://www.airitibooks.com/Detail/Detail?PublicationID=P20170216005</v>
      </c>
      <c r="K94" s="13" t="str">
        <f>HYPERLINK("https://ntsu.idm.oclc.org/login?url=https://www.airitibooks.com/Detail/Detail?PublicationID=P20170216005", "https://ntsu.idm.oclc.org/login?url=https://www.airitibooks.com/Detail/Detail?PublicationID=P20170216005")</f>
        <v>https://ntsu.idm.oclc.org/login?url=https://www.airitibooks.com/Detail/Detail?PublicationID=P20170216005</v>
      </c>
    </row>
    <row r="95" spans="1:11" ht="51" x14ac:dyDescent="0.4">
      <c r="A95" s="10" t="s">
        <v>873</v>
      </c>
      <c r="B95" s="10" t="s">
        <v>874</v>
      </c>
      <c r="C95" s="10" t="s">
        <v>848</v>
      </c>
      <c r="D95" s="10" t="s">
        <v>849</v>
      </c>
      <c r="E95" s="10" t="s">
        <v>875</v>
      </c>
      <c r="F95" s="10" t="s">
        <v>851</v>
      </c>
      <c r="G95" s="10" t="s">
        <v>502</v>
      </c>
      <c r="H95" s="7" t="s">
        <v>24</v>
      </c>
      <c r="I95" s="7" t="s">
        <v>25</v>
      </c>
      <c r="J95" s="13" t="str">
        <f>HYPERLINK("https://www.airitibooks.com/Detail/Detail?PublicationID=P20131016618", "https://www.airitibooks.com/Detail/Detail?PublicationID=P20131016618")</f>
        <v>https://www.airitibooks.com/Detail/Detail?PublicationID=P20131016618</v>
      </c>
      <c r="K95" s="13" t="str">
        <f>HYPERLINK("https://ntsu.idm.oclc.org/login?url=https://www.airitibooks.com/Detail/Detail?PublicationID=P20131016618", "https://ntsu.idm.oclc.org/login?url=https://www.airitibooks.com/Detail/Detail?PublicationID=P20131016618")</f>
        <v>https://ntsu.idm.oclc.org/login?url=https://www.airitibooks.com/Detail/Detail?PublicationID=P20131016618</v>
      </c>
    </row>
    <row r="96" spans="1:11" ht="51" x14ac:dyDescent="0.4">
      <c r="A96" s="10" t="s">
        <v>870</v>
      </c>
      <c r="B96" s="10" t="s">
        <v>871</v>
      </c>
      <c r="C96" s="10" t="s">
        <v>848</v>
      </c>
      <c r="D96" s="10" t="s">
        <v>849</v>
      </c>
      <c r="E96" s="10" t="s">
        <v>872</v>
      </c>
      <c r="F96" s="10" t="s">
        <v>851</v>
      </c>
      <c r="G96" s="10" t="s">
        <v>502</v>
      </c>
      <c r="H96" s="7" t="s">
        <v>24</v>
      </c>
      <c r="I96" s="7" t="s">
        <v>25</v>
      </c>
      <c r="J96" s="13" t="str">
        <f>HYPERLINK("https://www.airitibooks.com/Detail/Detail?PublicationID=P20131016617", "https://www.airitibooks.com/Detail/Detail?PublicationID=P20131016617")</f>
        <v>https://www.airitibooks.com/Detail/Detail?PublicationID=P20131016617</v>
      </c>
      <c r="K96" s="13" t="str">
        <f>HYPERLINK("https://ntsu.idm.oclc.org/login?url=https://www.airitibooks.com/Detail/Detail?PublicationID=P20131016617", "https://ntsu.idm.oclc.org/login?url=https://www.airitibooks.com/Detail/Detail?PublicationID=P20131016617")</f>
        <v>https://ntsu.idm.oclc.org/login?url=https://www.airitibooks.com/Detail/Detail?PublicationID=P20131016617</v>
      </c>
    </row>
    <row r="97" spans="1:11" ht="51" x14ac:dyDescent="0.4">
      <c r="A97" s="10" t="s">
        <v>6199</v>
      </c>
      <c r="B97" s="10" t="s">
        <v>6200</v>
      </c>
      <c r="C97" s="10" t="s">
        <v>848</v>
      </c>
      <c r="D97" s="10" t="s">
        <v>849</v>
      </c>
      <c r="E97" s="10" t="s">
        <v>6201</v>
      </c>
      <c r="F97" s="10" t="s">
        <v>851</v>
      </c>
      <c r="G97" s="10" t="s">
        <v>502</v>
      </c>
      <c r="H97" s="7" t="s">
        <v>24</v>
      </c>
      <c r="I97" s="7" t="s">
        <v>25</v>
      </c>
      <c r="J97" s="13" t="str">
        <f>HYPERLINK("https://www.airitibooks.com/Detail/Detail?PublicationID=P20170216004", "https://www.airitibooks.com/Detail/Detail?PublicationID=P20170216004")</f>
        <v>https://www.airitibooks.com/Detail/Detail?PublicationID=P20170216004</v>
      </c>
      <c r="K97" s="13" t="str">
        <f>HYPERLINK("https://ntsu.idm.oclc.org/login?url=https://www.airitibooks.com/Detail/Detail?PublicationID=P20170216004", "https://ntsu.idm.oclc.org/login?url=https://www.airitibooks.com/Detail/Detail?PublicationID=P20170216004")</f>
        <v>https://ntsu.idm.oclc.org/login?url=https://www.airitibooks.com/Detail/Detail?PublicationID=P20170216004</v>
      </c>
    </row>
    <row r="98" spans="1:11" ht="51" x14ac:dyDescent="0.4">
      <c r="A98" s="10" t="s">
        <v>867</v>
      </c>
      <c r="B98" s="10" t="s">
        <v>868</v>
      </c>
      <c r="C98" s="10" t="s">
        <v>848</v>
      </c>
      <c r="D98" s="10" t="s">
        <v>849</v>
      </c>
      <c r="E98" s="10" t="s">
        <v>869</v>
      </c>
      <c r="F98" s="10" t="s">
        <v>851</v>
      </c>
      <c r="G98" s="10" t="s">
        <v>502</v>
      </c>
      <c r="H98" s="7" t="s">
        <v>24</v>
      </c>
      <c r="I98" s="7" t="s">
        <v>25</v>
      </c>
      <c r="J98" s="13" t="str">
        <f>HYPERLINK("https://www.airitibooks.com/Detail/Detail?PublicationID=P20131016616", "https://www.airitibooks.com/Detail/Detail?PublicationID=P20131016616")</f>
        <v>https://www.airitibooks.com/Detail/Detail?PublicationID=P20131016616</v>
      </c>
      <c r="K98" s="13" t="str">
        <f>HYPERLINK("https://ntsu.idm.oclc.org/login?url=https://www.airitibooks.com/Detail/Detail?PublicationID=P20131016616", "https://ntsu.idm.oclc.org/login?url=https://www.airitibooks.com/Detail/Detail?PublicationID=P20131016616")</f>
        <v>https://ntsu.idm.oclc.org/login?url=https://www.airitibooks.com/Detail/Detail?PublicationID=P20131016616</v>
      </c>
    </row>
    <row r="99" spans="1:11" ht="51" x14ac:dyDescent="0.4">
      <c r="A99" s="10" t="s">
        <v>6214</v>
      </c>
      <c r="B99" s="10" t="s">
        <v>6215</v>
      </c>
      <c r="C99" s="10" t="s">
        <v>848</v>
      </c>
      <c r="D99" s="10" t="s">
        <v>849</v>
      </c>
      <c r="E99" s="10" t="s">
        <v>6216</v>
      </c>
      <c r="F99" s="10" t="s">
        <v>851</v>
      </c>
      <c r="G99" s="10" t="s">
        <v>502</v>
      </c>
      <c r="H99" s="7" t="s">
        <v>24</v>
      </c>
      <c r="I99" s="7" t="s">
        <v>25</v>
      </c>
      <c r="J99" s="13" t="str">
        <f>HYPERLINK("https://www.airitibooks.com/Detail/Detail?PublicationID=P20170216012", "https://www.airitibooks.com/Detail/Detail?PublicationID=P20170216012")</f>
        <v>https://www.airitibooks.com/Detail/Detail?PublicationID=P20170216012</v>
      </c>
      <c r="K99" s="13" t="str">
        <f>HYPERLINK("https://ntsu.idm.oclc.org/login?url=https://www.airitibooks.com/Detail/Detail?PublicationID=P20170216012", "https://ntsu.idm.oclc.org/login?url=https://www.airitibooks.com/Detail/Detail?PublicationID=P20170216012")</f>
        <v>https://ntsu.idm.oclc.org/login?url=https://www.airitibooks.com/Detail/Detail?PublicationID=P20170216012</v>
      </c>
    </row>
    <row r="100" spans="1:11" ht="51" x14ac:dyDescent="0.4">
      <c r="A100" s="10" t="s">
        <v>864</v>
      </c>
      <c r="B100" s="10" t="s">
        <v>865</v>
      </c>
      <c r="C100" s="10" t="s">
        <v>848</v>
      </c>
      <c r="D100" s="10" t="s">
        <v>849</v>
      </c>
      <c r="E100" s="10" t="s">
        <v>866</v>
      </c>
      <c r="F100" s="10" t="s">
        <v>851</v>
      </c>
      <c r="G100" s="10" t="s">
        <v>502</v>
      </c>
      <c r="H100" s="7" t="s">
        <v>24</v>
      </c>
      <c r="I100" s="7" t="s">
        <v>25</v>
      </c>
      <c r="J100" s="13" t="str">
        <f>HYPERLINK("https://www.airitibooks.com/Detail/Detail?PublicationID=P20131016615", "https://www.airitibooks.com/Detail/Detail?PublicationID=P20131016615")</f>
        <v>https://www.airitibooks.com/Detail/Detail?PublicationID=P20131016615</v>
      </c>
      <c r="K100" s="13" t="str">
        <f>HYPERLINK("https://ntsu.idm.oclc.org/login?url=https://www.airitibooks.com/Detail/Detail?PublicationID=P20131016615", "https://ntsu.idm.oclc.org/login?url=https://www.airitibooks.com/Detail/Detail?PublicationID=P20131016615")</f>
        <v>https://ntsu.idm.oclc.org/login?url=https://www.airitibooks.com/Detail/Detail?PublicationID=P20131016615</v>
      </c>
    </row>
    <row r="101" spans="1:11" ht="51" x14ac:dyDescent="0.4">
      <c r="A101" s="10" t="s">
        <v>6196</v>
      </c>
      <c r="B101" s="10" t="s">
        <v>6197</v>
      </c>
      <c r="C101" s="10" t="s">
        <v>848</v>
      </c>
      <c r="D101" s="10" t="s">
        <v>849</v>
      </c>
      <c r="E101" s="10" t="s">
        <v>6198</v>
      </c>
      <c r="F101" s="10" t="s">
        <v>851</v>
      </c>
      <c r="G101" s="10" t="s">
        <v>502</v>
      </c>
      <c r="H101" s="7" t="s">
        <v>24</v>
      </c>
      <c r="I101" s="7" t="s">
        <v>25</v>
      </c>
      <c r="J101" s="13" t="str">
        <f>HYPERLINK("https://www.airitibooks.com/Detail/Detail?PublicationID=P20170216003", "https://www.airitibooks.com/Detail/Detail?PublicationID=P20170216003")</f>
        <v>https://www.airitibooks.com/Detail/Detail?PublicationID=P20170216003</v>
      </c>
      <c r="K101" s="13" t="str">
        <f>HYPERLINK("https://ntsu.idm.oclc.org/login?url=https://www.airitibooks.com/Detail/Detail?PublicationID=P20170216003", "https://ntsu.idm.oclc.org/login?url=https://www.airitibooks.com/Detail/Detail?PublicationID=P20170216003")</f>
        <v>https://ntsu.idm.oclc.org/login?url=https://www.airitibooks.com/Detail/Detail?PublicationID=P20170216003</v>
      </c>
    </row>
    <row r="102" spans="1:11" ht="51" x14ac:dyDescent="0.4">
      <c r="A102" s="10" t="s">
        <v>861</v>
      </c>
      <c r="B102" s="10" t="s">
        <v>862</v>
      </c>
      <c r="C102" s="10" t="s">
        <v>848</v>
      </c>
      <c r="D102" s="10" t="s">
        <v>849</v>
      </c>
      <c r="E102" s="10" t="s">
        <v>863</v>
      </c>
      <c r="F102" s="10" t="s">
        <v>851</v>
      </c>
      <c r="G102" s="10" t="s">
        <v>502</v>
      </c>
      <c r="H102" s="7" t="s">
        <v>24</v>
      </c>
      <c r="I102" s="7" t="s">
        <v>25</v>
      </c>
      <c r="J102" s="13" t="str">
        <f>HYPERLINK("https://www.airitibooks.com/Detail/Detail?PublicationID=P20131016614", "https://www.airitibooks.com/Detail/Detail?PublicationID=P20131016614")</f>
        <v>https://www.airitibooks.com/Detail/Detail?PublicationID=P20131016614</v>
      </c>
      <c r="K102" s="13" t="str">
        <f>HYPERLINK("https://ntsu.idm.oclc.org/login?url=https://www.airitibooks.com/Detail/Detail?PublicationID=P20131016614", "https://ntsu.idm.oclc.org/login?url=https://www.airitibooks.com/Detail/Detail?PublicationID=P20131016614")</f>
        <v>https://ntsu.idm.oclc.org/login?url=https://www.airitibooks.com/Detail/Detail?PublicationID=P20131016614</v>
      </c>
    </row>
    <row r="103" spans="1:11" ht="51" x14ac:dyDescent="0.4">
      <c r="A103" s="10" t="s">
        <v>858</v>
      </c>
      <c r="B103" s="10" t="s">
        <v>859</v>
      </c>
      <c r="C103" s="10" t="s">
        <v>848</v>
      </c>
      <c r="D103" s="10" t="s">
        <v>849</v>
      </c>
      <c r="E103" s="10" t="s">
        <v>860</v>
      </c>
      <c r="F103" s="10" t="s">
        <v>851</v>
      </c>
      <c r="G103" s="10" t="s">
        <v>502</v>
      </c>
      <c r="H103" s="7" t="s">
        <v>24</v>
      </c>
      <c r="I103" s="7" t="s">
        <v>25</v>
      </c>
      <c r="J103" s="13" t="str">
        <f>HYPERLINK("https://www.airitibooks.com/Detail/Detail?PublicationID=P20131016613", "https://www.airitibooks.com/Detail/Detail?PublicationID=P20131016613")</f>
        <v>https://www.airitibooks.com/Detail/Detail?PublicationID=P20131016613</v>
      </c>
      <c r="K103" s="13" t="str">
        <f>HYPERLINK("https://ntsu.idm.oclc.org/login?url=https://www.airitibooks.com/Detail/Detail?PublicationID=P20131016613", "https://ntsu.idm.oclc.org/login?url=https://www.airitibooks.com/Detail/Detail?PublicationID=P20131016613")</f>
        <v>https://ntsu.idm.oclc.org/login?url=https://www.airitibooks.com/Detail/Detail?PublicationID=P20131016613</v>
      </c>
    </row>
    <row r="104" spans="1:11" ht="51" x14ac:dyDescent="0.4">
      <c r="A104" s="10" t="s">
        <v>2803</v>
      </c>
      <c r="B104" s="10" t="s">
        <v>2804</v>
      </c>
      <c r="C104" s="10" t="s">
        <v>2805</v>
      </c>
      <c r="D104" s="10" t="s">
        <v>2806</v>
      </c>
      <c r="E104" s="10" t="s">
        <v>2807</v>
      </c>
      <c r="F104" s="10" t="s">
        <v>2808</v>
      </c>
      <c r="G104" s="10" t="s">
        <v>32</v>
      </c>
      <c r="H104" s="7" t="s">
        <v>24</v>
      </c>
      <c r="I104" s="7" t="s">
        <v>25</v>
      </c>
      <c r="J104" s="13" t="str">
        <f>HYPERLINK("https://www.airitibooks.com/Detail/Detail?PublicationID=P20150625026", "https://www.airitibooks.com/Detail/Detail?PublicationID=P20150625026")</f>
        <v>https://www.airitibooks.com/Detail/Detail?PublicationID=P20150625026</v>
      </c>
      <c r="K104" s="13" t="str">
        <f>HYPERLINK("https://ntsu.idm.oclc.org/login?url=https://www.airitibooks.com/Detail/Detail?PublicationID=P20150625026", "https://ntsu.idm.oclc.org/login?url=https://www.airitibooks.com/Detail/Detail?PublicationID=P20150625026")</f>
        <v>https://ntsu.idm.oclc.org/login?url=https://www.airitibooks.com/Detail/Detail?PublicationID=P20150625026</v>
      </c>
    </row>
    <row r="105" spans="1:11" ht="51" x14ac:dyDescent="0.4">
      <c r="A105" s="10" t="s">
        <v>855</v>
      </c>
      <c r="B105" s="10" t="s">
        <v>856</v>
      </c>
      <c r="C105" s="10" t="s">
        <v>848</v>
      </c>
      <c r="D105" s="10" t="s">
        <v>849</v>
      </c>
      <c r="E105" s="10" t="s">
        <v>857</v>
      </c>
      <c r="F105" s="10" t="s">
        <v>851</v>
      </c>
      <c r="G105" s="10" t="s">
        <v>502</v>
      </c>
      <c r="H105" s="7" t="s">
        <v>24</v>
      </c>
      <c r="I105" s="7" t="s">
        <v>25</v>
      </c>
      <c r="J105" s="13" t="str">
        <f>HYPERLINK("https://www.airitibooks.com/Detail/Detail?PublicationID=P20131016612", "https://www.airitibooks.com/Detail/Detail?PublicationID=P20131016612")</f>
        <v>https://www.airitibooks.com/Detail/Detail?PublicationID=P20131016612</v>
      </c>
      <c r="K105" s="13" t="str">
        <f>HYPERLINK("https://ntsu.idm.oclc.org/login?url=https://www.airitibooks.com/Detail/Detail?PublicationID=P20131016612", "https://ntsu.idm.oclc.org/login?url=https://www.airitibooks.com/Detail/Detail?PublicationID=P20131016612")</f>
        <v>https://ntsu.idm.oclc.org/login?url=https://www.airitibooks.com/Detail/Detail?PublicationID=P20131016612</v>
      </c>
    </row>
    <row r="106" spans="1:11" ht="51" x14ac:dyDescent="0.4">
      <c r="A106" s="10" t="s">
        <v>852</v>
      </c>
      <c r="B106" s="10" t="s">
        <v>853</v>
      </c>
      <c r="C106" s="10" t="s">
        <v>848</v>
      </c>
      <c r="D106" s="10" t="s">
        <v>849</v>
      </c>
      <c r="E106" s="10" t="s">
        <v>854</v>
      </c>
      <c r="F106" s="10" t="s">
        <v>851</v>
      </c>
      <c r="G106" s="10" t="s">
        <v>502</v>
      </c>
      <c r="H106" s="7" t="s">
        <v>24</v>
      </c>
      <c r="I106" s="7" t="s">
        <v>25</v>
      </c>
      <c r="J106" s="13" t="str">
        <f>HYPERLINK("https://www.airitibooks.com/Detail/Detail?PublicationID=P20131016611", "https://www.airitibooks.com/Detail/Detail?PublicationID=P20131016611")</f>
        <v>https://www.airitibooks.com/Detail/Detail?PublicationID=P20131016611</v>
      </c>
      <c r="K106" s="13" t="str">
        <f>HYPERLINK("https://ntsu.idm.oclc.org/login?url=https://www.airitibooks.com/Detail/Detail?PublicationID=P20131016611", "https://ntsu.idm.oclc.org/login?url=https://www.airitibooks.com/Detail/Detail?PublicationID=P20131016611")</f>
        <v>https://ntsu.idm.oclc.org/login?url=https://www.airitibooks.com/Detail/Detail?PublicationID=P20131016611</v>
      </c>
    </row>
    <row r="107" spans="1:11" ht="51" x14ac:dyDescent="0.4">
      <c r="A107" s="10" t="s">
        <v>846</v>
      </c>
      <c r="B107" s="10" t="s">
        <v>847</v>
      </c>
      <c r="C107" s="10" t="s">
        <v>848</v>
      </c>
      <c r="D107" s="10" t="s">
        <v>849</v>
      </c>
      <c r="E107" s="10" t="s">
        <v>850</v>
      </c>
      <c r="F107" s="10" t="s">
        <v>851</v>
      </c>
      <c r="G107" s="10" t="s">
        <v>502</v>
      </c>
      <c r="H107" s="7" t="s">
        <v>24</v>
      </c>
      <c r="I107" s="7" t="s">
        <v>25</v>
      </c>
      <c r="J107" s="13" t="str">
        <f>HYPERLINK("https://www.airitibooks.com/Detail/Detail?PublicationID=P20131016610", "https://www.airitibooks.com/Detail/Detail?PublicationID=P20131016610")</f>
        <v>https://www.airitibooks.com/Detail/Detail?PublicationID=P20131016610</v>
      </c>
      <c r="K107" s="13" t="str">
        <f>HYPERLINK("https://ntsu.idm.oclc.org/login?url=https://www.airitibooks.com/Detail/Detail?PublicationID=P20131016610", "https://ntsu.idm.oclc.org/login?url=https://www.airitibooks.com/Detail/Detail?PublicationID=P20131016610")</f>
        <v>https://ntsu.idm.oclc.org/login?url=https://www.airitibooks.com/Detail/Detail?PublicationID=P20131016610</v>
      </c>
    </row>
    <row r="108" spans="1:11" ht="51" x14ac:dyDescent="0.4">
      <c r="A108" s="10" t="s">
        <v>15499</v>
      </c>
      <c r="B108" s="10" t="s">
        <v>15500</v>
      </c>
      <c r="C108" s="10" t="s">
        <v>544</v>
      </c>
      <c r="D108" s="10" t="s">
        <v>11724</v>
      </c>
      <c r="E108" s="10" t="s">
        <v>4319</v>
      </c>
      <c r="F108" s="10" t="s">
        <v>1683</v>
      </c>
      <c r="G108" s="10" t="s">
        <v>237</v>
      </c>
      <c r="H108" s="7" t="s">
        <v>24</v>
      </c>
      <c r="I108" s="7" t="s">
        <v>25</v>
      </c>
      <c r="J108" s="13" t="str">
        <f>HYPERLINK("https://www.airitibooks.com/Detail/Detail?PublicationID=P20210514207", "https://www.airitibooks.com/Detail/Detail?PublicationID=P20210514207")</f>
        <v>https://www.airitibooks.com/Detail/Detail?PublicationID=P20210514207</v>
      </c>
      <c r="K108" s="13" t="str">
        <f>HYPERLINK("https://ntsu.idm.oclc.org/login?url=https://www.airitibooks.com/Detail/Detail?PublicationID=P20210514207", "https://ntsu.idm.oclc.org/login?url=https://www.airitibooks.com/Detail/Detail?PublicationID=P20210514207")</f>
        <v>https://ntsu.idm.oclc.org/login?url=https://www.airitibooks.com/Detail/Detail?PublicationID=P20210514207</v>
      </c>
    </row>
    <row r="109" spans="1:11" ht="51" x14ac:dyDescent="0.4">
      <c r="A109" s="10" t="s">
        <v>15212</v>
      </c>
      <c r="B109" s="10" t="s">
        <v>15213</v>
      </c>
      <c r="C109" s="10" t="s">
        <v>15214</v>
      </c>
      <c r="D109" s="10" t="s">
        <v>15215</v>
      </c>
      <c r="E109" s="10" t="s">
        <v>4319</v>
      </c>
      <c r="F109" s="10" t="s">
        <v>15216</v>
      </c>
      <c r="G109" s="10" t="s">
        <v>209</v>
      </c>
      <c r="H109" s="7" t="s">
        <v>7839</v>
      </c>
      <c r="I109" s="7" t="s">
        <v>25</v>
      </c>
      <c r="J109" s="13" t="str">
        <f>HYPERLINK("https://www.airitibooks.com/Detail/Detail?PublicationID=P20210205087", "https://www.airitibooks.com/Detail/Detail?PublicationID=P20210205087")</f>
        <v>https://www.airitibooks.com/Detail/Detail?PublicationID=P20210205087</v>
      </c>
      <c r="K109" s="13" t="str">
        <f>HYPERLINK("https://ntsu.idm.oclc.org/login?url=https://www.airitibooks.com/Detail/Detail?PublicationID=P20210205087", "https://ntsu.idm.oclc.org/login?url=https://www.airitibooks.com/Detail/Detail?PublicationID=P20210205087")</f>
        <v>https://ntsu.idm.oclc.org/login?url=https://www.airitibooks.com/Detail/Detail?PublicationID=P20210205087</v>
      </c>
    </row>
    <row r="110" spans="1:11" ht="51" x14ac:dyDescent="0.4">
      <c r="A110" s="10" t="s">
        <v>15320</v>
      </c>
      <c r="B110" s="10" t="s">
        <v>15321</v>
      </c>
      <c r="C110" s="10" t="s">
        <v>938</v>
      </c>
      <c r="D110" s="10" t="s">
        <v>8908</v>
      </c>
      <c r="E110" s="10" t="s">
        <v>4319</v>
      </c>
      <c r="F110" s="10" t="s">
        <v>8909</v>
      </c>
      <c r="G110" s="10" t="s">
        <v>76</v>
      </c>
      <c r="H110" s="7" t="s">
        <v>24</v>
      </c>
      <c r="I110" s="7" t="s">
        <v>25</v>
      </c>
      <c r="J110" s="13" t="str">
        <f>HYPERLINK("https://www.airitibooks.com/Detail/Detail?PublicationID=P20210326026", "https://www.airitibooks.com/Detail/Detail?PublicationID=P20210326026")</f>
        <v>https://www.airitibooks.com/Detail/Detail?PublicationID=P20210326026</v>
      </c>
      <c r="K110" s="13" t="str">
        <f>HYPERLINK("https://ntsu.idm.oclc.org/login?url=https://www.airitibooks.com/Detail/Detail?PublicationID=P20210326026", "https://ntsu.idm.oclc.org/login?url=https://www.airitibooks.com/Detail/Detail?PublicationID=P20210326026")</f>
        <v>https://ntsu.idm.oclc.org/login?url=https://www.airitibooks.com/Detail/Detail?PublicationID=P20210326026</v>
      </c>
    </row>
    <row r="111" spans="1:11" ht="51" x14ac:dyDescent="0.4">
      <c r="A111" s="10" t="s">
        <v>15323</v>
      </c>
      <c r="B111" s="10" t="s">
        <v>15324</v>
      </c>
      <c r="C111" s="10" t="s">
        <v>938</v>
      </c>
      <c r="D111" s="10" t="s">
        <v>15325</v>
      </c>
      <c r="E111" s="10" t="s">
        <v>4319</v>
      </c>
      <c r="F111" s="10" t="s">
        <v>2871</v>
      </c>
      <c r="G111" s="10" t="s">
        <v>76</v>
      </c>
      <c r="H111" s="7" t="s">
        <v>24</v>
      </c>
      <c r="I111" s="7" t="s">
        <v>25</v>
      </c>
      <c r="J111" s="13" t="str">
        <f>HYPERLINK("https://www.airitibooks.com/Detail/Detail?PublicationID=P20210326030", "https://www.airitibooks.com/Detail/Detail?PublicationID=P20210326030")</f>
        <v>https://www.airitibooks.com/Detail/Detail?PublicationID=P20210326030</v>
      </c>
      <c r="K111" s="13" t="str">
        <f>HYPERLINK("https://ntsu.idm.oclc.org/login?url=https://www.airitibooks.com/Detail/Detail?PublicationID=P20210326030", "https://ntsu.idm.oclc.org/login?url=https://www.airitibooks.com/Detail/Detail?PublicationID=P20210326030")</f>
        <v>https://ntsu.idm.oclc.org/login?url=https://www.airitibooks.com/Detail/Detail?PublicationID=P20210326030</v>
      </c>
    </row>
    <row r="112" spans="1:11" ht="85" x14ac:dyDescent="0.4">
      <c r="A112" s="10" t="s">
        <v>15532</v>
      </c>
      <c r="B112" s="10" t="s">
        <v>15533</v>
      </c>
      <c r="C112" s="10" t="s">
        <v>791</v>
      </c>
      <c r="D112" s="10" t="s">
        <v>3197</v>
      </c>
      <c r="E112" s="10" t="s">
        <v>4319</v>
      </c>
      <c r="F112" s="10" t="s">
        <v>1078</v>
      </c>
      <c r="G112" s="10" t="s">
        <v>76</v>
      </c>
      <c r="H112" s="7" t="s">
        <v>24</v>
      </c>
      <c r="I112" s="7" t="s">
        <v>25</v>
      </c>
      <c r="J112" s="13" t="str">
        <f>HYPERLINK("https://www.airitibooks.com/Detail/Detail?PublicationID=P20210705009", "https://www.airitibooks.com/Detail/Detail?PublicationID=P20210705009")</f>
        <v>https://www.airitibooks.com/Detail/Detail?PublicationID=P20210705009</v>
      </c>
      <c r="K112" s="13" t="str">
        <f>HYPERLINK("https://ntsu.idm.oclc.org/login?url=https://www.airitibooks.com/Detail/Detail?PublicationID=P20210705009", "https://ntsu.idm.oclc.org/login?url=https://www.airitibooks.com/Detail/Detail?PublicationID=P20210705009")</f>
        <v>https://ntsu.idm.oclc.org/login?url=https://www.airitibooks.com/Detail/Detail?PublicationID=P20210705009</v>
      </c>
    </row>
    <row r="113" spans="1:11" ht="51" x14ac:dyDescent="0.4">
      <c r="A113" s="10" t="s">
        <v>13807</v>
      </c>
      <c r="B113" s="10" t="s">
        <v>15589</v>
      </c>
      <c r="C113" s="10" t="s">
        <v>1034</v>
      </c>
      <c r="D113" s="10" t="s">
        <v>4912</v>
      </c>
      <c r="E113" s="10" t="s">
        <v>4319</v>
      </c>
      <c r="F113" s="10" t="s">
        <v>104</v>
      </c>
      <c r="G113" s="10" t="s">
        <v>76</v>
      </c>
      <c r="H113" s="7" t="s">
        <v>24</v>
      </c>
      <c r="I113" s="7" t="s">
        <v>25</v>
      </c>
      <c r="J113" s="13" t="str">
        <f>HYPERLINK("https://www.airitibooks.com/Detail/Detail?PublicationID=P20210906050", "https://www.airitibooks.com/Detail/Detail?PublicationID=P20210906050")</f>
        <v>https://www.airitibooks.com/Detail/Detail?PublicationID=P20210906050</v>
      </c>
      <c r="K113" s="13" t="str">
        <f>HYPERLINK("https://ntsu.idm.oclc.org/login?url=https://www.airitibooks.com/Detail/Detail?PublicationID=P20210906050", "https://ntsu.idm.oclc.org/login?url=https://www.airitibooks.com/Detail/Detail?PublicationID=P20210906050")</f>
        <v>https://ntsu.idm.oclc.org/login?url=https://www.airitibooks.com/Detail/Detail?PublicationID=P20210906050</v>
      </c>
    </row>
    <row r="114" spans="1:11" ht="51" x14ac:dyDescent="0.4">
      <c r="A114" s="10" t="s">
        <v>13813</v>
      </c>
      <c r="B114" s="10" t="s">
        <v>15600</v>
      </c>
      <c r="C114" s="10" t="s">
        <v>1034</v>
      </c>
      <c r="D114" s="10" t="s">
        <v>4912</v>
      </c>
      <c r="E114" s="10" t="s">
        <v>4319</v>
      </c>
      <c r="F114" s="10" t="s">
        <v>2871</v>
      </c>
      <c r="G114" s="10" t="s">
        <v>76</v>
      </c>
      <c r="H114" s="7" t="s">
        <v>24</v>
      </c>
      <c r="I114" s="7" t="s">
        <v>25</v>
      </c>
      <c r="J114" s="13" t="str">
        <f>HYPERLINK("https://www.airitibooks.com/Detail/Detail?PublicationID=P20210913223", "https://www.airitibooks.com/Detail/Detail?PublicationID=P20210913223")</f>
        <v>https://www.airitibooks.com/Detail/Detail?PublicationID=P20210913223</v>
      </c>
      <c r="K114" s="13" t="str">
        <f>HYPERLINK("https://ntsu.idm.oclc.org/login?url=https://www.airitibooks.com/Detail/Detail?PublicationID=P20210913223", "https://ntsu.idm.oclc.org/login?url=https://www.airitibooks.com/Detail/Detail?PublicationID=P20210913223")</f>
        <v>https://ntsu.idm.oclc.org/login?url=https://www.airitibooks.com/Detail/Detail?PublicationID=P20210913223</v>
      </c>
    </row>
    <row r="115" spans="1:11" ht="51" x14ac:dyDescent="0.4">
      <c r="A115" s="10" t="s">
        <v>14533</v>
      </c>
      <c r="B115" s="10" t="s">
        <v>15599</v>
      </c>
      <c r="C115" s="10" t="s">
        <v>1034</v>
      </c>
      <c r="D115" s="10" t="s">
        <v>14535</v>
      </c>
      <c r="E115" s="10" t="s">
        <v>4319</v>
      </c>
      <c r="F115" s="10" t="s">
        <v>1462</v>
      </c>
      <c r="G115" s="10" t="s">
        <v>55</v>
      </c>
      <c r="H115" s="7" t="s">
        <v>24</v>
      </c>
      <c r="I115" s="7" t="s">
        <v>25</v>
      </c>
      <c r="J115" s="13" t="str">
        <f>HYPERLINK("https://www.airitibooks.com/Detail/Detail?PublicationID=P20210913221", "https://www.airitibooks.com/Detail/Detail?PublicationID=P20210913221")</f>
        <v>https://www.airitibooks.com/Detail/Detail?PublicationID=P20210913221</v>
      </c>
      <c r="K115" s="13" t="str">
        <f>HYPERLINK("https://ntsu.idm.oclc.org/login?url=https://www.airitibooks.com/Detail/Detail?PublicationID=P20210913221", "https://ntsu.idm.oclc.org/login?url=https://www.airitibooks.com/Detail/Detail?PublicationID=P20210913221")</f>
        <v>https://ntsu.idm.oclc.org/login?url=https://www.airitibooks.com/Detail/Detail?PublicationID=P20210913221</v>
      </c>
    </row>
    <row r="116" spans="1:11" ht="51" x14ac:dyDescent="0.4">
      <c r="A116" s="10" t="s">
        <v>15316</v>
      </c>
      <c r="B116" s="10" t="s">
        <v>15317</v>
      </c>
      <c r="C116" s="10" t="s">
        <v>6289</v>
      </c>
      <c r="D116" s="10" t="s">
        <v>15318</v>
      </c>
      <c r="E116" s="10" t="s">
        <v>4319</v>
      </c>
      <c r="F116" s="10" t="s">
        <v>1100</v>
      </c>
      <c r="G116" s="10" t="s">
        <v>87</v>
      </c>
      <c r="H116" s="7" t="s">
        <v>24</v>
      </c>
      <c r="I116" s="7" t="s">
        <v>25</v>
      </c>
      <c r="J116" s="13" t="str">
        <f>HYPERLINK("https://www.airitibooks.com/Detail/Detail?PublicationID=P20210319002", "https://www.airitibooks.com/Detail/Detail?PublicationID=P20210319002")</f>
        <v>https://www.airitibooks.com/Detail/Detail?PublicationID=P20210319002</v>
      </c>
      <c r="K116" s="13" t="str">
        <f>HYPERLINK("https://ntsu.idm.oclc.org/login?url=https://www.airitibooks.com/Detail/Detail?PublicationID=P20210319002", "https://ntsu.idm.oclc.org/login?url=https://www.airitibooks.com/Detail/Detail?PublicationID=P20210319002")</f>
        <v>https://ntsu.idm.oclc.org/login?url=https://www.airitibooks.com/Detail/Detail?PublicationID=P20210319002</v>
      </c>
    </row>
    <row r="117" spans="1:11" ht="51" x14ac:dyDescent="0.4">
      <c r="A117" s="10" t="s">
        <v>15529</v>
      </c>
      <c r="B117" s="10" t="s">
        <v>15530</v>
      </c>
      <c r="C117" s="10" t="s">
        <v>11995</v>
      </c>
      <c r="D117" s="10" t="s">
        <v>15531</v>
      </c>
      <c r="E117" s="10" t="s">
        <v>4319</v>
      </c>
      <c r="F117" s="10" t="s">
        <v>138</v>
      </c>
      <c r="G117" s="10" t="s">
        <v>87</v>
      </c>
      <c r="H117" s="7" t="s">
        <v>24</v>
      </c>
      <c r="I117" s="7" t="s">
        <v>25</v>
      </c>
      <c r="J117" s="13" t="str">
        <f>HYPERLINK("https://www.airitibooks.com/Detail/Detail?PublicationID=P20210621133", "https://www.airitibooks.com/Detail/Detail?PublicationID=P20210621133")</f>
        <v>https://www.airitibooks.com/Detail/Detail?PublicationID=P20210621133</v>
      </c>
      <c r="K117" s="13" t="str">
        <f>HYPERLINK("https://ntsu.idm.oclc.org/login?url=https://www.airitibooks.com/Detail/Detail?PublicationID=P20210621133", "https://ntsu.idm.oclc.org/login?url=https://www.airitibooks.com/Detail/Detail?PublicationID=P20210621133")</f>
        <v>https://ntsu.idm.oclc.org/login?url=https://www.airitibooks.com/Detail/Detail?PublicationID=P20210621133</v>
      </c>
    </row>
    <row r="118" spans="1:11" ht="51" x14ac:dyDescent="0.4">
      <c r="A118" s="10" t="s">
        <v>1467</v>
      </c>
      <c r="B118" s="10" t="s">
        <v>15590</v>
      </c>
      <c r="C118" s="10" t="s">
        <v>1034</v>
      </c>
      <c r="D118" s="10" t="s">
        <v>10432</v>
      </c>
      <c r="E118" s="10" t="s">
        <v>4319</v>
      </c>
      <c r="F118" s="10" t="s">
        <v>1646</v>
      </c>
      <c r="G118" s="10" t="s">
        <v>23</v>
      </c>
      <c r="H118" s="7" t="s">
        <v>24</v>
      </c>
      <c r="I118" s="7" t="s">
        <v>25</v>
      </c>
      <c r="J118" s="13" t="str">
        <f>HYPERLINK("https://www.airitibooks.com/Detail/Detail?PublicationID=P20210906057", "https://www.airitibooks.com/Detail/Detail?PublicationID=P20210906057")</f>
        <v>https://www.airitibooks.com/Detail/Detail?PublicationID=P20210906057</v>
      </c>
      <c r="K118" s="13" t="str">
        <f>HYPERLINK("https://ntsu.idm.oclc.org/login?url=https://www.airitibooks.com/Detail/Detail?PublicationID=P20210906057", "https://ntsu.idm.oclc.org/login?url=https://www.airitibooks.com/Detail/Detail?PublicationID=P20210906057")</f>
        <v>https://ntsu.idm.oclc.org/login?url=https://www.airitibooks.com/Detail/Detail?PublicationID=P20210906057</v>
      </c>
    </row>
    <row r="119" spans="1:11" ht="102" x14ac:dyDescent="0.4">
      <c r="A119" s="10" t="s">
        <v>15186</v>
      </c>
      <c r="B119" s="10" t="s">
        <v>15187</v>
      </c>
      <c r="C119" s="10" t="s">
        <v>12154</v>
      </c>
      <c r="D119" s="10" t="s">
        <v>15188</v>
      </c>
      <c r="E119" s="10" t="s">
        <v>4319</v>
      </c>
      <c r="F119" s="10" t="s">
        <v>274</v>
      </c>
      <c r="G119" s="10" t="s">
        <v>32</v>
      </c>
      <c r="H119" s="7" t="s">
        <v>24</v>
      </c>
      <c r="I119" s="7" t="s">
        <v>25</v>
      </c>
      <c r="J119" s="13" t="str">
        <f>HYPERLINK("https://www.airitibooks.com/Detail/Detail?PublicationID=P20210111073", "https://www.airitibooks.com/Detail/Detail?PublicationID=P20210111073")</f>
        <v>https://www.airitibooks.com/Detail/Detail?PublicationID=P20210111073</v>
      </c>
      <c r="K119" s="13" t="str">
        <f>HYPERLINK("https://ntsu.idm.oclc.org/login?url=https://www.airitibooks.com/Detail/Detail?PublicationID=P20210111073", "https://ntsu.idm.oclc.org/login?url=https://www.airitibooks.com/Detail/Detail?PublicationID=P20210111073")</f>
        <v>https://ntsu.idm.oclc.org/login?url=https://www.airitibooks.com/Detail/Detail?PublicationID=P20210111073</v>
      </c>
    </row>
    <row r="120" spans="1:11" ht="51" x14ac:dyDescent="0.4">
      <c r="A120" s="10" t="s">
        <v>15193</v>
      </c>
      <c r="B120" s="10" t="s">
        <v>15194</v>
      </c>
      <c r="C120" s="10" t="s">
        <v>9915</v>
      </c>
      <c r="D120" s="10" t="s">
        <v>15195</v>
      </c>
      <c r="E120" s="10" t="s">
        <v>4319</v>
      </c>
      <c r="F120" s="10" t="s">
        <v>13300</v>
      </c>
      <c r="G120" s="10" t="s">
        <v>32</v>
      </c>
      <c r="H120" s="7" t="s">
        <v>24</v>
      </c>
      <c r="I120" s="7" t="s">
        <v>25</v>
      </c>
      <c r="J120" s="13" t="str">
        <f>HYPERLINK("https://www.airitibooks.com/Detail/Detail?PublicationID=P20210115026", "https://www.airitibooks.com/Detail/Detail?PublicationID=P20210115026")</f>
        <v>https://www.airitibooks.com/Detail/Detail?PublicationID=P20210115026</v>
      </c>
      <c r="K120" s="13" t="str">
        <f>HYPERLINK("https://ntsu.idm.oclc.org/login?url=https://www.airitibooks.com/Detail/Detail?PublicationID=P20210115026", "https://ntsu.idm.oclc.org/login?url=https://www.airitibooks.com/Detail/Detail?PublicationID=P20210115026")</f>
        <v>https://ntsu.idm.oclc.org/login?url=https://www.airitibooks.com/Detail/Detail?PublicationID=P20210115026</v>
      </c>
    </row>
    <row r="121" spans="1:11" ht="51" x14ac:dyDescent="0.4">
      <c r="A121" s="10" t="s">
        <v>15581</v>
      </c>
      <c r="B121" s="10" t="s">
        <v>15582</v>
      </c>
      <c r="C121" s="10" t="s">
        <v>1034</v>
      </c>
      <c r="D121" s="10" t="s">
        <v>15583</v>
      </c>
      <c r="E121" s="10" t="s">
        <v>4319</v>
      </c>
      <c r="F121" s="10" t="s">
        <v>15584</v>
      </c>
      <c r="G121" s="10" t="s">
        <v>32</v>
      </c>
      <c r="H121" s="7" t="s">
        <v>24</v>
      </c>
      <c r="I121" s="7" t="s">
        <v>25</v>
      </c>
      <c r="J121" s="13" t="str">
        <f>HYPERLINK("https://www.airitibooks.com/Detail/Detail?PublicationID=P20210906046", "https://www.airitibooks.com/Detail/Detail?PublicationID=P20210906046")</f>
        <v>https://www.airitibooks.com/Detail/Detail?PublicationID=P20210906046</v>
      </c>
      <c r="K121" s="13" t="str">
        <f>HYPERLINK("https://ntsu.idm.oclc.org/login?url=https://www.airitibooks.com/Detail/Detail?PublicationID=P20210906046", "https://ntsu.idm.oclc.org/login?url=https://www.airitibooks.com/Detail/Detail?PublicationID=P20210906046")</f>
        <v>https://ntsu.idm.oclc.org/login?url=https://www.airitibooks.com/Detail/Detail?PublicationID=P20210906046</v>
      </c>
    </row>
    <row r="122" spans="1:11" ht="51" x14ac:dyDescent="0.4">
      <c r="A122" s="10" t="s">
        <v>15585</v>
      </c>
      <c r="B122" s="10" t="s">
        <v>15586</v>
      </c>
      <c r="C122" s="10" t="s">
        <v>1034</v>
      </c>
      <c r="D122" s="10" t="s">
        <v>15587</v>
      </c>
      <c r="E122" s="10" t="s">
        <v>4319</v>
      </c>
      <c r="F122" s="10" t="s">
        <v>15588</v>
      </c>
      <c r="G122" s="10" t="s">
        <v>32</v>
      </c>
      <c r="H122" s="7" t="s">
        <v>24</v>
      </c>
      <c r="I122" s="7" t="s">
        <v>25</v>
      </c>
      <c r="J122" s="13" t="str">
        <f>HYPERLINK("https://www.airitibooks.com/Detail/Detail?PublicationID=P20210906049", "https://www.airitibooks.com/Detail/Detail?PublicationID=P20210906049")</f>
        <v>https://www.airitibooks.com/Detail/Detail?PublicationID=P20210906049</v>
      </c>
      <c r="K122" s="13" t="str">
        <f>HYPERLINK("https://ntsu.idm.oclc.org/login?url=https://www.airitibooks.com/Detail/Detail?PublicationID=P20210906049", "https://ntsu.idm.oclc.org/login?url=https://www.airitibooks.com/Detail/Detail?PublicationID=P20210906049")</f>
        <v>https://ntsu.idm.oclc.org/login?url=https://www.airitibooks.com/Detail/Detail?PublicationID=P20210906049</v>
      </c>
    </row>
    <row r="123" spans="1:11" ht="51" x14ac:dyDescent="0.4">
      <c r="A123" s="10" t="s">
        <v>15591</v>
      </c>
      <c r="B123" s="10" t="s">
        <v>15592</v>
      </c>
      <c r="C123" s="10" t="s">
        <v>1034</v>
      </c>
      <c r="D123" s="10" t="s">
        <v>10345</v>
      </c>
      <c r="E123" s="10" t="s">
        <v>4319</v>
      </c>
      <c r="F123" s="10" t="s">
        <v>181</v>
      </c>
      <c r="G123" s="10" t="s">
        <v>32</v>
      </c>
      <c r="H123" s="7" t="s">
        <v>24</v>
      </c>
      <c r="I123" s="7" t="s">
        <v>25</v>
      </c>
      <c r="J123" s="13" t="str">
        <f>HYPERLINK("https://www.airitibooks.com/Detail/Detail?PublicationID=P20210906058", "https://www.airitibooks.com/Detail/Detail?PublicationID=P20210906058")</f>
        <v>https://www.airitibooks.com/Detail/Detail?PublicationID=P20210906058</v>
      </c>
      <c r="K123" s="13" t="str">
        <f>HYPERLINK("https://ntsu.idm.oclc.org/login?url=https://www.airitibooks.com/Detail/Detail?PublicationID=P20210906058", "https://ntsu.idm.oclc.org/login?url=https://www.airitibooks.com/Detail/Detail?PublicationID=P20210906058")</f>
        <v>https://ntsu.idm.oclc.org/login?url=https://www.airitibooks.com/Detail/Detail?PublicationID=P20210906058</v>
      </c>
    </row>
    <row r="124" spans="1:11" ht="51" x14ac:dyDescent="0.4">
      <c r="A124" s="10" t="s">
        <v>10691</v>
      </c>
      <c r="B124" s="10" t="s">
        <v>15598</v>
      </c>
      <c r="C124" s="10" t="s">
        <v>1034</v>
      </c>
      <c r="D124" s="10" t="s">
        <v>10693</v>
      </c>
      <c r="E124" s="10" t="s">
        <v>4319</v>
      </c>
      <c r="F124" s="10" t="s">
        <v>162</v>
      </c>
      <c r="G124" s="10" t="s">
        <v>32</v>
      </c>
      <c r="H124" s="7" t="s">
        <v>24</v>
      </c>
      <c r="I124" s="7" t="s">
        <v>25</v>
      </c>
      <c r="J124" s="13" t="str">
        <f>HYPERLINK("https://www.airitibooks.com/Detail/Detail?PublicationID=P20210913217", "https://www.airitibooks.com/Detail/Detail?PublicationID=P20210913217")</f>
        <v>https://www.airitibooks.com/Detail/Detail?PublicationID=P20210913217</v>
      </c>
      <c r="K124" s="13" t="str">
        <f>HYPERLINK("https://ntsu.idm.oclc.org/login?url=https://www.airitibooks.com/Detail/Detail?PublicationID=P20210913217", "https://ntsu.idm.oclc.org/login?url=https://www.airitibooks.com/Detail/Detail?PublicationID=P20210913217")</f>
        <v>https://ntsu.idm.oclc.org/login?url=https://www.airitibooks.com/Detail/Detail?PublicationID=P20210913217</v>
      </c>
    </row>
    <row r="125" spans="1:11" ht="51" x14ac:dyDescent="0.4">
      <c r="A125" s="10" t="s">
        <v>4317</v>
      </c>
      <c r="B125" s="10" t="s">
        <v>4318</v>
      </c>
      <c r="C125" s="10" t="s">
        <v>848</v>
      </c>
      <c r="D125" s="10" t="s">
        <v>849</v>
      </c>
      <c r="E125" s="10" t="s">
        <v>4319</v>
      </c>
      <c r="F125" s="10" t="s">
        <v>851</v>
      </c>
      <c r="G125" s="10" t="s">
        <v>502</v>
      </c>
      <c r="H125" s="7" t="s">
        <v>24</v>
      </c>
      <c r="I125" s="7" t="s">
        <v>25</v>
      </c>
      <c r="J125" s="13" t="str">
        <f>HYPERLINK("https://www.airitibooks.com/Detail/Detail?PublicationID=P20160315048", "https://www.airitibooks.com/Detail/Detail?PublicationID=P20160315048")</f>
        <v>https://www.airitibooks.com/Detail/Detail?PublicationID=P20160315048</v>
      </c>
      <c r="K125" s="13" t="str">
        <f>HYPERLINK("https://ntsu.idm.oclc.org/login?url=https://www.airitibooks.com/Detail/Detail?PublicationID=P20160315048", "https://ntsu.idm.oclc.org/login?url=https://www.airitibooks.com/Detail/Detail?PublicationID=P20160315048")</f>
        <v>https://ntsu.idm.oclc.org/login?url=https://www.airitibooks.com/Detail/Detail?PublicationID=P20160315048</v>
      </c>
    </row>
    <row r="126" spans="1:11" ht="51" x14ac:dyDescent="0.4">
      <c r="A126" s="10" t="s">
        <v>4320</v>
      </c>
      <c r="B126" s="10" t="s">
        <v>4321</v>
      </c>
      <c r="C126" s="10" t="s">
        <v>848</v>
      </c>
      <c r="D126" s="10" t="s">
        <v>849</v>
      </c>
      <c r="E126" s="10" t="s">
        <v>4319</v>
      </c>
      <c r="F126" s="10" t="s">
        <v>851</v>
      </c>
      <c r="G126" s="10" t="s">
        <v>502</v>
      </c>
      <c r="H126" s="7" t="s">
        <v>24</v>
      </c>
      <c r="I126" s="7" t="s">
        <v>25</v>
      </c>
      <c r="J126" s="13" t="str">
        <f>HYPERLINK("https://www.airitibooks.com/Detail/Detail?PublicationID=P20160315054", "https://www.airitibooks.com/Detail/Detail?PublicationID=P20160315054")</f>
        <v>https://www.airitibooks.com/Detail/Detail?PublicationID=P20160315054</v>
      </c>
      <c r="K126" s="13" t="str">
        <f>HYPERLINK("https://ntsu.idm.oclc.org/login?url=https://www.airitibooks.com/Detail/Detail?PublicationID=P20160315054", "https://ntsu.idm.oclc.org/login?url=https://www.airitibooks.com/Detail/Detail?PublicationID=P20160315054")</f>
        <v>https://ntsu.idm.oclc.org/login?url=https://www.airitibooks.com/Detail/Detail?PublicationID=P20160315054</v>
      </c>
    </row>
    <row r="127" spans="1:11" ht="51" x14ac:dyDescent="0.4">
      <c r="A127" s="10" t="s">
        <v>6745</v>
      </c>
      <c r="B127" s="10" t="s">
        <v>6746</v>
      </c>
      <c r="C127" s="10" t="s">
        <v>848</v>
      </c>
      <c r="D127" s="10" t="s">
        <v>849</v>
      </c>
      <c r="E127" s="10" t="s">
        <v>4319</v>
      </c>
      <c r="F127" s="10" t="s">
        <v>851</v>
      </c>
      <c r="G127" s="10" t="s">
        <v>502</v>
      </c>
      <c r="H127" s="7" t="s">
        <v>24</v>
      </c>
      <c r="I127" s="7" t="s">
        <v>25</v>
      </c>
      <c r="J127" s="13" t="str">
        <f>HYPERLINK("https://www.airitibooks.com/Detail/Detail?PublicationID=P20170522337", "https://www.airitibooks.com/Detail/Detail?PublicationID=P20170522337")</f>
        <v>https://www.airitibooks.com/Detail/Detail?PublicationID=P20170522337</v>
      </c>
      <c r="K127" s="13" t="str">
        <f>HYPERLINK("https://ntsu.idm.oclc.org/login?url=https://www.airitibooks.com/Detail/Detail?PublicationID=P20170522337", "https://ntsu.idm.oclc.org/login?url=https://www.airitibooks.com/Detail/Detail?PublicationID=P20170522337")</f>
        <v>https://ntsu.idm.oclc.org/login?url=https://www.airitibooks.com/Detail/Detail?PublicationID=P20170522337</v>
      </c>
    </row>
    <row r="128" spans="1:11" ht="51" x14ac:dyDescent="0.4">
      <c r="A128" s="10" t="s">
        <v>13896</v>
      </c>
      <c r="B128" s="10" t="s">
        <v>13897</v>
      </c>
      <c r="C128" s="10" t="s">
        <v>413</v>
      </c>
      <c r="D128" s="10" t="s">
        <v>12036</v>
      </c>
      <c r="E128" s="10" t="s">
        <v>5998</v>
      </c>
      <c r="F128" s="10" t="s">
        <v>3328</v>
      </c>
      <c r="G128" s="10" t="s">
        <v>237</v>
      </c>
      <c r="H128" s="7" t="s">
        <v>24</v>
      </c>
      <c r="I128" s="7" t="s">
        <v>25</v>
      </c>
      <c r="J128" s="13" t="str">
        <f>HYPERLINK("https://www.airitibooks.com/Detail/Detail?PublicationID=P20200424017", "https://www.airitibooks.com/Detail/Detail?PublicationID=P20200424017")</f>
        <v>https://www.airitibooks.com/Detail/Detail?PublicationID=P20200424017</v>
      </c>
      <c r="K128" s="13" t="str">
        <f>HYPERLINK("https://ntsu.idm.oclc.org/login?url=https://www.airitibooks.com/Detail/Detail?PublicationID=P20200424017", "https://ntsu.idm.oclc.org/login?url=https://www.airitibooks.com/Detail/Detail?PublicationID=P20200424017")</f>
        <v>https://ntsu.idm.oclc.org/login?url=https://www.airitibooks.com/Detail/Detail?PublicationID=P20200424017</v>
      </c>
    </row>
    <row r="129" spans="1:11" ht="51" x14ac:dyDescent="0.4">
      <c r="A129" s="10" t="s">
        <v>14021</v>
      </c>
      <c r="B129" s="10" t="s">
        <v>14022</v>
      </c>
      <c r="C129" s="10" t="s">
        <v>2616</v>
      </c>
      <c r="D129" s="10" t="s">
        <v>14023</v>
      </c>
      <c r="E129" s="10" t="s">
        <v>5998</v>
      </c>
      <c r="F129" s="10" t="s">
        <v>1435</v>
      </c>
      <c r="G129" s="10" t="s">
        <v>237</v>
      </c>
      <c r="H129" s="7" t="s">
        <v>24</v>
      </c>
      <c r="I129" s="7" t="s">
        <v>25</v>
      </c>
      <c r="J129" s="13" t="str">
        <f>HYPERLINK("https://www.airitibooks.com/Detail/Detail?PublicationID=P20200430186", "https://www.airitibooks.com/Detail/Detail?PublicationID=P20200430186")</f>
        <v>https://www.airitibooks.com/Detail/Detail?PublicationID=P20200430186</v>
      </c>
      <c r="K129" s="13" t="str">
        <f>HYPERLINK("https://ntsu.idm.oclc.org/login?url=https://www.airitibooks.com/Detail/Detail?PublicationID=P20200430186", "https://ntsu.idm.oclc.org/login?url=https://www.airitibooks.com/Detail/Detail?PublicationID=P20200430186")</f>
        <v>https://ntsu.idm.oclc.org/login?url=https://www.airitibooks.com/Detail/Detail?PublicationID=P20200430186</v>
      </c>
    </row>
    <row r="130" spans="1:11" ht="51" x14ac:dyDescent="0.4">
      <c r="A130" s="10" t="s">
        <v>14027</v>
      </c>
      <c r="B130" s="10" t="s">
        <v>14028</v>
      </c>
      <c r="C130" s="10" t="s">
        <v>2616</v>
      </c>
      <c r="D130" s="10" t="s">
        <v>14029</v>
      </c>
      <c r="E130" s="10" t="s">
        <v>5998</v>
      </c>
      <c r="F130" s="10" t="s">
        <v>14030</v>
      </c>
      <c r="G130" s="10" t="s">
        <v>237</v>
      </c>
      <c r="H130" s="7" t="s">
        <v>24</v>
      </c>
      <c r="I130" s="7" t="s">
        <v>25</v>
      </c>
      <c r="J130" s="13" t="str">
        <f>HYPERLINK("https://www.airitibooks.com/Detail/Detail?PublicationID=P20200430188", "https://www.airitibooks.com/Detail/Detail?PublicationID=P20200430188")</f>
        <v>https://www.airitibooks.com/Detail/Detail?PublicationID=P20200430188</v>
      </c>
      <c r="K130" s="13" t="str">
        <f>HYPERLINK("https://ntsu.idm.oclc.org/login?url=https://www.airitibooks.com/Detail/Detail?PublicationID=P20200430188", "https://ntsu.idm.oclc.org/login?url=https://www.airitibooks.com/Detail/Detail?PublicationID=P20200430188")</f>
        <v>https://ntsu.idm.oclc.org/login?url=https://www.airitibooks.com/Detail/Detail?PublicationID=P20200430188</v>
      </c>
    </row>
    <row r="131" spans="1:11" ht="51" x14ac:dyDescent="0.4">
      <c r="A131" s="10" t="s">
        <v>14314</v>
      </c>
      <c r="B131" s="10" t="s">
        <v>14315</v>
      </c>
      <c r="C131" s="10" t="s">
        <v>12154</v>
      </c>
      <c r="D131" s="10" t="s">
        <v>14316</v>
      </c>
      <c r="E131" s="10" t="s">
        <v>5998</v>
      </c>
      <c r="F131" s="10" t="s">
        <v>14317</v>
      </c>
      <c r="G131" s="10" t="s">
        <v>237</v>
      </c>
      <c r="H131" s="7" t="s">
        <v>24</v>
      </c>
      <c r="I131" s="7" t="s">
        <v>25</v>
      </c>
      <c r="J131" s="13" t="str">
        <f>HYPERLINK("https://www.airitibooks.com/Detail/Detail?PublicationID=P20200605028", "https://www.airitibooks.com/Detail/Detail?PublicationID=P20200605028")</f>
        <v>https://www.airitibooks.com/Detail/Detail?PublicationID=P20200605028</v>
      </c>
      <c r="K131" s="13" t="str">
        <f>HYPERLINK("https://ntsu.idm.oclc.org/login?url=https://www.airitibooks.com/Detail/Detail?PublicationID=P20200605028", "https://ntsu.idm.oclc.org/login?url=https://www.airitibooks.com/Detail/Detail?PublicationID=P20200605028")</f>
        <v>https://ntsu.idm.oclc.org/login?url=https://www.airitibooks.com/Detail/Detail?PublicationID=P20200605028</v>
      </c>
    </row>
    <row r="132" spans="1:11" ht="51" x14ac:dyDescent="0.4">
      <c r="A132" s="10" t="s">
        <v>14385</v>
      </c>
      <c r="B132" s="10" t="s">
        <v>14386</v>
      </c>
      <c r="C132" s="10" t="s">
        <v>3208</v>
      </c>
      <c r="D132" s="10" t="s">
        <v>14387</v>
      </c>
      <c r="E132" s="10" t="s">
        <v>5998</v>
      </c>
      <c r="F132" s="10" t="s">
        <v>14388</v>
      </c>
      <c r="G132" s="10" t="s">
        <v>237</v>
      </c>
      <c r="H132" s="7" t="s">
        <v>24</v>
      </c>
      <c r="I132" s="7" t="s">
        <v>25</v>
      </c>
      <c r="J132" s="13" t="str">
        <f>HYPERLINK("https://www.airitibooks.com/Detail/Detail?PublicationID=P20200703002", "https://www.airitibooks.com/Detail/Detail?PublicationID=P20200703002")</f>
        <v>https://www.airitibooks.com/Detail/Detail?PublicationID=P20200703002</v>
      </c>
      <c r="K132" s="13" t="str">
        <f>HYPERLINK("https://ntsu.idm.oclc.org/login?url=https://www.airitibooks.com/Detail/Detail?PublicationID=P20200703002", "https://ntsu.idm.oclc.org/login?url=https://www.airitibooks.com/Detail/Detail?PublicationID=P20200703002")</f>
        <v>https://ntsu.idm.oclc.org/login?url=https://www.airitibooks.com/Detail/Detail?PublicationID=P20200703002</v>
      </c>
    </row>
    <row r="133" spans="1:11" ht="51" x14ac:dyDescent="0.4">
      <c r="A133" s="10" t="s">
        <v>14444</v>
      </c>
      <c r="B133" s="10" t="s">
        <v>14445</v>
      </c>
      <c r="C133" s="10" t="s">
        <v>14446</v>
      </c>
      <c r="D133" s="10" t="s">
        <v>14447</v>
      </c>
      <c r="E133" s="10" t="s">
        <v>5998</v>
      </c>
      <c r="F133" s="10" t="s">
        <v>14448</v>
      </c>
      <c r="G133" s="10" t="s">
        <v>237</v>
      </c>
      <c r="H133" s="7" t="s">
        <v>24</v>
      </c>
      <c r="I133" s="7" t="s">
        <v>25</v>
      </c>
      <c r="J133" s="13" t="str">
        <f>HYPERLINK("https://www.airitibooks.com/Detail/Detail?PublicationID=P20200703165", "https://www.airitibooks.com/Detail/Detail?PublicationID=P20200703165")</f>
        <v>https://www.airitibooks.com/Detail/Detail?PublicationID=P20200703165</v>
      </c>
      <c r="K133" s="13" t="str">
        <f>HYPERLINK("https://ntsu.idm.oclc.org/login?url=https://www.airitibooks.com/Detail/Detail?PublicationID=P20200703165", "https://ntsu.idm.oclc.org/login?url=https://www.airitibooks.com/Detail/Detail?PublicationID=P20200703165")</f>
        <v>https://ntsu.idm.oclc.org/login?url=https://www.airitibooks.com/Detail/Detail?PublicationID=P20200703165</v>
      </c>
    </row>
    <row r="134" spans="1:11" ht="51" x14ac:dyDescent="0.4">
      <c r="A134" s="10" t="s">
        <v>14514</v>
      </c>
      <c r="B134" s="10" t="s">
        <v>14515</v>
      </c>
      <c r="C134" s="10" t="s">
        <v>240</v>
      </c>
      <c r="D134" s="10" t="s">
        <v>14516</v>
      </c>
      <c r="E134" s="10" t="s">
        <v>5998</v>
      </c>
      <c r="F134" s="10" t="s">
        <v>5587</v>
      </c>
      <c r="G134" s="10" t="s">
        <v>237</v>
      </c>
      <c r="H134" s="7" t="s">
        <v>24</v>
      </c>
      <c r="I134" s="7" t="s">
        <v>25</v>
      </c>
      <c r="J134" s="13" t="str">
        <f>HYPERLINK("https://www.airitibooks.com/Detail/Detail?PublicationID=P20200724051", "https://www.airitibooks.com/Detail/Detail?PublicationID=P20200724051")</f>
        <v>https://www.airitibooks.com/Detail/Detail?PublicationID=P20200724051</v>
      </c>
      <c r="K134" s="13" t="str">
        <f>HYPERLINK("https://ntsu.idm.oclc.org/login?url=https://www.airitibooks.com/Detail/Detail?PublicationID=P20200724051", "https://ntsu.idm.oclc.org/login?url=https://www.airitibooks.com/Detail/Detail?PublicationID=P20200724051")</f>
        <v>https://ntsu.idm.oclc.org/login?url=https://www.airitibooks.com/Detail/Detail?PublicationID=P20200724051</v>
      </c>
    </row>
    <row r="135" spans="1:11" ht="51" x14ac:dyDescent="0.4">
      <c r="A135" s="10" t="s">
        <v>14546</v>
      </c>
      <c r="B135" s="10" t="s">
        <v>14547</v>
      </c>
      <c r="C135" s="10" t="s">
        <v>2616</v>
      </c>
      <c r="D135" s="10" t="s">
        <v>14548</v>
      </c>
      <c r="E135" s="10" t="s">
        <v>5998</v>
      </c>
      <c r="F135" s="10" t="s">
        <v>1435</v>
      </c>
      <c r="G135" s="10" t="s">
        <v>237</v>
      </c>
      <c r="H135" s="7" t="s">
        <v>24</v>
      </c>
      <c r="I135" s="7" t="s">
        <v>25</v>
      </c>
      <c r="J135" s="13" t="str">
        <f>HYPERLINK("https://www.airitibooks.com/Detail/Detail?PublicationID=P20200731038", "https://www.airitibooks.com/Detail/Detail?PublicationID=P20200731038")</f>
        <v>https://www.airitibooks.com/Detail/Detail?PublicationID=P20200731038</v>
      </c>
      <c r="K135" s="13" t="str">
        <f>HYPERLINK("https://ntsu.idm.oclc.org/login?url=https://www.airitibooks.com/Detail/Detail?PublicationID=P20200731038", "https://ntsu.idm.oclc.org/login?url=https://www.airitibooks.com/Detail/Detail?PublicationID=P20200731038")</f>
        <v>https://ntsu.idm.oclc.org/login?url=https://www.airitibooks.com/Detail/Detail?PublicationID=P20200731038</v>
      </c>
    </row>
    <row r="136" spans="1:11" ht="68" x14ac:dyDescent="0.4">
      <c r="A136" s="10" t="s">
        <v>14902</v>
      </c>
      <c r="B136" s="10" t="s">
        <v>14903</v>
      </c>
      <c r="C136" s="10" t="s">
        <v>791</v>
      </c>
      <c r="D136" s="10" t="s">
        <v>14904</v>
      </c>
      <c r="E136" s="10" t="s">
        <v>5998</v>
      </c>
      <c r="F136" s="10" t="s">
        <v>14905</v>
      </c>
      <c r="G136" s="10" t="s">
        <v>237</v>
      </c>
      <c r="H136" s="7" t="s">
        <v>24</v>
      </c>
      <c r="I136" s="7" t="s">
        <v>25</v>
      </c>
      <c r="J136" s="13" t="str">
        <f>HYPERLINK("https://www.airitibooks.com/Detail/Detail?PublicationID=P20201120039", "https://www.airitibooks.com/Detail/Detail?PublicationID=P20201120039")</f>
        <v>https://www.airitibooks.com/Detail/Detail?PublicationID=P20201120039</v>
      </c>
      <c r="K136" s="13" t="str">
        <f>HYPERLINK("https://ntsu.idm.oclc.org/login?url=https://www.airitibooks.com/Detail/Detail?PublicationID=P20201120039", "https://ntsu.idm.oclc.org/login?url=https://www.airitibooks.com/Detail/Detail?PublicationID=P20201120039")</f>
        <v>https://ntsu.idm.oclc.org/login?url=https://www.airitibooks.com/Detail/Detail?PublicationID=P20201120039</v>
      </c>
    </row>
    <row r="137" spans="1:11" ht="51" x14ac:dyDescent="0.4">
      <c r="A137" s="10" t="s">
        <v>14917</v>
      </c>
      <c r="B137" s="10" t="s">
        <v>14918</v>
      </c>
      <c r="C137" s="10" t="s">
        <v>7020</v>
      </c>
      <c r="D137" s="10" t="s">
        <v>7021</v>
      </c>
      <c r="E137" s="10" t="s">
        <v>5998</v>
      </c>
      <c r="F137" s="10" t="s">
        <v>9969</v>
      </c>
      <c r="G137" s="10" t="s">
        <v>237</v>
      </c>
      <c r="H137" s="7" t="s">
        <v>24</v>
      </c>
      <c r="I137" s="7" t="s">
        <v>25</v>
      </c>
      <c r="J137" s="13" t="str">
        <f>HYPERLINK("https://www.airitibooks.com/Detail/Detail?PublicationID=P20201120063", "https://www.airitibooks.com/Detail/Detail?PublicationID=P20201120063")</f>
        <v>https://www.airitibooks.com/Detail/Detail?PublicationID=P20201120063</v>
      </c>
      <c r="K137" s="13" t="str">
        <f>HYPERLINK("https://ntsu.idm.oclc.org/login?url=https://www.airitibooks.com/Detail/Detail?PublicationID=P20201120063", "https://ntsu.idm.oclc.org/login?url=https://www.airitibooks.com/Detail/Detail?PublicationID=P20201120063")</f>
        <v>https://ntsu.idm.oclc.org/login?url=https://www.airitibooks.com/Detail/Detail?PublicationID=P20201120063</v>
      </c>
    </row>
    <row r="138" spans="1:11" ht="51" x14ac:dyDescent="0.4">
      <c r="A138" s="10" t="s">
        <v>15065</v>
      </c>
      <c r="B138" s="10" t="s">
        <v>15066</v>
      </c>
      <c r="C138" s="10" t="s">
        <v>544</v>
      </c>
      <c r="D138" s="10" t="s">
        <v>15067</v>
      </c>
      <c r="E138" s="10" t="s">
        <v>5998</v>
      </c>
      <c r="F138" s="10" t="s">
        <v>9409</v>
      </c>
      <c r="G138" s="10" t="s">
        <v>237</v>
      </c>
      <c r="H138" s="7" t="s">
        <v>24</v>
      </c>
      <c r="I138" s="7" t="s">
        <v>25</v>
      </c>
      <c r="J138" s="13" t="str">
        <f>HYPERLINK("https://www.airitibooks.com/Detail/Detail?PublicationID=P20201211008", "https://www.airitibooks.com/Detail/Detail?PublicationID=P20201211008")</f>
        <v>https://www.airitibooks.com/Detail/Detail?PublicationID=P20201211008</v>
      </c>
      <c r="K138" s="13" t="str">
        <f>HYPERLINK("https://ntsu.idm.oclc.org/login?url=https://www.airitibooks.com/Detail/Detail?PublicationID=P20201211008", "https://ntsu.idm.oclc.org/login?url=https://www.airitibooks.com/Detail/Detail?PublicationID=P20201211008")</f>
        <v>https://ntsu.idm.oclc.org/login?url=https://www.airitibooks.com/Detail/Detail?PublicationID=P20201211008</v>
      </c>
    </row>
    <row r="139" spans="1:11" ht="51" x14ac:dyDescent="0.4">
      <c r="A139" s="10" t="s">
        <v>15068</v>
      </c>
      <c r="B139" s="10" t="s">
        <v>15069</v>
      </c>
      <c r="C139" s="10" t="s">
        <v>544</v>
      </c>
      <c r="D139" s="10" t="s">
        <v>6608</v>
      </c>
      <c r="E139" s="10" t="s">
        <v>5998</v>
      </c>
      <c r="F139" s="10" t="s">
        <v>15070</v>
      </c>
      <c r="G139" s="10" t="s">
        <v>237</v>
      </c>
      <c r="H139" s="7" t="s">
        <v>24</v>
      </c>
      <c r="I139" s="7" t="s">
        <v>25</v>
      </c>
      <c r="J139" s="13" t="str">
        <f>HYPERLINK("https://www.airitibooks.com/Detail/Detail?PublicationID=P20201211011", "https://www.airitibooks.com/Detail/Detail?PublicationID=P20201211011")</f>
        <v>https://www.airitibooks.com/Detail/Detail?PublicationID=P20201211011</v>
      </c>
      <c r="K139" s="13" t="str">
        <f>HYPERLINK("https://ntsu.idm.oclc.org/login?url=https://www.airitibooks.com/Detail/Detail?PublicationID=P20201211011", "https://ntsu.idm.oclc.org/login?url=https://www.airitibooks.com/Detail/Detail?PublicationID=P20201211011")</f>
        <v>https://ntsu.idm.oclc.org/login?url=https://www.airitibooks.com/Detail/Detail?PublicationID=P20201211011</v>
      </c>
    </row>
    <row r="140" spans="1:11" ht="51" x14ac:dyDescent="0.4">
      <c r="A140" s="10" t="s">
        <v>15152</v>
      </c>
      <c r="B140" s="10" t="s">
        <v>15153</v>
      </c>
      <c r="C140" s="10" t="s">
        <v>15150</v>
      </c>
      <c r="D140" s="10" t="s">
        <v>15154</v>
      </c>
      <c r="E140" s="10" t="s">
        <v>5998</v>
      </c>
      <c r="F140" s="10" t="s">
        <v>15155</v>
      </c>
      <c r="G140" s="10" t="s">
        <v>237</v>
      </c>
      <c r="H140" s="7" t="s">
        <v>24</v>
      </c>
      <c r="I140" s="7" t="s">
        <v>25</v>
      </c>
      <c r="J140" s="13" t="str">
        <f>HYPERLINK("https://www.airitibooks.com/Detail/Detail?PublicationID=P20201231403", "https://www.airitibooks.com/Detail/Detail?PublicationID=P20201231403")</f>
        <v>https://www.airitibooks.com/Detail/Detail?PublicationID=P20201231403</v>
      </c>
      <c r="K140" s="13" t="str">
        <f>HYPERLINK("https://ntsu.idm.oclc.org/login?url=https://www.airitibooks.com/Detail/Detail?PublicationID=P20201231403", "https://ntsu.idm.oclc.org/login?url=https://www.airitibooks.com/Detail/Detail?PublicationID=P20201231403")</f>
        <v>https://ntsu.idm.oclc.org/login?url=https://www.airitibooks.com/Detail/Detail?PublicationID=P20201231403</v>
      </c>
    </row>
    <row r="141" spans="1:11" ht="51" x14ac:dyDescent="0.4">
      <c r="A141" s="10" t="s">
        <v>15156</v>
      </c>
      <c r="B141" s="10" t="s">
        <v>15157</v>
      </c>
      <c r="C141" s="10" t="s">
        <v>7020</v>
      </c>
      <c r="D141" s="10" t="s">
        <v>7021</v>
      </c>
      <c r="E141" s="10" t="s">
        <v>5998</v>
      </c>
      <c r="F141" s="10" t="s">
        <v>9969</v>
      </c>
      <c r="G141" s="10" t="s">
        <v>237</v>
      </c>
      <c r="H141" s="7" t="s">
        <v>24</v>
      </c>
      <c r="I141" s="7" t="s">
        <v>25</v>
      </c>
      <c r="J141" s="13" t="str">
        <f>HYPERLINK("https://www.airitibooks.com/Detail/Detail?PublicationID=P20210111011", "https://www.airitibooks.com/Detail/Detail?PublicationID=P20210111011")</f>
        <v>https://www.airitibooks.com/Detail/Detail?PublicationID=P20210111011</v>
      </c>
      <c r="K141" s="13" t="str">
        <f>HYPERLINK("https://ntsu.idm.oclc.org/login?url=https://www.airitibooks.com/Detail/Detail?PublicationID=P20210111011", "https://ntsu.idm.oclc.org/login?url=https://www.airitibooks.com/Detail/Detail?PublicationID=P20210111011")</f>
        <v>https://ntsu.idm.oclc.org/login?url=https://www.airitibooks.com/Detail/Detail?PublicationID=P20210111011</v>
      </c>
    </row>
    <row r="142" spans="1:11" ht="51" x14ac:dyDescent="0.4">
      <c r="A142" s="10" t="s">
        <v>15254</v>
      </c>
      <c r="B142" s="10" t="s">
        <v>15255</v>
      </c>
      <c r="C142" s="10" t="s">
        <v>297</v>
      </c>
      <c r="D142" s="10" t="s">
        <v>15256</v>
      </c>
      <c r="E142" s="10" t="s">
        <v>5998</v>
      </c>
      <c r="F142" s="10" t="s">
        <v>12697</v>
      </c>
      <c r="G142" s="10" t="s">
        <v>237</v>
      </c>
      <c r="H142" s="7" t="s">
        <v>24</v>
      </c>
      <c r="I142" s="7" t="s">
        <v>25</v>
      </c>
      <c r="J142" s="13" t="str">
        <f>HYPERLINK("https://www.airitibooks.com/Detail/Detail?PublicationID=P20210225032", "https://www.airitibooks.com/Detail/Detail?PublicationID=P20210225032")</f>
        <v>https://www.airitibooks.com/Detail/Detail?PublicationID=P20210225032</v>
      </c>
      <c r="K142" s="13" t="str">
        <f>HYPERLINK("https://ntsu.idm.oclc.org/login?url=https://www.airitibooks.com/Detail/Detail?PublicationID=P20210225032", "https://ntsu.idm.oclc.org/login?url=https://www.airitibooks.com/Detail/Detail?PublicationID=P20210225032")</f>
        <v>https://ntsu.idm.oclc.org/login?url=https://www.airitibooks.com/Detail/Detail?PublicationID=P20210225032</v>
      </c>
    </row>
    <row r="143" spans="1:11" ht="51" x14ac:dyDescent="0.4">
      <c r="A143" s="10" t="s">
        <v>15270</v>
      </c>
      <c r="B143" s="10" t="s">
        <v>15271</v>
      </c>
      <c r="C143" s="10" t="s">
        <v>297</v>
      </c>
      <c r="D143" s="10" t="s">
        <v>15272</v>
      </c>
      <c r="E143" s="10" t="s">
        <v>5998</v>
      </c>
      <c r="F143" s="10" t="s">
        <v>15273</v>
      </c>
      <c r="G143" s="10" t="s">
        <v>237</v>
      </c>
      <c r="H143" s="7" t="s">
        <v>24</v>
      </c>
      <c r="I143" s="7" t="s">
        <v>25</v>
      </c>
      <c r="J143" s="13" t="str">
        <f>HYPERLINK("https://www.airitibooks.com/Detail/Detail?PublicationID=P20210225038", "https://www.airitibooks.com/Detail/Detail?PublicationID=P20210225038")</f>
        <v>https://www.airitibooks.com/Detail/Detail?PublicationID=P20210225038</v>
      </c>
      <c r="K143" s="13" t="str">
        <f>HYPERLINK("https://ntsu.idm.oclc.org/login?url=https://www.airitibooks.com/Detail/Detail?PublicationID=P20210225038", "https://ntsu.idm.oclc.org/login?url=https://www.airitibooks.com/Detail/Detail?PublicationID=P20210225038")</f>
        <v>https://ntsu.idm.oclc.org/login?url=https://www.airitibooks.com/Detail/Detail?PublicationID=P20210225038</v>
      </c>
    </row>
    <row r="144" spans="1:11" ht="51" x14ac:dyDescent="0.4">
      <c r="A144" s="10" t="s">
        <v>15339</v>
      </c>
      <c r="B144" s="10" t="s">
        <v>15340</v>
      </c>
      <c r="C144" s="10" t="s">
        <v>11995</v>
      </c>
      <c r="D144" s="10" t="s">
        <v>15341</v>
      </c>
      <c r="E144" s="10" t="s">
        <v>5998</v>
      </c>
      <c r="F144" s="10" t="s">
        <v>236</v>
      </c>
      <c r="G144" s="10" t="s">
        <v>237</v>
      </c>
      <c r="H144" s="7" t="s">
        <v>24</v>
      </c>
      <c r="I144" s="7" t="s">
        <v>25</v>
      </c>
      <c r="J144" s="13" t="str">
        <f>HYPERLINK("https://www.airitibooks.com/Detail/Detail?PublicationID=P20210401008", "https://www.airitibooks.com/Detail/Detail?PublicationID=P20210401008")</f>
        <v>https://www.airitibooks.com/Detail/Detail?PublicationID=P20210401008</v>
      </c>
      <c r="K144" s="13" t="str">
        <f>HYPERLINK("https://ntsu.idm.oclc.org/login?url=https://www.airitibooks.com/Detail/Detail?PublicationID=P20210401008", "https://ntsu.idm.oclc.org/login?url=https://www.airitibooks.com/Detail/Detail?PublicationID=P20210401008")</f>
        <v>https://ntsu.idm.oclc.org/login?url=https://www.airitibooks.com/Detail/Detail?PublicationID=P20210401008</v>
      </c>
    </row>
    <row r="145" spans="1:11" ht="51" x14ac:dyDescent="0.4">
      <c r="A145" s="10" t="s">
        <v>15430</v>
      </c>
      <c r="B145" s="10" t="s">
        <v>15431</v>
      </c>
      <c r="C145" s="10" t="s">
        <v>11995</v>
      </c>
      <c r="D145" s="10" t="s">
        <v>15432</v>
      </c>
      <c r="E145" s="10" t="s">
        <v>5998</v>
      </c>
      <c r="F145" s="10" t="s">
        <v>15433</v>
      </c>
      <c r="G145" s="10" t="s">
        <v>237</v>
      </c>
      <c r="H145" s="7" t="s">
        <v>24</v>
      </c>
      <c r="I145" s="7" t="s">
        <v>25</v>
      </c>
      <c r="J145" s="13" t="str">
        <f>HYPERLINK("https://www.airitibooks.com/Detail/Detail?PublicationID=P20210428050", "https://www.airitibooks.com/Detail/Detail?PublicationID=P20210428050")</f>
        <v>https://www.airitibooks.com/Detail/Detail?PublicationID=P20210428050</v>
      </c>
      <c r="K145" s="13" t="str">
        <f>HYPERLINK("https://ntsu.idm.oclc.org/login?url=https://www.airitibooks.com/Detail/Detail?PublicationID=P20210428050", "https://ntsu.idm.oclc.org/login?url=https://www.airitibooks.com/Detail/Detail?PublicationID=P20210428050")</f>
        <v>https://ntsu.idm.oclc.org/login?url=https://www.airitibooks.com/Detail/Detail?PublicationID=P20210428050</v>
      </c>
    </row>
    <row r="146" spans="1:11" ht="51" x14ac:dyDescent="0.4">
      <c r="A146" s="10" t="s">
        <v>15440</v>
      </c>
      <c r="B146" s="10" t="s">
        <v>15441</v>
      </c>
      <c r="C146" s="10" t="s">
        <v>11995</v>
      </c>
      <c r="D146" s="10" t="s">
        <v>7504</v>
      </c>
      <c r="E146" s="10" t="s">
        <v>5998</v>
      </c>
      <c r="F146" s="10" t="s">
        <v>236</v>
      </c>
      <c r="G146" s="10" t="s">
        <v>237</v>
      </c>
      <c r="H146" s="7" t="s">
        <v>24</v>
      </c>
      <c r="I146" s="7" t="s">
        <v>25</v>
      </c>
      <c r="J146" s="13" t="str">
        <f>HYPERLINK("https://www.airitibooks.com/Detail/Detail?PublicationID=P20210428053", "https://www.airitibooks.com/Detail/Detail?PublicationID=P20210428053")</f>
        <v>https://www.airitibooks.com/Detail/Detail?PublicationID=P20210428053</v>
      </c>
      <c r="K146" s="13" t="str">
        <f>HYPERLINK("https://ntsu.idm.oclc.org/login?url=https://www.airitibooks.com/Detail/Detail?PublicationID=P20210428053", "https://ntsu.idm.oclc.org/login?url=https://www.airitibooks.com/Detail/Detail?PublicationID=P20210428053")</f>
        <v>https://ntsu.idm.oclc.org/login?url=https://www.airitibooks.com/Detail/Detail?PublicationID=P20210428053</v>
      </c>
    </row>
    <row r="147" spans="1:11" ht="51" x14ac:dyDescent="0.4">
      <c r="A147" s="10" t="s">
        <v>13855</v>
      </c>
      <c r="B147" s="10" t="s">
        <v>13856</v>
      </c>
      <c r="C147" s="10" t="s">
        <v>108</v>
      </c>
      <c r="D147" s="10" t="s">
        <v>13857</v>
      </c>
      <c r="E147" s="10" t="s">
        <v>5998</v>
      </c>
      <c r="F147" s="10" t="s">
        <v>13151</v>
      </c>
      <c r="G147" s="10" t="s">
        <v>209</v>
      </c>
      <c r="H147" s="7" t="s">
        <v>24</v>
      </c>
      <c r="I147" s="7" t="s">
        <v>25</v>
      </c>
      <c r="J147" s="13" t="str">
        <f>HYPERLINK("https://www.airitibooks.com/Detail/Detail?PublicationID=P20200413024", "https://www.airitibooks.com/Detail/Detail?PublicationID=P20200413024")</f>
        <v>https://www.airitibooks.com/Detail/Detail?PublicationID=P20200413024</v>
      </c>
      <c r="K147" s="13" t="str">
        <f>HYPERLINK("https://ntsu.idm.oclc.org/login?url=https://www.airitibooks.com/Detail/Detail?PublicationID=P20200413024", "https://ntsu.idm.oclc.org/login?url=https://www.airitibooks.com/Detail/Detail?PublicationID=P20200413024")</f>
        <v>https://ntsu.idm.oclc.org/login?url=https://www.airitibooks.com/Detail/Detail?PublicationID=P20200413024</v>
      </c>
    </row>
    <row r="148" spans="1:11" ht="51" x14ac:dyDescent="0.4">
      <c r="A148" s="10" t="s">
        <v>14381</v>
      </c>
      <c r="B148" s="10" t="s">
        <v>14382</v>
      </c>
      <c r="C148" s="10" t="s">
        <v>3208</v>
      </c>
      <c r="D148" s="10" t="s">
        <v>14383</v>
      </c>
      <c r="E148" s="10" t="s">
        <v>5998</v>
      </c>
      <c r="F148" s="10" t="s">
        <v>14384</v>
      </c>
      <c r="G148" s="10" t="s">
        <v>209</v>
      </c>
      <c r="H148" s="7" t="s">
        <v>24</v>
      </c>
      <c r="I148" s="7" t="s">
        <v>25</v>
      </c>
      <c r="J148" s="13" t="str">
        <f>HYPERLINK("https://www.airitibooks.com/Detail/Detail?PublicationID=P20200703001", "https://www.airitibooks.com/Detail/Detail?PublicationID=P20200703001")</f>
        <v>https://www.airitibooks.com/Detail/Detail?PublicationID=P20200703001</v>
      </c>
      <c r="K148" s="13" t="str">
        <f>HYPERLINK("https://ntsu.idm.oclc.org/login?url=https://www.airitibooks.com/Detail/Detail?PublicationID=P20200703001", "https://ntsu.idm.oclc.org/login?url=https://www.airitibooks.com/Detail/Detail?PublicationID=P20200703001")</f>
        <v>https://ntsu.idm.oclc.org/login?url=https://www.airitibooks.com/Detail/Detail?PublicationID=P20200703001</v>
      </c>
    </row>
    <row r="149" spans="1:11" ht="51" x14ac:dyDescent="0.4">
      <c r="A149" s="10" t="s">
        <v>14389</v>
      </c>
      <c r="B149" s="10" t="s">
        <v>14390</v>
      </c>
      <c r="C149" s="10" t="s">
        <v>3208</v>
      </c>
      <c r="D149" s="10" t="s">
        <v>14391</v>
      </c>
      <c r="E149" s="10" t="s">
        <v>5998</v>
      </c>
      <c r="F149" s="10" t="s">
        <v>14384</v>
      </c>
      <c r="G149" s="10" t="s">
        <v>209</v>
      </c>
      <c r="H149" s="7" t="s">
        <v>24</v>
      </c>
      <c r="I149" s="7" t="s">
        <v>25</v>
      </c>
      <c r="J149" s="13" t="str">
        <f>HYPERLINK("https://www.airitibooks.com/Detail/Detail?PublicationID=P20200703003", "https://www.airitibooks.com/Detail/Detail?PublicationID=P20200703003")</f>
        <v>https://www.airitibooks.com/Detail/Detail?PublicationID=P20200703003</v>
      </c>
      <c r="K149" s="13" t="str">
        <f>HYPERLINK("https://ntsu.idm.oclc.org/login?url=https://www.airitibooks.com/Detail/Detail?PublicationID=P20200703003", "https://ntsu.idm.oclc.org/login?url=https://www.airitibooks.com/Detail/Detail?PublicationID=P20200703003")</f>
        <v>https://ntsu.idm.oclc.org/login?url=https://www.airitibooks.com/Detail/Detail?PublicationID=P20200703003</v>
      </c>
    </row>
    <row r="150" spans="1:11" ht="51" x14ac:dyDescent="0.4">
      <c r="A150" s="10" t="s">
        <v>14401</v>
      </c>
      <c r="B150" s="10" t="s">
        <v>14402</v>
      </c>
      <c r="C150" s="10" t="s">
        <v>14403</v>
      </c>
      <c r="D150" s="10" t="s">
        <v>14404</v>
      </c>
      <c r="E150" s="10" t="s">
        <v>5998</v>
      </c>
      <c r="F150" s="10" t="s">
        <v>14405</v>
      </c>
      <c r="G150" s="10" t="s">
        <v>209</v>
      </c>
      <c r="H150" s="7" t="s">
        <v>24</v>
      </c>
      <c r="I150" s="7" t="s">
        <v>25</v>
      </c>
      <c r="J150" s="13" t="str">
        <f>HYPERLINK("https://www.airitibooks.com/Detail/Detail?PublicationID=P20200703016", "https://www.airitibooks.com/Detail/Detail?PublicationID=P20200703016")</f>
        <v>https://www.airitibooks.com/Detail/Detail?PublicationID=P20200703016</v>
      </c>
      <c r="K150" s="13" t="str">
        <f>HYPERLINK("https://ntsu.idm.oclc.org/login?url=https://www.airitibooks.com/Detail/Detail?PublicationID=P20200703016", "https://ntsu.idm.oclc.org/login?url=https://www.airitibooks.com/Detail/Detail?PublicationID=P20200703016")</f>
        <v>https://ntsu.idm.oclc.org/login?url=https://www.airitibooks.com/Detail/Detail?PublicationID=P20200703016</v>
      </c>
    </row>
    <row r="151" spans="1:11" ht="68" x14ac:dyDescent="0.4">
      <c r="A151" s="10" t="s">
        <v>13677</v>
      </c>
      <c r="B151" s="10" t="s">
        <v>13678</v>
      </c>
      <c r="C151" s="10" t="s">
        <v>791</v>
      </c>
      <c r="D151" s="10" t="s">
        <v>13679</v>
      </c>
      <c r="E151" s="10" t="s">
        <v>5998</v>
      </c>
      <c r="F151" s="10" t="s">
        <v>13680</v>
      </c>
      <c r="G151" s="10" t="s">
        <v>76</v>
      </c>
      <c r="H151" s="7" t="s">
        <v>24</v>
      </c>
      <c r="I151" s="7" t="s">
        <v>25</v>
      </c>
      <c r="J151" s="13" t="str">
        <f>HYPERLINK("https://www.airitibooks.com/Detail/Detail?PublicationID=P20200321128", "https://www.airitibooks.com/Detail/Detail?PublicationID=P20200321128")</f>
        <v>https://www.airitibooks.com/Detail/Detail?PublicationID=P20200321128</v>
      </c>
      <c r="K151" s="13" t="str">
        <f>HYPERLINK("https://ntsu.idm.oclc.org/login?url=https://www.airitibooks.com/Detail/Detail?PublicationID=P20200321128", "https://ntsu.idm.oclc.org/login?url=https://www.airitibooks.com/Detail/Detail?PublicationID=P20200321128")</f>
        <v>https://ntsu.idm.oclc.org/login?url=https://www.airitibooks.com/Detail/Detail?PublicationID=P20200321128</v>
      </c>
    </row>
    <row r="152" spans="1:11" ht="51" x14ac:dyDescent="0.4">
      <c r="A152" s="10" t="s">
        <v>13687</v>
      </c>
      <c r="B152" s="10" t="s">
        <v>13688</v>
      </c>
      <c r="C152" s="10" t="s">
        <v>791</v>
      </c>
      <c r="D152" s="10" t="s">
        <v>13689</v>
      </c>
      <c r="E152" s="10" t="s">
        <v>5998</v>
      </c>
      <c r="F152" s="10" t="s">
        <v>294</v>
      </c>
      <c r="G152" s="10" t="s">
        <v>76</v>
      </c>
      <c r="H152" s="7" t="s">
        <v>24</v>
      </c>
      <c r="I152" s="7" t="s">
        <v>25</v>
      </c>
      <c r="J152" s="13" t="str">
        <f>HYPERLINK("https://www.airitibooks.com/Detail/Detail?PublicationID=P20200321131", "https://www.airitibooks.com/Detail/Detail?PublicationID=P20200321131")</f>
        <v>https://www.airitibooks.com/Detail/Detail?PublicationID=P20200321131</v>
      </c>
      <c r="K152" s="13" t="str">
        <f>HYPERLINK("https://ntsu.idm.oclc.org/login?url=https://www.airitibooks.com/Detail/Detail?PublicationID=P20200321131", "https://ntsu.idm.oclc.org/login?url=https://www.airitibooks.com/Detail/Detail?PublicationID=P20200321131")</f>
        <v>https://ntsu.idm.oclc.org/login?url=https://www.airitibooks.com/Detail/Detail?PublicationID=P20200321131</v>
      </c>
    </row>
    <row r="153" spans="1:11" ht="102" x14ac:dyDescent="0.4">
      <c r="A153" s="10" t="s">
        <v>13702</v>
      </c>
      <c r="B153" s="10" t="s">
        <v>13703</v>
      </c>
      <c r="C153" s="10" t="s">
        <v>791</v>
      </c>
      <c r="D153" s="10" t="s">
        <v>13704</v>
      </c>
      <c r="E153" s="10" t="s">
        <v>5998</v>
      </c>
      <c r="F153" s="10" t="s">
        <v>294</v>
      </c>
      <c r="G153" s="10" t="s">
        <v>76</v>
      </c>
      <c r="H153" s="7" t="s">
        <v>24</v>
      </c>
      <c r="I153" s="7" t="s">
        <v>25</v>
      </c>
      <c r="J153" s="13" t="str">
        <f>HYPERLINK("https://www.airitibooks.com/Detail/Detail?PublicationID=P20200321136", "https://www.airitibooks.com/Detail/Detail?PublicationID=P20200321136")</f>
        <v>https://www.airitibooks.com/Detail/Detail?PublicationID=P20200321136</v>
      </c>
      <c r="K153" s="13" t="str">
        <f>HYPERLINK("https://ntsu.idm.oclc.org/login?url=https://www.airitibooks.com/Detail/Detail?PublicationID=P20200321136", "https://ntsu.idm.oclc.org/login?url=https://www.airitibooks.com/Detail/Detail?PublicationID=P20200321136")</f>
        <v>https://ntsu.idm.oclc.org/login?url=https://www.airitibooks.com/Detail/Detail?PublicationID=P20200321136</v>
      </c>
    </row>
    <row r="154" spans="1:11" ht="68" x14ac:dyDescent="0.4">
      <c r="A154" s="10" t="s">
        <v>13710</v>
      </c>
      <c r="B154" s="10" t="s">
        <v>13711</v>
      </c>
      <c r="C154" s="10" t="s">
        <v>791</v>
      </c>
      <c r="D154" s="10" t="s">
        <v>13712</v>
      </c>
      <c r="E154" s="10" t="s">
        <v>5998</v>
      </c>
      <c r="F154" s="10" t="s">
        <v>13713</v>
      </c>
      <c r="G154" s="10" t="s">
        <v>76</v>
      </c>
      <c r="H154" s="7" t="s">
        <v>24</v>
      </c>
      <c r="I154" s="7" t="s">
        <v>25</v>
      </c>
      <c r="J154" s="13" t="str">
        <f>HYPERLINK("https://www.airitibooks.com/Detail/Detail?PublicationID=P20200321139", "https://www.airitibooks.com/Detail/Detail?PublicationID=P20200321139")</f>
        <v>https://www.airitibooks.com/Detail/Detail?PublicationID=P20200321139</v>
      </c>
      <c r="K154" s="13" t="str">
        <f>HYPERLINK("https://ntsu.idm.oclc.org/login?url=https://www.airitibooks.com/Detail/Detail?PublicationID=P20200321139", "https://ntsu.idm.oclc.org/login?url=https://www.airitibooks.com/Detail/Detail?PublicationID=P20200321139")</f>
        <v>https://ntsu.idm.oclc.org/login?url=https://www.airitibooks.com/Detail/Detail?PublicationID=P20200321139</v>
      </c>
    </row>
    <row r="155" spans="1:11" ht="102" x14ac:dyDescent="0.4">
      <c r="A155" s="10" t="s">
        <v>13720</v>
      </c>
      <c r="B155" s="10" t="s">
        <v>13721</v>
      </c>
      <c r="C155" s="10" t="s">
        <v>12154</v>
      </c>
      <c r="D155" s="10" t="s">
        <v>13722</v>
      </c>
      <c r="E155" s="10" t="s">
        <v>5998</v>
      </c>
      <c r="F155" s="10" t="s">
        <v>13723</v>
      </c>
      <c r="G155" s="10" t="s">
        <v>76</v>
      </c>
      <c r="H155" s="7" t="s">
        <v>24</v>
      </c>
      <c r="I155" s="7" t="s">
        <v>25</v>
      </c>
      <c r="J155" s="13" t="str">
        <f>HYPERLINK("https://www.airitibooks.com/Detail/Detail?PublicationID=P20200321465", "https://www.airitibooks.com/Detail/Detail?PublicationID=P20200321465")</f>
        <v>https://www.airitibooks.com/Detail/Detail?PublicationID=P20200321465</v>
      </c>
      <c r="K155" s="13" t="str">
        <f>HYPERLINK("https://ntsu.idm.oclc.org/login?url=https://www.airitibooks.com/Detail/Detail?PublicationID=P20200321465", "https://ntsu.idm.oclc.org/login?url=https://www.airitibooks.com/Detail/Detail?PublicationID=P20200321465")</f>
        <v>https://ntsu.idm.oclc.org/login?url=https://www.airitibooks.com/Detail/Detail?PublicationID=P20200321465</v>
      </c>
    </row>
    <row r="156" spans="1:11" ht="102" x14ac:dyDescent="0.4">
      <c r="A156" s="10" t="s">
        <v>13727</v>
      </c>
      <c r="B156" s="10" t="s">
        <v>13728</v>
      </c>
      <c r="C156" s="10" t="s">
        <v>12154</v>
      </c>
      <c r="D156" s="10" t="s">
        <v>13729</v>
      </c>
      <c r="E156" s="10" t="s">
        <v>5998</v>
      </c>
      <c r="F156" s="10" t="s">
        <v>774</v>
      </c>
      <c r="G156" s="10" t="s">
        <v>76</v>
      </c>
      <c r="H156" s="7" t="s">
        <v>24</v>
      </c>
      <c r="I156" s="7" t="s">
        <v>25</v>
      </c>
      <c r="J156" s="13" t="str">
        <f>HYPERLINK("https://www.airitibooks.com/Detail/Detail?PublicationID=P20200321467", "https://www.airitibooks.com/Detail/Detail?PublicationID=P20200321467")</f>
        <v>https://www.airitibooks.com/Detail/Detail?PublicationID=P20200321467</v>
      </c>
      <c r="K156" s="13" t="str">
        <f>HYPERLINK("https://ntsu.idm.oclc.org/login?url=https://www.airitibooks.com/Detail/Detail?PublicationID=P20200321467", "https://ntsu.idm.oclc.org/login?url=https://www.airitibooks.com/Detail/Detail?PublicationID=P20200321467")</f>
        <v>https://ntsu.idm.oclc.org/login?url=https://www.airitibooks.com/Detail/Detail?PublicationID=P20200321467</v>
      </c>
    </row>
    <row r="157" spans="1:11" ht="51" x14ac:dyDescent="0.4">
      <c r="A157" s="10" t="s">
        <v>13763</v>
      </c>
      <c r="B157" s="10" t="s">
        <v>13764</v>
      </c>
      <c r="C157" s="10" t="s">
        <v>938</v>
      </c>
      <c r="D157" s="10" t="s">
        <v>4460</v>
      </c>
      <c r="E157" s="10" t="s">
        <v>5998</v>
      </c>
      <c r="F157" s="10" t="s">
        <v>105</v>
      </c>
      <c r="G157" s="10" t="s">
        <v>76</v>
      </c>
      <c r="H157" s="7" t="s">
        <v>24</v>
      </c>
      <c r="I157" s="7" t="s">
        <v>25</v>
      </c>
      <c r="J157" s="13" t="str">
        <f>HYPERLINK("https://www.airitibooks.com/Detail/Detail?PublicationID=P20200402010", "https://www.airitibooks.com/Detail/Detail?PublicationID=P20200402010")</f>
        <v>https://www.airitibooks.com/Detail/Detail?PublicationID=P20200402010</v>
      </c>
      <c r="K157" s="13" t="str">
        <f>HYPERLINK("https://ntsu.idm.oclc.org/login?url=https://www.airitibooks.com/Detail/Detail?PublicationID=P20200402010", "https://ntsu.idm.oclc.org/login?url=https://www.airitibooks.com/Detail/Detail?PublicationID=P20200402010")</f>
        <v>https://ntsu.idm.oclc.org/login?url=https://www.airitibooks.com/Detail/Detail?PublicationID=P20200402010</v>
      </c>
    </row>
    <row r="158" spans="1:11" ht="51" x14ac:dyDescent="0.4">
      <c r="A158" s="10" t="s">
        <v>13767</v>
      </c>
      <c r="B158" s="10" t="s">
        <v>13768</v>
      </c>
      <c r="C158" s="10" t="s">
        <v>938</v>
      </c>
      <c r="D158" s="10" t="s">
        <v>13769</v>
      </c>
      <c r="E158" s="10" t="s">
        <v>5998</v>
      </c>
      <c r="F158" s="10" t="s">
        <v>1078</v>
      </c>
      <c r="G158" s="10" t="s">
        <v>76</v>
      </c>
      <c r="H158" s="7" t="s">
        <v>24</v>
      </c>
      <c r="I158" s="7" t="s">
        <v>25</v>
      </c>
      <c r="J158" s="13" t="str">
        <f>HYPERLINK("https://www.airitibooks.com/Detail/Detail?PublicationID=P20200402017", "https://www.airitibooks.com/Detail/Detail?PublicationID=P20200402017")</f>
        <v>https://www.airitibooks.com/Detail/Detail?PublicationID=P20200402017</v>
      </c>
      <c r="K158" s="13" t="str">
        <f>HYPERLINK("https://ntsu.idm.oclc.org/login?url=https://www.airitibooks.com/Detail/Detail?PublicationID=P20200402017", "https://ntsu.idm.oclc.org/login?url=https://www.airitibooks.com/Detail/Detail?PublicationID=P20200402017")</f>
        <v>https://ntsu.idm.oclc.org/login?url=https://www.airitibooks.com/Detail/Detail?PublicationID=P20200402017</v>
      </c>
    </row>
    <row r="159" spans="1:11" ht="51" x14ac:dyDescent="0.4">
      <c r="A159" s="10" t="s">
        <v>8936</v>
      </c>
      <c r="B159" s="10" t="s">
        <v>13770</v>
      </c>
      <c r="C159" s="10" t="s">
        <v>938</v>
      </c>
      <c r="D159" s="10" t="s">
        <v>2880</v>
      </c>
      <c r="E159" s="10" t="s">
        <v>5998</v>
      </c>
      <c r="F159" s="10" t="s">
        <v>5277</v>
      </c>
      <c r="G159" s="10" t="s">
        <v>76</v>
      </c>
      <c r="H159" s="7" t="s">
        <v>24</v>
      </c>
      <c r="I159" s="7" t="s">
        <v>25</v>
      </c>
      <c r="J159" s="13" t="str">
        <f>HYPERLINK("https://www.airitibooks.com/Detail/Detail?PublicationID=P20200402018", "https://www.airitibooks.com/Detail/Detail?PublicationID=P20200402018")</f>
        <v>https://www.airitibooks.com/Detail/Detail?PublicationID=P20200402018</v>
      </c>
      <c r="K159" s="13" t="str">
        <f>HYPERLINK("https://ntsu.idm.oclc.org/login?url=https://www.airitibooks.com/Detail/Detail?PublicationID=P20200402018", "https://ntsu.idm.oclc.org/login?url=https://www.airitibooks.com/Detail/Detail?PublicationID=P20200402018")</f>
        <v>https://ntsu.idm.oclc.org/login?url=https://www.airitibooks.com/Detail/Detail?PublicationID=P20200402018</v>
      </c>
    </row>
    <row r="160" spans="1:11" ht="51" x14ac:dyDescent="0.4">
      <c r="A160" s="10" t="s">
        <v>13771</v>
      </c>
      <c r="B160" s="10" t="s">
        <v>13772</v>
      </c>
      <c r="C160" s="10" t="s">
        <v>938</v>
      </c>
      <c r="D160" s="10" t="s">
        <v>4460</v>
      </c>
      <c r="E160" s="10" t="s">
        <v>5998</v>
      </c>
      <c r="F160" s="10" t="s">
        <v>105</v>
      </c>
      <c r="G160" s="10" t="s">
        <v>76</v>
      </c>
      <c r="H160" s="7" t="s">
        <v>24</v>
      </c>
      <c r="I160" s="7" t="s">
        <v>25</v>
      </c>
      <c r="J160" s="13" t="str">
        <f>HYPERLINK("https://www.airitibooks.com/Detail/Detail?PublicationID=P20200402020", "https://www.airitibooks.com/Detail/Detail?PublicationID=P20200402020")</f>
        <v>https://www.airitibooks.com/Detail/Detail?PublicationID=P20200402020</v>
      </c>
      <c r="K160" s="13" t="str">
        <f>HYPERLINK("https://ntsu.idm.oclc.org/login?url=https://www.airitibooks.com/Detail/Detail?PublicationID=P20200402020", "https://ntsu.idm.oclc.org/login?url=https://www.airitibooks.com/Detail/Detail?PublicationID=P20200402020")</f>
        <v>https://ntsu.idm.oclc.org/login?url=https://www.airitibooks.com/Detail/Detail?PublicationID=P20200402020</v>
      </c>
    </row>
    <row r="161" spans="1:11" ht="51" x14ac:dyDescent="0.4">
      <c r="A161" s="10" t="s">
        <v>8924</v>
      </c>
      <c r="B161" s="10" t="s">
        <v>13783</v>
      </c>
      <c r="C161" s="10" t="s">
        <v>938</v>
      </c>
      <c r="D161" s="10" t="s">
        <v>2487</v>
      </c>
      <c r="E161" s="10" t="s">
        <v>5998</v>
      </c>
      <c r="F161" s="10" t="s">
        <v>1078</v>
      </c>
      <c r="G161" s="10" t="s">
        <v>76</v>
      </c>
      <c r="H161" s="7" t="s">
        <v>24</v>
      </c>
      <c r="I161" s="7" t="s">
        <v>25</v>
      </c>
      <c r="J161" s="13" t="str">
        <f>HYPERLINK("https://www.airitibooks.com/Detail/Detail?PublicationID=P20200402031", "https://www.airitibooks.com/Detail/Detail?PublicationID=P20200402031")</f>
        <v>https://www.airitibooks.com/Detail/Detail?PublicationID=P20200402031</v>
      </c>
      <c r="K161" s="13" t="str">
        <f>HYPERLINK("https://ntsu.idm.oclc.org/login?url=https://www.airitibooks.com/Detail/Detail?PublicationID=P20200402031", "https://ntsu.idm.oclc.org/login?url=https://www.airitibooks.com/Detail/Detail?PublicationID=P20200402031")</f>
        <v>https://ntsu.idm.oclc.org/login?url=https://www.airitibooks.com/Detail/Detail?PublicationID=P20200402031</v>
      </c>
    </row>
    <row r="162" spans="1:11" ht="51" x14ac:dyDescent="0.4">
      <c r="A162" s="10" t="s">
        <v>13784</v>
      </c>
      <c r="B162" s="10" t="s">
        <v>13785</v>
      </c>
      <c r="C162" s="10" t="s">
        <v>938</v>
      </c>
      <c r="D162" s="10" t="s">
        <v>13786</v>
      </c>
      <c r="E162" s="10" t="s">
        <v>5998</v>
      </c>
      <c r="F162" s="10" t="s">
        <v>2898</v>
      </c>
      <c r="G162" s="10" t="s">
        <v>76</v>
      </c>
      <c r="H162" s="7" t="s">
        <v>24</v>
      </c>
      <c r="I162" s="7" t="s">
        <v>25</v>
      </c>
      <c r="J162" s="13" t="str">
        <f>HYPERLINK("https://www.airitibooks.com/Detail/Detail?PublicationID=P20200402044", "https://www.airitibooks.com/Detail/Detail?PublicationID=P20200402044")</f>
        <v>https://www.airitibooks.com/Detail/Detail?PublicationID=P20200402044</v>
      </c>
      <c r="K162" s="13" t="str">
        <f>HYPERLINK("https://ntsu.idm.oclc.org/login?url=https://www.airitibooks.com/Detail/Detail?PublicationID=P20200402044", "https://ntsu.idm.oclc.org/login?url=https://www.airitibooks.com/Detail/Detail?PublicationID=P20200402044")</f>
        <v>https://ntsu.idm.oclc.org/login?url=https://www.airitibooks.com/Detail/Detail?PublicationID=P20200402044</v>
      </c>
    </row>
    <row r="163" spans="1:11" ht="51" x14ac:dyDescent="0.4">
      <c r="A163" s="10" t="s">
        <v>13796</v>
      </c>
      <c r="B163" s="10" t="s">
        <v>13797</v>
      </c>
      <c r="C163" s="10" t="s">
        <v>1034</v>
      </c>
      <c r="D163" s="10" t="s">
        <v>4926</v>
      </c>
      <c r="E163" s="10" t="s">
        <v>5998</v>
      </c>
      <c r="F163" s="10" t="s">
        <v>632</v>
      </c>
      <c r="G163" s="10" t="s">
        <v>76</v>
      </c>
      <c r="H163" s="7" t="s">
        <v>24</v>
      </c>
      <c r="I163" s="7" t="s">
        <v>25</v>
      </c>
      <c r="J163" s="13" t="str">
        <f>HYPERLINK("https://www.airitibooks.com/Detail/Detail?PublicationID=P20200402371", "https://www.airitibooks.com/Detail/Detail?PublicationID=P20200402371")</f>
        <v>https://www.airitibooks.com/Detail/Detail?PublicationID=P20200402371</v>
      </c>
      <c r="K163" s="13" t="str">
        <f>HYPERLINK("https://ntsu.idm.oclc.org/login?url=https://www.airitibooks.com/Detail/Detail?PublicationID=P20200402371", "https://ntsu.idm.oclc.org/login?url=https://www.airitibooks.com/Detail/Detail?PublicationID=P20200402371")</f>
        <v>https://ntsu.idm.oclc.org/login?url=https://www.airitibooks.com/Detail/Detail?PublicationID=P20200402371</v>
      </c>
    </row>
    <row r="164" spans="1:11" ht="51" x14ac:dyDescent="0.4">
      <c r="A164" s="10" t="s">
        <v>13807</v>
      </c>
      <c r="B164" s="10" t="s">
        <v>13808</v>
      </c>
      <c r="C164" s="10" t="s">
        <v>1034</v>
      </c>
      <c r="D164" s="10" t="s">
        <v>4912</v>
      </c>
      <c r="E164" s="10" t="s">
        <v>5998</v>
      </c>
      <c r="F164" s="10" t="s">
        <v>104</v>
      </c>
      <c r="G164" s="10" t="s">
        <v>76</v>
      </c>
      <c r="H164" s="7" t="s">
        <v>24</v>
      </c>
      <c r="I164" s="7" t="s">
        <v>25</v>
      </c>
      <c r="J164" s="13" t="str">
        <f>HYPERLINK("https://www.airitibooks.com/Detail/Detail?PublicationID=P20200402382", "https://www.airitibooks.com/Detail/Detail?PublicationID=P20200402382")</f>
        <v>https://www.airitibooks.com/Detail/Detail?PublicationID=P20200402382</v>
      </c>
      <c r="K164" s="13" t="str">
        <f>HYPERLINK("https://ntsu.idm.oclc.org/login?url=https://www.airitibooks.com/Detail/Detail?PublicationID=P20200402382", "https://ntsu.idm.oclc.org/login?url=https://www.airitibooks.com/Detail/Detail?PublicationID=P20200402382")</f>
        <v>https://ntsu.idm.oclc.org/login?url=https://www.airitibooks.com/Detail/Detail?PublicationID=P20200402382</v>
      </c>
    </row>
    <row r="165" spans="1:11" ht="51" x14ac:dyDescent="0.4">
      <c r="A165" s="10" t="s">
        <v>10691</v>
      </c>
      <c r="B165" s="10" t="s">
        <v>13809</v>
      </c>
      <c r="C165" s="10" t="s">
        <v>1034</v>
      </c>
      <c r="D165" s="10" t="s">
        <v>10693</v>
      </c>
      <c r="E165" s="10" t="s">
        <v>5998</v>
      </c>
      <c r="F165" s="10" t="s">
        <v>2874</v>
      </c>
      <c r="G165" s="10" t="s">
        <v>76</v>
      </c>
      <c r="H165" s="7" t="s">
        <v>24</v>
      </c>
      <c r="I165" s="7" t="s">
        <v>25</v>
      </c>
      <c r="J165" s="13" t="str">
        <f>HYPERLINK("https://www.airitibooks.com/Detail/Detail?PublicationID=P20200402383", "https://www.airitibooks.com/Detail/Detail?PublicationID=P20200402383")</f>
        <v>https://www.airitibooks.com/Detail/Detail?PublicationID=P20200402383</v>
      </c>
      <c r="K165" s="13" t="str">
        <f>HYPERLINK("https://ntsu.idm.oclc.org/login?url=https://www.airitibooks.com/Detail/Detail?PublicationID=P20200402383", "https://ntsu.idm.oclc.org/login?url=https://www.airitibooks.com/Detail/Detail?PublicationID=P20200402383")</f>
        <v>https://ntsu.idm.oclc.org/login?url=https://www.airitibooks.com/Detail/Detail?PublicationID=P20200402383</v>
      </c>
    </row>
    <row r="166" spans="1:11" ht="51" x14ac:dyDescent="0.4">
      <c r="A166" s="10" t="s">
        <v>13810</v>
      </c>
      <c r="B166" s="10" t="s">
        <v>13811</v>
      </c>
      <c r="C166" s="10" t="s">
        <v>1034</v>
      </c>
      <c r="D166" s="10" t="s">
        <v>13812</v>
      </c>
      <c r="E166" s="10" t="s">
        <v>5998</v>
      </c>
      <c r="F166" s="10" t="s">
        <v>8256</v>
      </c>
      <c r="G166" s="10" t="s">
        <v>76</v>
      </c>
      <c r="H166" s="7" t="s">
        <v>24</v>
      </c>
      <c r="I166" s="7" t="s">
        <v>25</v>
      </c>
      <c r="J166" s="13" t="str">
        <f>HYPERLINK("https://www.airitibooks.com/Detail/Detail?PublicationID=P20200402386", "https://www.airitibooks.com/Detail/Detail?PublicationID=P20200402386")</f>
        <v>https://www.airitibooks.com/Detail/Detail?PublicationID=P20200402386</v>
      </c>
      <c r="K166" s="13" t="str">
        <f>HYPERLINK("https://ntsu.idm.oclc.org/login?url=https://www.airitibooks.com/Detail/Detail?PublicationID=P20200402386", "https://ntsu.idm.oclc.org/login?url=https://www.airitibooks.com/Detail/Detail?PublicationID=P20200402386")</f>
        <v>https://ntsu.idm.oclc.org/login?url=https://www.airitibooks.com/Detail/Detail?PublicationID=P20200402386</v>
      </c>
    </row>
    <row r="167" spans="1:11" ht="51" x14ac:dyDescent="0.4">
      <c r="A167" s="10" t="s">
        <v>13813</v>
      </c>
      <c r="B167" s="10" t="s">
        <v>13814</v>
      </c>
      <c r="C167" s="10" t="s">
        <v>1034</v>
      </c>
      <c r="D167" s="10" t="s">
        <v>4912</v>
      </c>
      <c r="E167" s="10" t="s">
        <v>5998</v>
      </c>
      <c r="F167" s="10" t="s">
        <v>2871</v>
      </c>
      <c r="G167" s="10" t="s">
        <v>76</v>
      </c>
      <c r="H167" s="7" t="s">
        <v>24</v>
      </c>
      <c r="I167" s="7" t="s">
        <v>25</v>
      </c>
      <c r="J167" s="13" t="str">
        <f>HYPERLINK("https://www.airitibooks.com/Detail/Detail?PublicationID=P20200402389", "https://www.airitibooks.com/Detail/Detail?PublicationID=P20200402389")</f>
        <v>https://www.airitibooks.com/Detail/Detail?PublicationID=P20200402389</v>
      </c>
      <c r="K167" s="13" t="str">
        <f>HYPERLINK("https://ntsu.idm.oclc.org/login?url=https://www.airitibooks.com/Detail/Detail?PublicationID=P20200402389", "https://ntsu.idm.oclc.org/login?url=https://www.airitibooks.com/Detail/Detail?PublicationID=P20200402389")</f>
        <v>https://ntsu.idm.oclc.org/login?url=https://www.airitibooks.com/Detail/Detail?PublicationID=P20200402389</v>
      </c>
    </row>
    <row r="168" spans="1:11" ht="51" x14ac:dyDescent="0.4">
      <c r="A168" s="10" t="s">
        <v>10896</v>
      </c>
      <c r="B168" s="10" t="s">
        <v>13815</v>
      </c>
      <c r="C168" s="10" t="s">
        <v>1034</v>
      </c>
      <c r="D168" s="10" t="s">
        <v>10898</v>
      </c>
      <c r="E168" s="10" t="s">
        <v>5998</v>
      </c>
      <c r="F168" s="10" t="s">
        <v>105</v>
      </c>
      <c r="G168" s="10" t="s">
        <v>76</v>
      </c>
      <c r="H168" s="7" t="s">
        <v>24</v>
      </c>
      <c r="I168" s="7" t="s">
        <v>25</v>
      </c>
      <c r="J168" s="13" t="str">
        <f>HYPERLINK("https://www.airitibooks.com/Detail/Detail?PublicationID=P20200402390", "https://www.airitibooks.com/Detail/Detail?PublicationID=P20200402390")</f>
        <v>https://www.airitibooks.com/Detail/Detail?PublicationID=P20200402390</v>
      </c>
      <c r="K168" s="13" t="str">
        <f>HYPERLINK("https://ntsu.idm.oclc.org/login?url=https://www.airitibooks.com/Detail/Detail?PublicationID=P20200402390", "https://ntsu.idm.oclc.org/login?url=https://www.airitibooks.com/Detail/Detail?PublicationID=P20200402390")</f>
        <v>https://ntsu.idm.oclc.org/login?url=https://www.airitibooks.com/Detail/Detail?PublicationID=P20200402390</v>
      </c>
    </row>
    <row r="169" spans="1:11" ht="51" x14ac:dyDescent="0.4">
      <c r="A169" s="10" t="s">
        <v>13816</v>
      </c>
      <c r="B169" s="10" t="s">
        <v>13817</v>
      </c>
      <c r="C169" s="10" t="s">
        <v>1034</v>
      </c>
      <c r="D169" s="10" t="s">
        <v>13818</v>
      </c>
      <c r="E169" s="10" t="s">
        <v>5998</v>
      </c>
      <c r="F169" s="10" t="s">
        <v>632</v>
      </c>
      <c r="G169" s="10" t="s">
        <v>76</v>
      </c>
      <c r="H169" s="7" t="s">
        <v>24</v>
      </c>
      <c r="I169" s="7" t="s">
        <v>25</v>
      </c>
      <c r="J169" s="13" t="str">
        <f>HYPERLINK("https://www.airitibooks.com/Detail/Detail?PublicationID=P20200402391", "https://www.airitibooks.com/Detail/Detail?PublicationID=P20200402391")</f>
        <v>https://www.airitibooks.com/Detail/Detail?PublicationID=P20200402391</v>
      </c>
      <c r="K169" s="13" t="str">
        <f>HYPERLINK("https://ntsu.idm.oclc.org/login?url=https://www.airitibooks.com/Detail/Detail?PublicationID=P20200402391", "https://ntsu.idm.oclc.org/login?url=https://www.airitibooks.com/Detail/Detail?PublicationID=P20200402391")</f>
        <v>https://ntsu.idm.oclc.org/login?url=https://www.airitibooks.com/Detail/Detail?PublicationID=P20200402391</v>
      </c>
    </row>
    <row r="170" spans="1:11" ht="51" x14ac:dyDescent="0.4">
      <c r="A170" s="10" t="s">
        <v>13821</v>
      </c>
      <c r="B170" s="10" t="s">
        <v>13822</v>
      </c>
      <c r="C170" s="10" t="s">
        <v>240</v>
      </c>
      <c r="D170" s="10" t="s">
        <v>13823</v>
      </c>
      <c r="E170" s="10" t="s">
        <v>5998</v>
      </c>
      <c r="F170" s="10" t="s">
        <v>3148</v>
      </c>
      <c r="G170" s="10" t="s">
        <v>76</v>
      </c>
      <c r="H170" s="7" t="s">
        <v>24</v>
      </c>
      <c r="I170" s="7" t="s">
        <v>25</v>
      </c>
      <c r="J170" s="13" t="str">
        <f>HYPERLINK("https://www.airitibooks.com/Detail/Detail?PublicationID=P20200402401", "https://www.airitibooks.com/Detail/Detail?PublicationID=P20200402401")</f>
        <v>https://www.airitibooks.com/Detail/Detail?PublicationID=P20200402401</v>
      </c>
      <c r="K170" s="13" t="str">
        <f>HYPERLINK("https://ntsu.idm.oclc.org/login?url=https://www.airitibooks.com/Detail/Detail?PublicationID=P20200402401", "https://ntsu.idm.oclc.org/login?url=https://www.airitibooks.com/Detail/Detail?PublicationID=P20200402401")</f>
        <v>https://ntsu.idm.oclc.org/login?url=https://www.airitibooks.com/Detail/Detail?PublicationID=P20200402401</v>
      </c>
    </row>
    <row r="171" spans="1:11" ht="51" x14ac:dyDescent="0.4">
      <c r="A171" s="10" t="s">
        <v>13833</v>
      </c>
      <c r="B171" s="10" t="s">
        <v>13834</v>
      </c>
      <c r="C171" s="10" t="s">
        <v>240</v>
      </c>
      <c r="D171" s="10" t="s">
        <v>13835</v>
      </c>
      <c r="E171" s="10" t="s">
        <v>5998</v>
      </c>
      <c r="F171" s="10" t="s">
        <v>13836</v>
      </c>
      <c r="G171" s="10" t="s">
        <v>76</v>
      </c>
      <c r="H171" s="7" t="s">
        <v>24</v>
      </c>
      <c r="I171" s="7" t="s">
        <v>25</v>
      </c>
      <c r="J171" s="13" t="str">
        <f>HYPERLINK("https://www.airitibooks.com/Detail/Detail?PublicationID=P20200402408", "https://www.airitibooks.com/Detail/Detail?PublicationID=P20200402408")</f>
        <v>https://www.airitibooks.com/Detail/Detail?PublicationID=P20200402408</v>
      </c>
      <c r="K171" s="13" t="str">
        <f>HYPERLINK("https://ntsu.idm.oclc.org/login?url=https://www.airitibooks.com/Detail/Detail?PublicationID=P20200402408", "https://ntsu.idm.oclc.org/login?url=https://www.airitibooks.com/Detail/Detail?PublicationID=P20200402408")</f>
        <v>https://ntsu.idm.oclc.org/login?url=https://www.airitibooks.com/Detail/Detail?PublicationID=P20200402408</v>
      </c>
    </row>
    <row r="172" spans="1:11" ht="51" x14ac:dyDescent="0.4">
      <c r="A172" s="10" t="s">
        <v>13841</v>
      </c>
      <c r="B172" s="10" t="s">
        <v>13842</v>
      </c>
      <c r="C172" s="10" t="s">
        <v>938</v>
      </c>
      <c r="D172" s="10" t="s">
        <v>13843</v>
      </c>
      <c r="E172" s="10" t="s">
        <v>5998</v>
      </c>
      <c r="F172" s="10" t="s">
        <v>13844</v>
      </c>
      <c r="G172" s="10" t="s">
        <v>76</v>
      </c>
      <c r="H172" s="7" t="s">
        <v>24</v>
      </c>
      <c r="I172" s="7" t="s">
        <v>25</v>
      </c>
      <c r="J172" s="13" t="str">
        <f>HYPERLINK("https://www.airitibooks.com/Detail/Detail?PublicationID=P20200413013", "https://www.airitibooks.com/Detail/Detail?PublicationID=P20200413013")</f>
        <v>https://www.airitibooks.com/Detail/Detail?PublicationID=P20200413013</v>
      </c>
      <c r="K172" s="13" t="str">
        <f>HYPERLINK("https://ntsu.idm.oclc.org/login?url=https://www.airitibooks.com/Detail/Detail?PublicationID=P20200413013", "https://ntsu.idm.oclc.org/login?url=https://www.airitibooks.com/Detail/Detail?PublicationID=P20200413013")</f>
        <v>https://ntsu.idm.oclc.org/login?url=https://www.airitibooks.com/Detail/Detail?PublicationID=P20200413013</v>
      </c>
    </row>
    <row r="173" spans="1:11" ht="51" x14ac:dyDescent="0.4">
      <c r="A173" s="10" t="s">
        <v>13845</v>
      </c>
      <c r="B173" s="10" t="s">
        <v>13846</v>
      </c>
      <c r="C173" s="10" t="s">
        <v>938</v>
      </c>
      <c r="D173" s="10" t="s">
        <v>4563</v>
      </c>
      <c r="E173" s="10" t="s">
        <v>5998</v>
      </c>
      <c r="F173" s="10" t="s">
        <v>13847</v>
      </c>
      <c r="G173" s="10" t="s">
        <v>76</v>
      </c>
      <c r="H173" s="7" t="s">
        <v>24</v>
      </c>
      <c r="I173" s="7" t="s">
        <v>25</v>
      </c>
      <c r="J173" s="13" t="str">
        <f>HYPERLINK("https://www.airitibooks.com/Detail/Detail?PublicationID=P20200413016", "https://www.airitibooks.com/Detail/Detail?PublicationID=P20200413016")</f>
        <v>https://www.airitibooks.com/Detail/Detail?PublicationID=P20200413016</v>
      </c>
      <c r="K173" s="13" t="str">
        <f>HYPERLINK("https://ntsu.idm.oclc.org/login?url=https://www.airitibooks.com/Detail/Detail?PublicationID=P20200413016", "https://ntsu.idm.oclc.org/login?url=https://www.airitibooks.com/Detail/Detail?PublicationID=P20200413016")</f>
        <v>https://ntsu.idm.oclc.org/login?url=https://www.airitibooks.com/Detail/Detail?PublicationID=P20200413016</v>
      </c>
    </row>
    <row r="174" spans="1:11" ht="51" x14ac:dyDescent="0.4">
      <c r="A174" s="10" t="s">
        <v>13848</v>
      </c>
      <c r="B174" s="10" t="s">
        <v>13849</v>
      </c>
      <c r="C174" s="10" t="s">
        <v>938</v>
      </c>
      <c r="D174" s="10" t="s">
        <v>4563</v>
      </c>
      <c r="E174" s="10" t="s">
        <v>5998</v>
      </c>
      <c r="F174" s="10" t="s">
        <v>632</v>
      </c>
      <c r="G174" s="10" t="s">
        <v>76</v>
      </c>
      <c r="H174" s="7" t="s">
        <v>24</v>
      </c>
      <c r="I174" s="7" t="s">
        <v>25</v>
      </c>
      <c r="J174" s="13" t="str">
        <f>HYPERLINK("https://www.airitibooks.com/Detail/Detail?PublicationID=P20200413017", "https://www.airitibooks.com/Detail/Detail?PublicationID=P20200413017")</f>
        <v>https://www.airitibooks.com/Detail/Detail?PublicationID=P20200413017</v>
      </c>
      <c r="K174" s="13" t="str">
        <f>HYPERLINK("https://ntsu.idm.oclc.org/login?url=https://www.airitibooks.com/Detail/Detail?PublicationID=P20200413017", "https://ntsu.idm.oclc.org/login?url=https://www.airitibooks.com/Detail/Detail?PublicationID=P20200413017")</f>
        <v>https://ntsu.idm.oclc.org/login?url=https://www.airitibooks.com/Detail/Detail?PublicationID=P20200413017</v>
      </c>
    </row>
    <row r="175" spans="1:11" ht="51" x14ac:dyDescent="0.4">
      <c r="A175" s="10" t="s">
        <v>13850</v>
      </c>
      <c r="B175" s="10" t="s">
        <v>13851</v>
      </c>
      <c r="C175" s="10" t="s">
        <v>938</v>
      </c>
      <c r="D175" s="10" t="s">
        <v>5477</v>
      </c>
      <c r="E175" s="10" t="s">
        <v>5998</v>
      </c>
      <c r="F175" s="10" t="s">
        <v>632</v>
      </c>
      <c r="G175" s="10" t="s">
        <v>76</v>
      </c>
      <c r="H175" s="7" t="s">
        <v>24</v>
      </c>
      <c r="I175" s="7" t="s">
        <v>25</v>
      </c>
      <c r="J175" s="13" t="str">
        <f>HYPERLINK("https://www.airitibooks.com/Detail/Detail?PublicationID=P20200413018", "https://www.airitibooks.com/Detail/Detail?PublicationID=P20200413018")</f>
        <v>https://www.airitibooks.com/Detail/Detail?PublicationID=P20200413018</v>
      </c>
      <c r="K175" s="13" t="str">
        <f>HYPERLINK("https://ntsu.idm.oclc.org/login?url=https://www.airitibooks.com/Detail/Detail?PublicationID=P20200413018", "https://ntsu.idm.oclc.org/login?url=https://www.airitibooks.com/Detail/Detail?PublicationID=P20200413018")</f>
        <v>https://ntsu.idm.oclc.org/login?url=https://www.airitibooks.com/Detail/Detail?PublicationID=P20200413018</v>
      </c>
    </row>
    <row r="176" spans="1:11" ht="51" x14ac:dyDescent="0.4">
      <c r="A176" s="10" t="s">
        <v>13852</v>
      </c>
      <c r="B176" s="10" t="s">
        <v>13853</v>
      </c>
      <c r="C176" s="10" t="s">
        <v>938</v>
      </c>
      <c r="D176" s="10" t="s">
        <v>5474</v>
      </c>
      <c r="E176" s="10" t="s">
        <v>5998</v>
      </c>
      <c r="F176" s="10" t="s">
        <v>632</v>
      </c>
      <c r="G176" s="10" t="s">
        <v>76</v>
      </c>
      <c r="H176" s="7" t="s">
        <v>24</v>
      </c>
      <c r="I176" s="7" t="s">
        <v>25</v>
      </c>
      <c r="J176" s="13" t="str">
        <f>HYPERLINK("https://www.airitibooks.com/Detail/Detail?PublicationID=P20200413019", "https://www.airitibooks.com/Detail/Detail?PublicationID=P20200413019")</f>
        <v>https://www.airitibooks.com/Detail/Detail?PublicationID=P20200413019</v>
      </c>
      <c r="K176" s="13" t="str">
        <f>HYPERLINK("https://ntsu.idm.oclc.org/login?url=https://www.airitibooks.com/Detail/Detail?PublicationID=P20200413019", "https://ntsu.idm.oclc.org/login?url=https://www.airitibooks.com/Detail/Detail?PublicationID=P20200413019")</f>
        <v>https://ntsu.idm.oclc.org/login?url=https://www.airitibooks.com/Detail/Detail?PublicationID=P20200413019</v>
      </c>
    </row>
    <row r="177" spans="1:11" ht="51" x14ac:dyDescent="0.4">
      <c r="A177" s="10" t="s">
        <v>13887</v>
      </c>
      <c r="B177" s="10" t="s">
        <v>13888</v>
      </c>
      <c r="C177" s="10" t="s">
        <v>12154</v>
      </c>
      <c r="D177" s="10" t="s">
        <v>13889</v>
      </c>
      <c r="E177" s="10" t="s">
        <v>5998</v>
      </c>
      <c r="F177" s="10" t="s">
        <v>13890</v>
      </c>
      <c r="G177" s="10" t="s">
        <v>76</v>
      </c>
      <c r="H177" s="7" t="s">
        <v>24</v>
      </c>
      <c r="I177" s="7" t="s">
        <v>25</v>
      </c>
      <c r="J177" s="13" t="str">
        <f>HYPERLINK("https://www.airitibooks.com/Detail/Detail?PublicationID=P20200417377", "https://www.airitibooks.com/Detail/Detail?PublicationID=P20200417377")</f>
        <v>https://www.airitibooks.com/Detail/Detail?PublicationID=P20200417377</v>
      </c>
      <c r="K177" s="13" t="str">
        <f>HYPERLINK("https://ntsu.idm.oclc.org/login?url=https://www.airitibooks.com/Detail/Detail?PublicationID=P20200417377", "https://ntsu.idm.oclc.org/login?url=https://www.airitibooks.com/Detail/Detail?PublicationID=P20200417377")</f>
        <v>https://ntsu.idm.oclc.org/login?url=https://www.airitibooks.com/Detail/Detail?PublicationID=P20200417377</v>
      </c>
    </row>
    <row r="178" spans="1:11" ht="51" x14ac:dyDescent="0.4">
      <c r="A178" s="10" t="s">
        <v>14060</v>
      </c>
      <c r="B178" s="10" t="s">
        <v>14061</v>
      </c>
      <c r="C178" s="10" t="s">
        <v>3705</v>
      </c>
      <c r="D178" s="10" t="s">
        <v>14062</v>
      </c>
      <c r="E178" s="10" t="s">
        <v>5998</v>
      </c>
      <c r="F178" s="10" t="s">
        <v>1884</v>
      </c>
      <c r="G178" s="10" t="s">
        <v>76</v>
      </c>
      <c r="H178" s="7" t="s">
        <v>24</v>
      </c>
      <c r="I178" s="7" t="s">
        <v>25</v>
      </c>
      <c r="J178" s="13" t="str">
        <f>HYPERLINK("https://www.airitibooks.com/Detail/Detail?PublicationID=P20200430236", "https://www.airitibooks.com/Detail/Detail?PublicationID=P20200430236")</f>
        <v>https://www.airitibooks.com/Detail/Detail?PublicationID=P20200430236</v>
      </c>
      <c r="K178" s="13" t="str">
        <f>HYPERLINK("https://ntsu.idm.oclc.org/login?url=https://www.airitibooks.com/Detail/Detail?PublicationID=P20200430236", "https://ntsu.idm.oclc.org/login?url=https://www.airitibooks.com/Detail/Detail?PublicationID=P20200430236")</f>
        <v>https://ntsu.idm.oclc.org/login?url=https://www.airitibooks.com/Detail/Detail?PublicationID=P20200430236</v>
      </c>
    </row>
    <row r="179" spans="1:11" ht="51" x14ac:dyDescent="0.4">
      <c r="A179" s="10" t="s">
        <v>14243</v>
      </c>
      <c r="B179" s="10" t="s">
        <v>14244</v>
      </c>
      <c r="C179" s="10" t="s">
        <v>11995</v>
      </c>
      <c r="D179" s="10" t="s">
        <v>14245</v>
      </c>
      <c r="E179" s="10" t="s">
        <v>5998</v>
      </c>
      <c r="F179" s="10" t="s">
        <v>13188</v>
      </c>
      <c r="G179" s="10" t="s">
        <v>76</v>
      </c>
      <c r="H179" s="7" t="s">
        <v>24</v>
      </c>
      <c r="I179" s="7" t="s">
        <v>25</v>
      </c>
      <c r="J179" s="13" t="str">
        <f>HYPERLINK("https://www.airitibooks.com/Detail/Detail?PublicationID=P20200521222", "https://www.airitibooks.com/Detail/Detail?PublicationID=P20200521222")</f>
        <v>https://www.airitibooks.com/Detail/Detail?PublicationID=P20200521222</v>
      </c>
      <c r="K179" s="13" t="str">
        <f>HYPERLINK("https://ntsu.idm.oclc.org/login?url=https://www.airitibooks.com/Detail/Detail?PublicationID=P20200521222", "https://ntsu.idm.oclc.org/login?url=https://www.airitibooks.com/Detail/Detail?PublicationID=P20200521222")</f>
        <v>https://ntsu.idm.oclc.org/login?url=https://www.airitibooks.com/Detail/Detail?PublicationID=P20200521222</v>
      </c>
    </row>
    <row r="180" spans="1:11" ht="102" x14ac:dyDescent="0.4">
      <c r="A180" s="10" t="s">
        <v>14284</v>
      </c>
      <c r="B180" s="10" t="s">
        <v>14285</v>
      </c>
      <c r="C180" s="10" t="s">
        <v>791</v>
      </c>
      <c r="D180" s="10" t="s">
        <v>14286</v>
      </c>
      <c r="E180" s="10" t="s">
        <v>5998</v>
      </c>
      <c r="F180" s="10" t="s">
        <v>1078</v>
      </c>
      <c r="G180" s="10" t="s">
        <v>76</v>
      </c>
      <c r="H180" s="7" t="s">
        <v>24</v>
      </c>
      <c r="I180" s="7" t="s">
        <v>25</v>
      </c>
      <c r="J180" s="13" t="str">
        <f>HYPERLINK("https://www.airitibooks.com/Detail/Detail?PublicationID=P20200605011", "https://www.airitibooks.com/Detail/Detail?PublicationID=P20200605011")</f>
        <v>https://www.airitibooks.com/Detail/Detail?PublicationID=P20200605011</v>
      </c>
      <c r="K180" s="13" t="str">
        <f>HYPERLINK("https://ntsu.idm.oclc.org/login?url=https://www.airitibooks.com/Detail/Detail?PublicationID=P20200605011", "https://ntsu.idm.oclc.org/login?url=https://www.airitibooks.com/Detail/Detail?PublicationID=P20200605011")</f>
        <v>https://ntsu.idm.oclc.org/login?url=https://www.airitibooks.com/Detail/Detail?PublicationID=P20200605011</v>
      </c>
    </row>
    <row r="181" spans="1:11" ht="119" x14ac:dyDescent="0.4">
      <c r="A181" s="10" t="s">
        <v>14302</v>
      </c>
      <c r="B181" s="10" t="s">
        <v>14303</v>
      </c>
      <c r="C181" s="10" t="s">
        <v>12154</v>
      </c>
      <c r="D181" s="10" t="s">
        <v>14304</v>
      </c>
      <c r="E181" s="10" t="s">
        <v>5998</v>
      </c>
      <c r="F181" s="10" t="s">
        <v>14305</v>
      </c>
      <c r="G181" s="10" t="s">
        <v>76</v>
      </c>
      <c r="H181" s="7" t="s">
        <v>24</v>
      </c>
      <c r="I181" s="7" t="s">
        <v>25</v>
      </c>
      <c r="J181" s="13" t="str">
        <f>HYPERLINK("https://www.airitibooks.com/Detail/Detail?PublicationID=P20200605025", "https://www.airitibooks.com/Detail/Detail?PublicationID=P20200605025")</f>
        <v>https://www.airitibooks.com/Detail/Detail?PublicationID=P20200605025</v>
      </c>
      <c r="K181" s="13" t="str">
        <f>HYPERLINK("https://ntsu.idm.oclc.org/login?url=https://www.airitibooks.com/Detail/Detail?PublicationID=P20200605025", "https://ntsu.idm.oclc.org/login?url=https://www.airitibooks.com/Detail/Detail?PublicationID=P20200605025")</f>
        <v>https://ntsu.idm.oclc.org/login?url=https://www.airitibooks.com/Detail/Detail?PublicationID=P20200605025</v>
      </c>
    </row>
    <row r="182" spans="1:11" ht="119" x14ac:dyDescent="0.4">
      <c r="A182" s="10" t="s">
        <v>14322</v>
      </c>
      <c r="B182" s="10" t="s">
        <v>14323</v>
      </c>
      <c r="C182" s="10" t="s">
        <v>12154</v>
      </c>
      <c r="D182" s="10" t="s">
        <v>14324</v>
      </c>
      <c r="E182" s="10" t="s">
        <v>5998</v>
      </c>
      <c r="F182" s="10" t="s">
        <v>1458</v>
      </c>
      <c r="G182" s="10" t="s">
        <v>76</v>
      </c>
      <c r="H182" s="7" t="s">
        <v>24</v>
      </c>
      <c r="I182" s="7" t="s">
        <v>25</v>
      </c>
      <c r="J182" s="13" t="str">
        <f>HYPERLINK("https://www.airitibooks.com/Detail/Detail?PublicationID=P20200605031", "https://www.airitibooks.com/Detail/Detail?PublicationID=P20200605031")</f>
        <v>https://www.airitibooks.com/Detail/Detail?PublicationID=P20200605031</v>
      </c>
      <c r="K182" s="13" t="str">
        <f>HYPERLINK("https://ntsu.idm.oclc.org/login?url=https://www.airitibooks.com/Detail/Detail?PublicationID=P20200605031", "https://ntsu.idm.oclc.org/login?url=https://www.airitibooks.com/Detail/Detail?PublicationID=P20200605031")</f>
        <v>https://ntsu.idm.oclc.org/login?url=https://www.airitibooks.com/Detail/Detail?PublicationID=P20200605031</v>
      </c>
    </row>
    <row r="183" spans="1:11" ht="85" x14ac:dyDescent="0.4">
      <c r="A183" s="10" t="s">
        <v>14325</v>
      </c>
      <c r="B183" s="10" t="s">
        <v>14326</v>
      </c>
      <c r="C183" s="10" t="s">
        <v>12154</v>
      </c>
      <c r="D183" s="10" t="s">
        <v>14327</v>
      </c>
      <c r="E183" s="10" t="s">
        <v>5998</v>
      </c>
      <c r="F183" s="10" t="s">
        <v>12749</v>
      </c>
      <c r="G183" s="10" t="s">
        <v>76</v>
      </c>
      <c r="H183" s="7" t="s">
        <v>24</v>
      </c>
      <c r="I183" s="7" t="s">
        <v>25</v>
      </c>
      <c r="J183" s="13" t="str">
        <f>HYPERLINK("https://www.airitibooks.com/Detail/Detail?PublicationID=P20200605032", "https://www.airitibooks.com/Detail/Detail?PublicationID=P20200605032")</f>
        <v>https://www.airitibooks.com/Detail/Detail?PublicationID=P20200605032</v>
      </c>
      <c r="K183" s="13" t="str">
        <f>HYPERLINK("https://ntsu.idm.oclc.org/login?url=https://www.airitibooks.com/Detail/Detail?PublicationID=P20200605032", "https://ntsu.idm.oclc.org/login?url=https://www.airitibooks.com/Detail/Detail?PublicationID=P20200605032")</f>
        <v>https://ntsu.idm.oclc.org/login?url=https://www.airitibooks.com/Detail/Detail?PublicationID=P20200605032</v>
      </c>
    </row>
    <row r="184" spans="1:11" ht="51" x14ac:dyDescent="0.4">
      <c r="A184" s="10" t="s">
        <v>14335</v>
      </c>
      <c r="B184" s="10" t="s">
        <v>14336</v>
      </c>
      <c r="C184" s="10" t="s">
        <v>11995</v>
      </c>
      <c r="D184" s="10" t="s">
        <v>14337</v>
      </c>
      <c r="E184" s="10" t="s">
        <v>5998</v>
      </c>
      <c r="F184" s="10" t="s">
        <v>14338</v>
      </c>
      <c r="G184" s="10" t="s">
        <v>76</v>
      </c>
      <c r="H184" s="7" t="s">
        <v>24</v>
      </c>
      <c r="I184" s="7" t="s">
        <v>25</v>
      </c>
      <c r="J184" s="13" t="str">
        <f>HYPERLINK("https://www.airitibooks.com/Detail/Detail?PublicationID=P20200612088", "https://www.airitibooks.com/Detail/Detail?PublicationID=P20200612088")</f>
        <v>https://www.airitibooks.com/Detail/Detail?PublicationID=P20200612088</v>
      </c>
      <c r="K184" s="13" t="str">
        <f>HYPERLINK("https://ntsu.idm.oclc.org/login?url=https://www.airitibooks.com/Detail/Detail?PublicationID=P20200612088", "https://ntsu.idm.oclc.org/login?url=https://www.airitibooks.com/Detail/Detail?PublicationID=P20200612088")</f>
        <v>https://ntsu.idm.oclc.org/login?url=https://www.airitibooks.com/Detail/Detail?PublicationID=P20200612088</v>
      </c>
    </row>
    <row r="185" spans="1:11" ht="85" x14ac:dyDescent="0.4">
      <c r="A185" s="10" t="s">
        <v>14395</v>
      </c>
      <c r="B185" s="10" t="s">
        <v>14396</v>
      </c>
      <c r="C185" s="10" t="s">
        <v>108</v>
      </c>
      <c r="D185" s="10" t="s">
        <v>14397</v>
      </c>
      <c r="E185" s="10" t="s">
        <v>5998</v>
      </c>
      <c r="F185" s="10" t="s">
        <v>5092</v>
      </c>
      <c r="G185" s="10" t="s">
        <v>76</v>
      </c>
      <c r="H185" s="7" t="s">
        <v>24</v>
      </c>
      <c r="I185" s="7" t="s">
        <v>25</v>
      </c>
      <c r="J185" s="13" t="str">
        <f>HYPERLINK("https://www.airitibooks.com/Detail/Detail?PublicationID=P20200703013", "https://www.airitibooks.com/Detail/Detail?PublicationID=P20200703013")</f>
        <v>https://www.airitibooks.com/Detail/Detail?PublicationID=P20200703013</v>
      </c>
      <c r="K185" s="13" t="str">
        <f>HYPERLINK("https://ntsu.idm.oclc.org/login?url=https://www.airitibooks.com/Detail/Detail?PublicationID=P20200703013", "https://ntsu.idm.oclc.org/login?url=https://www.airitibooks.com/Detail/Detail?PublicationID=P20200703013")</f>
        <v>https://ntsu.idm.oclc.org/login?url=https://www.airitibooks.com/Detail/Detail?PublicationID=P20200703013</v>
      </c>
    </row>
    <row r="186" spans="1:11" ht="51" x14ac:dyDescent="0.4">
      <c r="A186" s="10" t="s">
        <v>14417</v>
      </c>
      <c r="B186" s="10" t="s">
        <v>14418</v>
      </c>
      <c r="C186" s="10" t="s">
        <v>8805</v>
      </c>
      <c r="D186" s="10" t="s">
        <v>14419</v>
      </c>
      <c r="E186" s="10" t="s">
        <v>5998</v>
      </c>
      <c r="F186" s="10" t="s">
        <v>5571</v>
      </c>
      <c r="G186" s="10" t="s">
        <v>76</v>
      </c>
      <c r="H186" s="7" t="s">
        <v>24</v>
      </c>
      <c r="I186" s="7" t="s">
        <v>25</v>
      </c>
      <c r="J186" s="13" t="str">
        <f>HYPERLINK("https://www.airitibooks.com/Detail/Detail?PublicationID=P20200703078", "https://www.airitibooks.com/Detail/Detail?PublicationID=P20200703078")</f>
        <v>https://www.airitibooks.com/Detail/Detail?PublicationID=P20200703078</v>
      </c>
      <c r="K186" s="13" t="str">
        <f>HYPERLINK("https://ntsu.idm.oclc.org/login?url=https://www.airitibooks.com/Detail/Detail?PublicationID=P20200703078", "https://ntsu.idm.oclc.org/login?url=https://www.airitibooks.com/Detail/Detail?PublicationID=P20200703078")</f>
        <v>https://ntsu.idm.oclc.org/login?url=https://www.airitibooks.com/Detail/Detail?PublicationID=P20200703078</v>
      </c>
    </row>
    <row r="187" spans="1:11" ht="51" x14ac:dyDescent="0.4">
      <c r="A187" s="10" t="s">
        <v>14428</v>
      </c>
      <c r="B187" s="10" t="s">
        <v>14429</v>
      </c>
      <c r="C187" s="10" t="s">
        <v>9915</v>
      </c>
      <c r="D187" s="10" t="s">
        <v>14430</v>
      </c>
      <c r="E187" s="10" t="s">
        <v>5998</v>
      </c>
      <c r="F187" s="10" t="s">
        <v>14431</v>
      </c>
      <c r="G187" s="10" t="s">
        <v>76</v>
      </c>
      <c r="H187" s="7" t="s">
        <v>24</v>
      </c>
      <c r="I187" s="7" t="s">
        <v>25</v>
      </c>
      <c r="J187" s="13" t="str">
        <f>HYPERLINK("https://www.airitibooks.com/Detail/Detail?PublicationID=P20200703104", "https://www.airitibooks.com/Detail/Detail?PublicationID=P20200703104")</f>
        <v>https://www.airitibooks.com/Detail/Detail?PublicationID=P20200703104</v>
      </c>
      <c r="K187" s="13" t="str">
        <f>HYPERLINK("https://ntsu.idm.oclc.org/login?url=https://www.airitibooks.com/Detail/Detail?PublicationID=P20200703104", "https://ntsu.idm.oclc.org/login?url=https://www.airitibooks.com/Detail/Detail?PublicationID=P20200703104")</f>
        <v>https://ntsu.idm.oclc.org/login?url=https://www.airitibooks.com/Detail/Detail?PublicationID=P20200703104</v>
      </c>
    </row>
    <row r="188" spans="1:11" ht="51" x14ac:dyDescent="0.4">
      <c r="A188" s="10" t="s">
        <v>14497</v>
      </c>
      <c r="B188" s="10" t="s">
        <v>14498</v>
      </c>
      <c r="C188" s="10" t="s">
        <v>938</v>
      </c>
      <c r="D188" s="10" t="s">
        <v>10093</v>
      </c>
      <c r="E188" s="10" t="s">
        <v>5998</v>
      </c>
      <c r="F188" s="10" t="s">
        <v>632</v>
      </c>
      <c r="G188" s="10" t="s">
        <v>76</v>
      </c>
      <c r="H188" s="7" t="s">
        <v>24</v>
      </c>
      <c r="I188" s="7" t="s">
        <v>25</v>
      </c>
      <c r="J188" s="13" t="str">
        <f>HYPERLINK("https://www.airitibooks.com/Detail/Detail?PublicationID=P20200724019", "https://www.airitibooks.com/Detail/Detail?PublicationID=P20200724019")</f>
        <v>https://www.airitibooks.com/Detail/Detail?PublicationID=P20200724019</v>
      </c>
      <c r="K188" s="13" t="str">
        <f>HYPERLINK("https://ntsu.idm.oclc.org/login?url=https://www.airitibooks.com/Detail/Detail?PublicationID=P20200724019", "https://ntsu.idm.oclc.org/login?url=https://www.airitibooks.com/Detail/Detail?PublicationID=P20200724019")</f>
        <v>https://ntsu.idm.oclc.org/login?url=https://www.airitibooks.com/Detail/Detail?PublicationID=P20200724019</v>
      </c>
    </row>
    <row r="189" spans="1:11" ht="51" x14ac:dyDescent="0.4">
      <c r="A189" s="10" t="s">
        <v>2472</v>
      </c>
      <c r="B189" s="10" t="s">
        <v>14499</v>
      </c>
      <c r="C189" s="10" t="s">
        <v>938</v>
      </c>
      <c r="D189" s="10" t="s">
        <v>14500</v>
      </c>
      <c r="E189" s="10" t="s">
        <v>5998</v>
      </c>
      <c r="F189" s="10" t="s">
        <v>2476</v>
      </c>
      <c r="G189" s="10" t="s">
        <v>76</v>
      </c>
      <c r="H189" s="7" t="s">
        <v>24</v>
      </c>
      <c r="I189" s="7" t="s">
        <v>25</v>
      </c>
      <c r="J189" s="13" t="str">
        <f>HYPERLINK("https://www.airitibooks.com/Detail/Detail?PublicationID=P20200724021", "https://www.airitibooks.com/Detail/Detail?PublicationID=P20200724021")</f>
        <v>https://www.airitibooks.com/Detail/Detail?PublicationID=P20200724021</v>
      </c>
      <c r="K189" s="13" t="str">
        <f>HYPERLINK("https://ntsu.idm.oclc.org/login?url=https://www.airitibooks.com/Detail/Detail?PublicationID=P20200724021", "https://ntsu.idm.oclc.org/login?url=https://www.airitibooks.com/Detail/Detail?PublicationID=P20200724021")</f>
        <v>https://ntsu.idm.oclc.org/login?url=https://www.airitibooks.com/Detail/Detail?PublicationID=P20200724021</v>
      </c>
    </row>
    <row r="190" spans="1:11" ht="51" x14ac:dyDescent="0.4">
      <c r="A190" s="10" t="s">
        <v>14501</v>
      </c>
      <c r="B190" s="10" t="s">
        <v>14502</v>
      </c>
      <c r="C190" s="10" t="s">
        <v>938</v>
      </c>
      <c r="D190" s="10" t="s">
        <v>8961</v>
      </c>
      <c r="E190" s="10" t="s">
        <v>5998</v>
      </c>
      <c r="F190" s="10" t="s">
        <v>454</v>
      </c>
      <c r="G190" s="10" t="s">
        <v>76</v>
      </c>
      <c r="H190" s="7" t="s">
        <v>24</v>
      </c>
      <c r="I190" s="7" t="s">
        <v>25</v>
      </c>
      <c r="J190" s="13" t="str">
        <f>HYPERLINK("https://www.airitibooks.com/Detail/Detail?PublicationID=P20200724022", "https://www.airitibooks.com/Detail/Detail?PublicationID=P20200724022")</f>
        <v>https://www.airitibooks.com/Detail/Detail?PublicationID=P20200724022</v>
      </c>
      <c r="K190" s="13" t="str">
        <f>HYPERLINK("https://ntsu.idm.oclc.org/login?url=https://www.airitibooks.com/Detail/Detail?PublicationID=P20200724022", "https://ntsu.idm.oclc.org/login?url=https://www.airitibooks.com/Detail/Detail?PublicationID=P20200724022")</f>
        <v>https://ntsu.idm.oclc.org/login?url=https://www.airitibooks.com/Detail/Detail?PublicationID=P20200724022</v>
      </c>
    </row>
    <row r="191" spans="1:11" ht="51" x14ac:dyDescent="0.4">
      <c r="A191" s="10" t="s">
        <v>14503</v>
      </c>
      <c r="B191" s="10" t="s">
        <v>14504</v>
      </c>
      <c r="C191" s="10" t="s">
        <v>938</v>
      </c>
      <c r="D191" s="10" t="s">
        <v>4563</v>
      </c>
      <c r="E191" s="10" t="s">
        <v>5998</v>
      </c>
      <c r="F191" s="10" t="s">
        <v>632</v>
      </c>
      <c r="G191" s="10" t="s">
        <v>76</v>
      </c>
      <c r="H191" s="7" t="s">
        <v>24</v>
      </c>
      <c r="I191" s="7" t="s">
        <v>25</v>
      </c>
      <c r="J191" s="13" t="str">
        <f>HYPERLINK("https://www.airitibooks.com/Detail/Detail?PublicationID=P20200724024", "https://www.airitibooks.com/Detail/Detail?PublicationID=P20200724024")</f>
        <v>https://www.airitibooks.com/Detail/Detail?PublicationID=P20200724024</v>
      </c>
      <c r="K191" s="13" t="str">
        <f>HYPERLINK("https://ntsu.idm.oclc.org/login?url=https://www.airitibooks.com/Detail/Detail?PublicationID=P20200724024", "https://ntsu.idm.oclc.org/login?url=https://www.airitibooks.com/Detail/Detail?PublicationID=P20200724024")</f>
        <v>https://ntsu.idm.oclc.org/login?url=https://www.airitibooks.com/Detail/Detail?PublicationID=P20200724024</v>
      </c>
    </row>
    <row r="192" spans="1:11" ht="51" x14ac:dyDescent="0.4">
      <c r="A192" s="10" t="s">
        <v>5483</v>
      </c>
      <c r="B192" s="10" t="s">
        <v>14505</v>
      </c>
      <c r="C192" s="10" t="s">
        <v>938</v>
      </c>
      <c r="D192" s="10" t="s">
        <v>14506</v>
      </c>
      <c r="E192" s="10" t="s">
        <v>5998</v>
      </c>
      <c r="F192" s="10" t="s">
        <v>632</v>
      </c>
      <c r="G192" s="10" t="s">
        <v>76</v>
      </c>
      <c r="H192" s="7" t="s">
        <v>24</v>
      </c>
      <c r="I192" s="7" t="s">
        <v>25</v>
      </c>
      <c r="J192" s="13" t="str">
        <f>HYPERLINK("https://www.airitibooks.com/Detail/Detail?PublicationID=P20200724026", "https://www.airitibooks.com/Detail/Detail?PublicationID=P20200724026")</f>
        <v>https://www.airitibooks.com/Detail/Detail?PublicationID=P20200724026</v>
      </c>
      <c r="K192" s="13" t="str">
        <f>HYPERLINK("https://ntsu.idm.oclc.org/login?url=https://www.airitibooks.com/Detail/Detail?PublicationID=P20200724026", "https://ntsu.idm.oclc.org/login?url=https://www.airitibooks.com/Detail/Detail?PublicationID=P20200724026")</f>
        <v>https://ntsu.idm.oclc.org/login?url=https://www.airitibooks.com/Detail/Detail?PublicationID=P20200724026</v>
      </c>
    </row>
    <row r="193" spans="1:11" ht="51" x14ac:dyDescent="0.4">
      <c r="A193" s="10" t="s">
        <v>14529</v>
      </c>
      <c r="B193" s="10" t="s">
        <v>14530</v>
      </c>
      <c r="C193" s="10" t="s">
        <v>11995</v>
      </c>
      <c r="D193" s="10" t="s">
        <v>14531</v>
      </c>
      <c r="E193" s="10" t="s">
        <v>5998</v>
      </c>
      <c r="F193" s="10" t="s">
        <v>14532</v>
      </c>
      <c r="G193" s="10" t="s">
        <v>76</v>
      </c>
      <c r="H193" s="7" t="s">
        <v>24</v>
      </c>
      <c r="I193" s="7" t="s">
        <v>25</v>
      </c>
      <c r="J193" s="13" t="str">
        <f>HYPERLINK("https://www.airitibooks.com/Detail/Detail?PublicationID=P20200728012", "https://www.airitibooks.com/Detail/Detail?PublicationID=P20200728012")</f>
        <v>https://www.airitibooks.com/Detail/Detail?PublicationID=P20200728012</v>
      </c>
      <c r="K193" s="13" t="str">
        <f>HYPERLINK("https://ntsu.idm.oclc.org/login?url=https://www.airitibooks.com/Detail/Detail?PublicationID=P20200728012", "https://ntsu.idm.oclc.org/login?url=https://www.airitibooks.com/Detail/Detail?PublicationID=P20200728012")</f>
        <v>https://ntsu.idm.oclc.org/login?url=https://www.airitibooks.com/Detail/Detail?PublicationID=P20200728012</v>
      </c>
    </row>
    <row r="194" spans="1:11" ht="102" x14ac:dyDescent="0.4">
      <c r="A194" s="10" t="s">
        <v>14637</v>
      </c>
      <c r="B194" s="10" t="s">
        <v>14638</v>
      </c>
      <c r="C194" s="10" t="s">
        <v>12154</v>
      </c>
      <c r="D194" s="10" t="s">
        <v>14639</v>
      </c>
      <c r="E194" s="10" t="s">
        <v>5998</v>
      </c>
      <c r="F194" s="10" t="s">
        <v>1078</v>
      </c>
      <c r="G194" s="10" t="s">
        <v>76</v>
      </c>
      <c r="H194" s="7" t="s">
        <v>24</v>
      </c>
      <c r="I194" s="7" t="s">
        <v>25</v>
      </c>
      <c r="J194" s="13" t="str">
        <f>HYPERLINK("https://www.airitibooks.com/Detail/Detail?PublicationID=P20200828036", "https://www.airitibooks.com/Detail/Detail?PublicationID=P20200828036")</f>
        <v>https://www.airitibooks.com/Detail/Detail?PublicationID=P20200828036</v>
      </c>
      <c r="K194" s="13" t="str">
        <f>HYPERLINK("https://ntsu.idm.oclc.org/login?url=https://www.airitibooks.com/Detail/Detail?PublicationID=P20200828036", "https://ntsu.idm.oclc.org/login?url=https://www.airitibooks.com/Detail/Detail?PublicationID=P20200828036")</f>
        <v>https://ntsu.idm.oclc.org/login?url=https://www.airitibooks.com/Detail/Detail?PublicationID=P20200828036</v>
      </c>
    </row>
    <row r="195" spans="1:11" ht="51" x14ac:dyDescent="0.4">
      <c r="A195" s="10" t="s">
        <v>14696</v>
      </c>
      <c r="B195" s="10" t="s">
        <v>14697</v>
      </c>
      <c r="C195" s="10" t="s">
        <v>222</v>
      </c>
      <c r="D195" s="10" t="s">
        <v>2836</v>
      </c>
      <c r="E195" s="10" t="s">
        <v>5998</v>
      </c>
      <c r="F195" s="10" t="s">
        <v>700</v>
      </c>
      <c r="G195" s="10" t="s">
        <v>76</v>
      </c>
      <c r="H195" s="7" t="s">
        <v>24</v>
      </c>
      <c r="I195" s="7" t="s">
        <v>25</v>
      </c>
      <c r="J195" s="13" t="str">
        <f>HYPERLINK("https://www.airitibooks.com/Detail/Detail?PublicationID=P20200914040", "https://www.airitibooks.com/Detail/Detail?PublicationID=P20200914040")</f>
        <v>https://www.airitibooks.com/Detail/Detail?PublicationID=P20200914040</v>
      </c>
      <c r="K195" s="13" t="str">
        <f>HYPERLINK("https://ntsu.idm.oclc.org/login?url=https://www.airitibooks.com/Detail/Detail?PublicationID=P20200914040", "https://ntsu.idm.oclc.org/login?url=https://www.airitibooks.com/Detail/Detail?PublicationID=P20200914040")</f>
        <v>https://ntsu.idm.oclc.org/login?url=https://www.airitibooks.com/Detail/Detail?PublicationID=P20200914040</v>
      </c>
    </row>
    <row r="196" spans="1:11" ht="51" x14ac:dyDescent="0.4">
      <c r="A196" s="10" t="s">
        <v>14712</v>
      </c>
      <c r="B196" s="10" t="s">
        <v>14713</v>
      </c>
      <c r="C196" s="10" t="s">
        <v>10384</v>
      </c>
      <c r="D196" s="10" t="s">
        <v>14714</v>
      </c>
      <c r="E196" s="10" t="s">
        <v>5998</v>
      </c>
      <c r="F196" s="10" t="s">
        <v>14715</v>
      </c>
      <c r="G196" s="10" t="s">
        <v>76</v>
      </c>
      <c r="H196" s="7" t="s">
        <v>24</v>
      </c>
      <c r="I196" s="7" t="s">
        <v>25</v>
      </c>
      <c r="J196" s="13" t="str">
        <f>HYPERLINK("https://www.airitibooks.com/Detail/Detail?PublicationID=P20200921009", "https://www.airitibooks.com/Detail/Detail?PublicationID=P20200921009")</f>
        <v>https://www.airitibooks.com/Detail/Detail?PublicationID=P20200921009</v>
      </c>
      <c r="K196" s="13" t="str">
        <f>HYPERLINK("https://ntsu.idm.oclc.org/login?url=https://www.airitibooks.com/Detail/Detail?PublicationID=P20200921009", "https://ntsu.idm.oclc.org/login?url=https://www.airitibooks.com/Detail/Detail?PublicationID=P20200921009")</f>
        <v>https://ntsu.idm.oclc.org/login?url=https://www.airitibooks.com/Detail/Detail?PublicationID=P20200921009</v>
      </c>
    </row>
    <row r="197" spans="1:11" ht="51" x14ac:dyDescent="0.4">
      <c r="A197" s="10" t="s">
        <v>14720</v>
      </c>
      <c r="B197" s="10" t="s">
        <v>14721</v>
      </c>
      <c r="C197" s="10" t="s">
        <v>10384</v>
      </c>
      <c r="D197" s="10" t="s">
        <v>14722</v>
      </c>
      <c r="E197" s="10" t="s">
        <v>5998</v>
      </c>
      <c r="F197" s="10" t="s">
        <v>2038</v>
      </c>
      <c r="G197" s="10" t="s">
        <v>76</v>
      </c>
      <c r="H197" s="7" t="s">
        <v>24</v>
      </c>
      <c r="I197" s="7" t="s">
        <v>25</v>
      </c>
      <c r="J197" s="13" t="str">
        <f>HYPERLINK("https://www.airitibooks.com/Detail/Detail?PublicationID=P20200921011", "https://www.airitibooks.com/Detail/Detail?PublicationID=P20200921011")</f>
        <v>https://www.airitibooks.com/Detail/Detail?PublicationID=P20200921011</v>
      </c>
      <c r="K197" s="13" t="str">
        <f>HYPERLINK("https://ntsu.idm.oclc.org/login?url=https://www.airitibooks.com/Detail/Detail?PublicationID=P20200921011", "https://ntsu.idm.oclc.org/login?url=https://www.airitibooks.com/Detail/Detail?PublicationID=P20200921011")</f>
        <v>https://ntsu.idm.oclc.org/login?url=https://www.airitibooks.com/Detail/Detail?PublicationID=P20200921011</v>
      </c>
    </row>
    <row r="198" spans="1:11" ht="119" x14ac:dyDescent="0.4">
      <c r="A198" s="10" t="s">
        <v>14726</v>
      </c>
      <c r="B198" s="10" t="s">
        <v>14727</v>
      </c>
      <c r="C198" s="10" t="s">
        <v>12154</v>
      </c>
      <c r="D198" s="10" t="s">
        <v>14728</v>
      </c>
      <c r="E198" s="10" t="s">
        <v>5998</v>
      </c>
      <c r="F198" s="10" t="s">
        <v>14729</v>
      </c>
      <c r="G198" s="10" t="s">
        <v>76</v>
      </c>
      <c r="H198" s="7" t="s">
        <v>24</v>
      </c>
      <c r="I198" s="7" t="s">
        <v>25</v>
      </c>
      <c r="J198" s="13" t="str">
        <f>HYPERLINK("https://www.airitibooks.com/Detail/Detail?PublicationID=P20200921042", "https://www.airitibooks.com/Detail/Detail?PublicationID=P20200921042")</f>
        <v>https://www.airitibooks.com/Detail/Detail?PublicationID=P20200921042</v>
      </c>
      <c r="K198" s="13" t="str">
        <f>HYPERLINK("https://ntsu.idm.oclc.org/login?url=https://www.airitibooks.com/Detail/Detail?PublicationID=P20200921042", "https://ntsu.idm.oclc.org/login?url=https://www.airitibooks.com/Detail/Detail?PublicationID=P20200921042")</f>
        <v>https://ntsu.idm.oclc.org/login?url=https://www.airitibooks.com/Detail/Detail?PublicationID=P20200921042</v>
      </c>
    </row>
    <row r="199" spans="1:11" ht="51" x14ac:dyDescent="0.4">
      <c r="A199" s="10" t="s">
        <v>14737</v>
      </c>
      <c r="B199" s="10" t="s">
        <v>14738</v>
      </c>
      <c r="C199" s="10" t="s">
        <v>9079</v>
      </c>
      <c r="D199" s="10" t="s">
        <v>14739</v>
      </c>
      <c r="E199" s="10" t="s">
        <v>5998</v>
      </c>
      <c r="F199" s="10" t="s">
        <v>5179</v>
      </c>
      <c r="G199" s="10" t="s">
        <v>76</v>
      </c>
      <c r="H199" s="7" t="s">
        <v>24</v>
      </c>
      <c r="I199" s="7" t="s">
        <v>25</v>
      </c>
      <c r="J199" s="13" t="str">
        <f>HYPERLINK("https://www.airitibooks.com/Detail/Detail?PublicationID=P20200921049", "https://www.airitibooks.com/Detail/Detail?PublicationID=P20200921049")</f>
        <v>https://www.airitibooks.com/Detail/Detail?PublicationID=P20200921049</v>
      </c>
      <c r="K199" s="13" t="str">
        <f>HYPERLINK("https://ntsu.idm.oclc.org/login?url=https://www.airitibooks.com/Detail/Detail?PublicationID=P20200921049", "https://ntsu.idm.oclc.org/login?url=https://www.airitibooks.com/Detail/Detail?PublicationID=P20200921049")</f>
        <v>https://ntsu.idm.oclc.org/login?url=https://www.airitibooks.com/Detail/Detail?PublicationID=P20200921049</v>
      </c>
    </row>
    <row r="200" spans="1:11" ht="51" x14ac:dyDescent="0.4">
      <c r="A200" s="10" t="s">
        <v>14740</v>
      </c>
      <c r="B200" s="10" t="s">
        <v>14741</v>
      </c>
      <c r="C200" s="10" t="s">
        <v>12989</v>
      </c>
      <c r="D200" s="10" t="s">
        <v>14742</v>
      </c>
      <c r="E200" s="10" t="s">
        <v>5998</v>
      </c>
      <c r="F200" s="10" t="s">
        <v>2871</v>
      </c>
      <c r="G200" s="10" t="s">
        <v>76</v>
      </c>
      <c r="H200" s="7" t="s">
        <v>1031</v>
      </c>
      <c r="I200" s="7" t="s">
        <v>25</v>
      </c>
      <c r="J200" s="13" t="str">
        <f>HYPERLINK("https://www.airitibooks.com/Detail/Detail?PublicationID=P20200925077", "https://www.airitibooks.com/Detail/Detail?PublicationID=P20200925077")</f>
        <v>https://www.airitibooks.com/Detail/Detail?PublicationID=P20200925077</v>
      </c>
      <c r="K200" s="13" t="str">
        <f>HYPERLINK("https://ntsu.idm.oclc.org/login?url=https://www.airitibooks.com/Detail/Detail?PublicationID=P20200925077", "https://ntsu.idm.oclc.org/login?url=https://www.airitibooks.com/Detail/Detail?PublicationID=P20200925077")</f>
        <v>https://ntsu.idm.oclc.org/login?url=https://www.airitibooks.com/Detail/Detail?PublicationID=P20200925077</v>
      </c>
    </row>
    <row r="201" spans="1:11" ht="51" x14ac:dyDescent="0.4">
      <c r="A201" s="10" t="s">
        <v>14753</v>
      </c>
      <c r="B201" s="10" t="s">
        <v>14754</v>
      </c>
      <c r="C201" s="10" t="s">
        <v>14755</v>
      </c>
      <c r="D201" s="10" t="s">
        <v>14756</v>
      </c>
      <c r="E201" s="10" t="s">
        <v>5998</v>
      </c>
      <c r="F201" s="10" t="s">
        <v>5571</v>
      </c>
      <c r="G201" s="10" t="s">
        <v>76</v>
      </c>
      <c r="H201" s="7" t="s">
        <v>24</v>
      </c>
      <c r="I201" s="7" t="s">
        <v>25</v>
      </c>
      <c r="J201" s="13" t="str">
        <f>HYPERLINK("https://www.airitibooks.com/Detail/Detail?PublicationID=P20201005060", "https://www.airitibooks.com/Detail/Detail?PublicationID=P20201005060")</f>
        <v>https://www.airitibooks.com/Detail/Detail?PublicationID=P20201005060</v>
      </c>
      <c r="K201" s="13" t="str">
        <f>HYPERLINK("https://ntsu.idm.oclc.org/login?url=https://www.airitibooks.com/Detail/Detail?PublicationID=P20201005060", "https://ntsu.idm.oclc.org/login?url=https://www.airitibooks.com/Detail/Detail?PublicationID=P20201005060")</f>
        <v>https://ntsu.idm.oclc.org/login?url=https://www.airitibooks.com/Detail/Detail?PublicationID=P20201005060</v>
      </c>
    </row>
    <row r="202" spans="1:11" ht="51" x14ac:dyDescent="0.4">
      <c r="A202" s="10" t="s">
        <v>14757</v>
      </c>
      <c r="B202" s="10" t="s">
        <v>14758</v>
      </c>
      <c r="C202" s="10" t="s">
        <v>14755</v>
      </c>
      <c r="D202" s="10" t="s">
        <v>14759</v>
      </c>
      <c r="E202" s="10" t="s">
        <v>5998</v>
      </c>
      <c r="F202" s="10" t="s">
        <v>14760</v>
      </c>
      <c r="G202" s="10" t="s">
        <v>76</v>
      </c>
      <c r="H202" s="7" t="s">
        <v>24</v>
      </c>
      <c r="I202" s="7" t="s">
        <v>25</v>
      </c>
      <c r="J202" s="13" t="str">
        <f>HYPERLINK("https://www.airitibooks.com/Detail/Detail?PublicationID=P20201005063", "https://www.airitibooks.com/Detail/Detail?PublicationID=P20201005063")</f>
        <v>https://www.airitibooks.com/Detail/Detail?PublicationID=P20201005063</v>
      </c>
      <c r="K202" s="13" t="str">
        <f>HYPERLINK("https://ntsu.idm.oclc.org/login?url=https://www.airitibooks.com/Detail/Detail?PublicationID=P20201005063", "https://ntsu.idm.oclc.org/login?url=https://www.airitibooks.com/Detail/Detail?PublicationID=P20201005063")</f>
        <v>https://ntsu.idm.oclc.org/login?url=https://www.airitibooks.com/Detail/Detail?PublicationID=P20201005063</v>
      </c>
    </row>
    <row r="203" spans="1:11" ht="51" x14ac:dyDescent="0.4">
      <c r="A203" s="10" t="s">
        <v>14764</v>
      </c>
      <c r="B203" s="10" t="s">
        <v>14765</v>
      </c>
      <c r="C203" s="10" t="s">
        <v>14755</v>
      </c>
      <c r="D203" s="10" t="s">
        <v>14766</v>
      </c>
      <c r="E203" s="10" t="s">
        <v>5998</v>
      </c>
      <c r="F203" s="10" t="s">
        <v>14767</v>
      </c>
      <c r="G203" s="10" t="s">
        <v>76</v>
      </c>
      <c r="H203" s="7" t="s">
        <v>24</v>
      </c>
      <c r="I203" s="7" t="s">
        <v>25</v>
      </c>
      <c r="J203" s="13" t="str">
        <f>HYPERLINK("https://www.airitibooks.com/Detail/Detail?PublicationID=P20201005067", "https://www.airitibooks.com/Detail/Detail?PublicationID=P20201005067")</f>
        <v>https://www.airitibooks.com/Detail/Detail?PublicationID=P20201005067</v>
      </c>
      <c r="K203" s="13" t="str">
        <f>HYPERLINK("https://ntsu.idm.oclc.org/login?url=https://www.airitibooks.com/Detail/Detail?PublicationID=P20201005067", "https://ntsu.idm.oclc.org/login?url=https://www.airitibooks.com/Detail/Detail?PublicationID=P20201005067")</f>
        <v>https://ntsu.idm.oclc.org/login?url=https://www.airitibooks.com/Detail/Detail?PublicationID=P20201005067</v>
      </c>
    </row>
    <row r="204" spans="1:11" ht="51" x14ac:dyDescent="0.4">
      <c r="A204" s="10" t="s">
        <v>14771</v>
      </c>
      <c r="B204" s="10" t="s">
        <v>14772</v>
      </c>
      <c r="C204" s="10" t="s">
        <v>14773</v>
      </c>
      <c r="D204" s="10" t="s">
        <v>14774</v>
      </c>
      <c r="E204" s="10" t="s">
        <v>5998</v>
      </c>
      <c r="F204" s="10" t="s">
        <v>65</v>
      </c>
      <c r="G204" s="10" t="s">
        <v>76</v>
      </c>
      <c r="H204" s="7" t="s">
        <v>1031</v>
      </c>
      <c r="I204" s="7" t="s">
        <v>25</v>
      </c>
      <c r="J204" s="13" t="str">
        <f>HYPERLINK("https://www.airitibooks.com/Detail/Detail?PublicationID=P20201012175", "https://www.airitibooks.com/Detail/Detail?PublicationID=P20201012175")</f>
        <v>https://www.airitibooks.com/Detail/Detail?PublicationID=P20201012175</v>
      </c>
      <c r="K204" s="13" t="str">
        <f>HYPERLINK("https://ntsu.idm.oclc.org/login?url=https://www.airitibooks.com/Detail/Detail?PublicationID=P20201012175", "https://ntsu.idm.oclc.org/login?url=https://www.airitibooks.com/Detail/Detail?PublicationID=P20201012175")</f>
        <v>https://ntsu.idm.oclc.org/login?url=https://www.airitibooks.com/Detail/Detail?PublicationID=P20201012175</v>
      </c>
    </row>
    <row r="205" spans="1:11" ht="68" x14ac:dyDescent="0.4">
      <c r="A205" s="10" t="s">
        <v>14805</v>
      </c>
      <c r="B205" s="10" t="s">
        <v>14806</v>
      </c>
      <c r="C205" s="10" t="s">
        <v>10704</v>
      </c>
      <c r="D205" s="10" t="s">
        <v>10704</v>
      </c>
      <c r="E205" s="10" t="s">
        <v>5998</v>
      </c>
      <c r="F205" s="10" t="s">
        <v>5854</v>
      </c>
      <c r="G205" s="10" t="s">
        <v>76</v>
      </c>
      <c r="H205" s="7" t="s">
        <v>24</v>
      </c>
      <c r="I205" s="7" t="s">
        <v>25</v>
      </c>
      <c r="J205" s="13" t="str">
        <f>HYPERLINK("https://www.airitibooks.com/Detail/Detail?PublicationID=P20201026009", "https://www.airitibooks.com/Detail/Detail?PublicationID=P20201026009")</f>
        <v>https://www.airitibooks.com/Detail/Detail?PublicationID=P20201026009</v>
      </c>
      <c r="K205" s="13" t="str">
        <f>HYPERLINK("https://ntsu.idm.oclc.org/login?url=https://www.airitibooks.com/Detail/Detail?PublicationID=P20201026009", "https://ntsu.idm.oclc.org/login?url=https://www.airitibooks.com/Detail/Detail?PublicationID=P20201026009")</f>
        <v>https://ntsu.idm.oclc.org/login?url=https://www.airitibooks.com/Detail/Detail?PublicationID=P20201026009</v>
      </c>
    </row>
    <row r="206" spans="1:11" ht="51" x14ac:dyDescent="0.4">
      <c r="A206" s="10" t="s">
        <v>14824</v>
      </c>
      <c r="B206" s="10" t="s">
        <v>14825</v>
      </c>
      <c r="C206" s="10" t="s">
        <v>938</v>
      </c>
      <c r="D206" s="10" t="s">
        <v>14826</v>
      </c>
      <c r="E206" s="10" t="s">
        <v>5998</v>
      </c>
      <c r="F206" s="10" t="s">
        <v>2724</v>
      </c>
      <c r="G206" s="10" t="s">
        <v>76</v>
      </c>
      <c r="H206" s="7" t="s">
        <v>24</v>
      </c>
      <c r="I206" s="7" t="s">
        <v>25</v>
      </c>
      <c r="J206" s="13" t="str">
        <f>HYPERLINK("https://www.airitibooks.com/Detail/Detail?PublicationID=P20201105019", "https://www.airitibooks.com/Detail/Detail?PublicationID=P20201105019")</f>
        <v>https://www.airitibooks.com/Detail/Detail?PublicationID=P20201105019</v>
      </c>
      <c r="K206" s="13" t="str">
        <f>HYPERLINK("https://ntsu.idm.oclc.org/login?url=https://www.airitibooks.com/Detail/Detail?PublicationID=P20201105019", "https://ntsu.idm.oclc.org/login?url=https://www.airitibooks.com/Detail/Detail?PublicationID=P20201105019")</f>
        <v>https://ntsu.idm.oclc.org/login?url=https://www.airitibooks.com/Detail/Detail?PublicationID=P20201105019</v>
      </c>
    </row>
    <row r="207" spans="1:11" ht="51" x14ac:dyDescent="0.4">
      <c r="A207" s="10" t="s">
        <v>14827</v>
      </c>
      <c r="B207" s="10" t="s">
        <v>14828</v>
      </c>
      <c r="C207" s="10" t="s">
        <v>938</v>
      </c>
      <c r="D207" s="10" t="s">
        <v>6043</v>
      </c>
      <c r="E207" s="10" t="s">
        <v>5998</v>
      </c>
      <c r="F207" s="10" t="s">
        <v>14829</v>
      </c>
      <c r="G207" s="10" t="s">
        <v>76</v>
      </c>
      <c r="H207" s="7" t="s">
        <v>24</v>
      </c>
      <c r="I207" s="7" t="s">
        <v>25</v>
      </c>
      <c r="J207" s="13" t="str">
        <f>HYPERLINK("https://www.airitibooks.com/Detail/Detail?PublicationID=P20201105020", "https://www.airitibooks.com/Detail/Detail?PublicationID=P20201105020")</f>
        <v>https://www.airitibooks.com/Detail/Detail?PublicationID=P20201105020</v>
      </c>
      <c r="K207" s="13" t="str">
        <f>HYPERLINK("https://ntsu.idm.oclc.org/login?url=https://www.airitibooks.com/Detail/Detail?PublicationID=P20201105020", "https://ntsu.idm.oclc.org/login?url=https://www.airitibooks.com/Detail/Detail?PublicationID=P20201105020")</f>
        <v>https://ntsu.idm.oclc.org/login?url=https://www.airitibooks.com/Detail/Detail?PublicationID=P20201105020</v>
      </c>
    </row>
    <row r="208" spans="1:11" ht="51" x14ac:dyDescent="0.4">
      <c r="A208" s="10" t="s">
        <v>14830</v>
      </c>
      <c r="B208" s="10" t="s">
        <v>14831</v>
      </c>
      <c r="C208" s="10" t="s">
        <v>938</v>
      </c>
      <c r="D208" s="10" t="s">
        <v>6043</v>
      </c>
      <c r="E208" s="10" t="s">
        <v>5998</v>
      </c>
      <c r="F208" s="10" t="s">
        <v>5255</v>
      </c>
      <c r="G208" s="10" t="s">
        <v>76</v>
      </c>
      <c r="H208" s="7" t="s">
        <v>24</v>
      </c>
      <c r="I208" s="7" t="s">
        <v>25</v>
      </c>
      <c r="J208" s="13" t="str">
        <f>HYPERLINK("https://www.airitibooks.com/Detail/Detail?PublicationID=P20201105021", "https://www.airitibooks.com/Detail/Detail?PublicationID=P20201105021")</f>
        <v>https://www.airitibooks.com/Detail/Detail?PublicationID=P20201105021</v>
      </c>
      <c r="K208" s="13" t="str">
        <f>HYPERLINK("https://ntsu.idm.oclc.org/login?url=https://www.airitibooks.com/Detail/Detail?PublicationID=P20201105021", "https://ntsu.idm.oclc.org/login?url=https://www.airitibooks.com/Detail/Detail?PublicationID=P20201105021")</f>
        <v>https://ntsu.idm.oclc.org/login?url=https://www.airitibooks.com/Detail/Detail?PublicationID=P20201105021</v>
      </c>
    </row>
    <row r="209" spans="1:11" ht="51" x14ac:dyDescent="0.4">
      <c r="A209" s="10" t="s">
        <v>14832</v>
      </c>
      <c r="B209" s="10" t="s">
        <v>14833</v>
      </c>
      <c r="C209" s="10" t="s">
        <v>938</v>
      </c>
      <c r="D209" s="10" t="s">
        <v>4563</v>
      </c>
      <c r="E209" s="10" t="s">
        <v>5998</v>
      </c>
      <c r="F209" s="10" t="s">
        <v>3144</v>
      </c>
      <c r="G209" s="10" t="s">
        <v>76</v>
      </c>
      <c r="H209" s="7" t="s">
        <v>24</v>
      </c>
      <c r="I209" s="7" t="s">
        <v>25</v>
      </c>
      <c r="J209" s="13" t="str">
        <f>HYPERLINK("https://www.airitibooks.com/Detail/Detail?PublicationID=P20201105022", "https://www.airitibooks.com/Detail/Detail?PublicationID=P20201105022")</f>
        <v>https://www.airitibooks.com/Detail/Detail?PublicationID=P20201105022</v>
      </c>
      <c r="K209" s="13" t="str">
        <f>HYPERLINK("https://ntsu.idm.oclc.org/login?url=https://www.airitibooks.com/Detail/Detail?PublicationID=P20201105022", "https://ntsu.idm.oclc.org/login?url=https://www.airitibooks.com/Detail/Detail?PublicationID=P20201105022")</f>
        <v>https://ntsu.idm.oclc.org/login?url=https://www.airitibooks.com/Detail/Detail?PublicationID=P20201105022</v>
      </c>
    </row>
    <row r="210" spans="1:11" ht="51" x14ac:dyDescent="0.4">
      <c r="A210" s="10" t="s">
        <v>14834</v>
      </c>
      <c r="B210" s="10" t="s">
        <v>14835</v>
      </c>
      <c r="C210" s="10" t="s">
        <v>938</v>
      </c>
      <c r="D210" s="10" t="s">
        <v>14836</v>
      </c>
      <c r="E210" s="10" t="s">
        <v>5998</v>
      </c>
      <c r="F210" s="10" t="s">
        <v>65</v>
      </c>
      <c r="G210" s="10" t="s">
        <v>76</v>
      </c>
      <c r="H210" s="7" t="s">
        <v>24</v>
      </c>
      <c r="I210" s="7" t="s">
        <v>25</v>
      </c>
      <c r="J210" s="13" t="str">
        <f>HYPERLINK("https://www.airitibooks.com/Detail/Detail?PublicationID=P20201105023", "https://www.airitibooks.com/Detail/Detail?PublicationID=P20201105023")</f>
        <v>https://www.airitibooks.com/Detail/Detail?PublicationID=P20201105023</v>
      </c>
      <c r="K210" s="13" t="str">
        <f>HYPERLINK("https://ntsu.idm.oclc.org/login?url=https://www.airitibooks.com/Detail/Detail?PublicationID=P20201105023", "https://ntsu.idm.oclc.org/login?url=https://www.airitibooks.com/Detail/Detail?PublicationID=P20201105023")</f>
        <v>https://ntsu.idm.oclc.org/login?url=https://www.airitibooks.com/Detail/Detail?PublicationID=P20201105023</v>
      </c>
    </row>
    <row r="211" spans="1:11" ht="51" x14ac:dyDescent="0.4">
      <c r="A211" s="10" t="s">
        <v>14843</v>
      </c>
      <c r="B211" s="10" t="s">
        <v>14844</v>
      </c>
      <c r="C211" s="10" t="s">
        <v>1034</v>
      </c>
      <c r="D211" s="10" t="s">
        <v>14845</v>
      </c>
      <c r="E211" s="10" t="s">
        <v>5998</v>
      </c>
      <c r="F211" s="10" t="s">
        <v>14846</v>
      </c>
      <c r="G211" s="10" t="s">
        <v>76</v>
      </c>
      <c r="H211" s="7" t="s">
        <v>24</v>
      </c>
      <c r="I211" s="7" t="s">
        <v>25</v>
      </c>
      <c r="J211" s="13" t="str">
        <f>HYPERLINK("https://www.airitibooks.com/Detail/Detail?PublicationID=P20201105036", "https://www.airitibooks.com/Detail/Detail?PublicationID=P20201105036")</f>
        <v>https://www.airitibooks.com/Detail/Detail?PublicationID=P20201105036</v>
      </c>
      <c r="K211" s="13" t="str">
        <f>HYPERLINK("https://ntsu.idm.oclc.org/login?url=https://www.airitibooks.com/Detail/Detail?PublicationID=P20201105036", "https://ntsu.idm.oclc.org/login?url=https://www.airitibooks.com/Detail/Detail?PublicationID=P20201105036")</f>
        <v>https://ntsu.idm.oclc.org/login?url=https://www.airitibooks.com/Detail/Detail?PublicationID=P20201105036</v>
      </c>
    </row>
    <row r="212" spans="1:11" ht="51" x14ac:dyDescent="0.4">
      <c r="A212" s="10" t="s">
        <v>14857</v>
      </c>
      <c r="B212" s="10" t="s">
        <v>14858</v>
      </c>
      <c r="C212" s="10" t="s">
        <v>938</v>
      </c>
      <c r="D212" s="10" t="s">
        <v>14859</v>
      </c>
      <c r="E212" s="10" t="s">
        <v>5998</v>
      </c>
      <c r="F212" s="10" t="s">
        <v>14860</v>
      </c>
      <c r="G212" s="10" t="s">
        <v>76</v>
      </c>
      <c r="H212" s="7" t="s">
        <v>24</v>
      </c>
      <c r="I212" s="7" t="s">
        <v>25</v>
      </c>
      <c r="J212" s="13" t="str">
        <f>HYPERLINK("https://www.airitibooks.com/Detail/Detail?PublicationID=P20201116002", "https://www.airitibooks.com/Detail/Detail?PublicationID=P20201116002")</f>
        <v>https://www.airitibooks.com/Detail/Detail?PublicationID=P20201116002</v>
      </c>
      <c r="K212" s="13" t="str">
        <f>HYPERLINK("https://ntsu.idm.oclc.org/login?url=https://www.airitibooks.com/Detail/Detail?PublicationID=P20201116002", "https://ntsu.idm.oclc.org/login?url=https://www.airitibooks.com/Detail/Detail?PublicationID=P20201116002")</f>
        <v>https://ntsu.idm.oclc.org/login?url=https://www.airitibooks.com/Detail/Detail?PublicationID=P20201116002</v>
      </c>
    </row>
    <row r="213" spans="1:11" ht="51" x14ac:dyDescent="0.4">
      <c r="A213" s="10" t="s">
        <v>14864</v>
      </c>
      <c r="B213" s="10" t="s">
        <v>14865</v>
      </c>
      <c r="C213" s="10" t="s">
        <v>938</v>
      </c>
      <c r="D213" s="10" t="s">
        <v>14866</v>
      </c>
      <c r="E213" s="10" t="s">
        <v>5998</v>
      </c>
      <c r="F213" s="10" t="s">
        <v>8933</v>
      </c>
      <c r="G213" s="10" t="s">
        <v>76</v>
      </c>
      <c r="H213" s="7" t="s">
        <v>24</v>
      </c>
      <c r="I213" s="7" t="s">
        <v>25</v>
      </c>
      <c r="J213" s="13" t="str">
        <f>HYPERLINK("https://www.airitibooks.com/Detail/Detail?PublicationID=P20201116009", "https://www.airitibooks.com/Detail/Detail?PublicationID=P20201116009")</f>
        <v>https://www.airitibooks.com/Detail/Detail?PublicationID=P20201116009</v>
      </c>
      <c r="K213" s="13" t="str">
        <f>HYPERLINK("https://ntsu.idm.oclc.org/login?url=https://www.airitibooks.com/Detail/Detail?PublicationID=P20201116009", "https://ntsu.idm.oclc.org/login?url=https://www.airitibooks.com/Detail/Detail?PublicationID=P20201116009")</f>
        <v>https://ntsu.idm.oclc.org/login?url=https://www.airitibooks.com/Detail/Detail?PublicationID=P20201116009</v>
      </c>
    </row>
    <row r="214" spans="1:11" ht="51" x14ac:dyDescent="0.4">
      <c r="A214" s="10" t="s">
        <v>14870</v>
      </c>
      <c r="B214" s="10" t="s">
        <v>14871</v>
      </c>
      <c r="C214" s="10" t="s">
        <v>938</v>
      </c>
      <c r="D214" s="10" t="s">
        <v>14859</v>
      </c>
      <c r="E214" s="10" t="s">
        <v>5998</v>
      </c>
      <c r="F214" s="10" t="s">
        <v>14860</v>
      </c>
      <c r="G214" s="10" t="s">
        <v>76</v>
      </c>
      <c r="H214" s="7" t="s">
        <v>24</v>
      </c>
      <c r="I214" s="7" t="s">
        <v>25</v>
      </c>
      <c r="J214" s="13" t="str">
        <f>HYPERLINK("https://www.airitibooks.com/Detail/Detail?PublicationID=P20201116015", "https://www.airitibooks.com/Detail/Detail?PublicationID=P20201116015")</f>
        <v>https://www.airitibooks.com/Detail/Detail?PublicationID=P20201116015</v>
      </c>
      <c r="K214" s="13" t="str">
        <f>HYPERLINK("https://ntsu.idm.oclc.org/login?url=https://www.airitibooks.com/Detail/Detail?PublicationID=P20201116015", "https://ntsu.idm.oclc.org/login?url=https://www.airitibooks.com/Detail/Detail?PublicationID=P20201116015")</f>
        <v>https://ntsu.idm.oclc.org/login?url=https://www.airitibooks.com/Detail/Detail?PublicationID=P20201116015</v>
      </c>
    </row>
    <row r="215" spans="1:11" ht="68" x14ac:dyDescent="0.4">
      <c r="A215" s="10" t="s">
        <v>14879</v>
      </c>
      <c r="B215" s="10" t="s">
        <v>14880</v>
      </c>
      <c r="C215" s="10" t="s">
        <v>791</v>
      </c>
      <c r="D215" s="10" t="s">
        <v>14881</v>
      </c>
      <c r="E215" s="10" t="s">
        <v>5998</v>
      </c>
      <c r="F215" s="10" t="s">
        <v>294</v>
      </c>
      <c r="G215" s="10" t="s">
        <v>76</v>
      </c>
      <c r="H215" s="7" t="s">
        <v>24</v>
      </c>
      <c r="I215" s="7" t="s">
        <v>25</v>
      </c>
      <c r="J215" s="13" t="str">
        <f>HYPERLINK("https://www.airitibooks.com/Detail/Detail?PublicationID=P20201116035", "https://www.airitibooks.com/Detail/Detail?PublicationID=P20201116035")</f>
        <v>https://www.airitibooks.com/Detail/Detail?PublicationID=P20201116035</v>
      </c>
      <c r="K215" s="13" t="str">
        <f>HYPERLINK("https://ntsu.idm.oclc.org/login?url=https://www.airitibooks.com/Detail/Detail?PublicationID=P20201116035", "https://ntsu.idm.oclc.org/login?url=https://www.airitibooks.com/Detail/Detail?PublicationID=P20201116035")</f>
        <v>https://ntsu.idm.oclc.org/login?url=https://www.airitibooks.com/Detail/Detail?PublicationID=P20201116035</v>
      </c>
    </row>
    <row r="216" spans="1:11" ht="51" x14ac:dyDescent="0.4">
      <c r="A216" s="10" t="s">
        <v>14882</v>
      </c>
      <c r="B216" s="10" t="s">
        <v>14883</v>
      </c>
      <c r="C216" s="10" t="s">
        <v>9915</v>
      </c>
      <c r="D216" s="10" t="s">
        <v>14884</v>
      </c>
      <c r="E216" s="10" t="s">
        <v>5998</v>
      </c>
      <c r="F216" s="10" t="s">
        <v>5097</v>
      </c>
      <c r="G216" s="10" t="s">
        <v>76</v>
      </c>
      <c r="H216" s="7" t="s">
        <v>24</v>
      </c>
      <c r="I216" s="7" t="s">
        <v>25</v>
      </c>
      <c r="J216" s="13" t="str">
        <f>HYPERLINK("https://www.airitibooks.com/Detail/Detail?PublicationID=P20201116194", "https://www.airitibooks.com/Detail/Detail?PublicationID=P20201116194")</f>
        <v>https://www.airitibooks.com/Detail/Detail?PublicationID=P20201116194</v>
      </c>
      <c r="K216" s="13" t="str">
        <f>HYPERLINK("https://ntsu.idm.oclc.org/login?url=https://www.airitibooks.com/Detail/Detail?PublicationID=P20201116194", "https://ntsu.idm.oclc.org/login?url=https://www.airitibooks.com/Detail/Detail?PublicationID=P20201116194")</f>
        <v>https://ntsu.idm.oclc.org/login?url=https://www.airitibooks.com/Detail/Detail?PublicationID=P20201116194</v>
      </c>
    </row>
    <row r="217" spans="1:11" ht="51" x14ac:dyDescent="0.4">
      <c r="A217" s="10" t="s">
        <v>14885</v>
      </c>
      <c r="B217" s="10" t="s">
        <v>14886</v>
      </c>
      <c r="C217" s="10" t="s">
        <v>9915</v>
      </c>
      <c r="D217" s="10" t="s">
        <v>14887</v>
      </c>
      <c r="E217" s="10" t="s">
        <v>5998</v>
      </c>
      <c r="F217" s="10" t="s">
        <v>14888</v>
      </c>
      <c r="G217" s="10" t="s">
        <v>76</v>
      </c>
      <c r="H217" s="7" t="s">
        <v>24</v>
      </c>
      <c r="I217" s="7" t="s">
        <v>25</v>
      </c>
      <c r="J217" s="13" t="str">
        <f>HYPERLINK("https://www.airitibooks.com/Detail/Detail?PublicationID=P20201116196", "https://www.airitibooks.com/Detail/Detail?PublicationID=P20201116196")</f>
        <v>https://www.airitibooks.com/Detail/Detail?PublicationID=P20201116196</v>
      </c>
      <c r="K217" s="13" t="str">
        <f>HYPERLINK("https://ntsu.idm.oclc.org/login?url=https://www.airitibooks.com/Detail/Detail?PublicationID=P20201116196", "https://ntsu.idm.oclc.org/login?url=https://www.airitibooks.com/Detail/Detail?PublicationID=P20201116196")</f>
        <v>https://ntsu.idm.oclc.org/login?url=https://www.airitibooks.com/Detail/Detail?PublicationID=P20201116196</v>
      </c>
    </row>
    <row r="218" spans="1:11" ht="51" x14ac:dyDescent="0.4">
      <c r="A218" s="10" t="s">
        <v>14889</v>
      </c>
      <c r="B218" s="10" t="s">
        <v>14890</v>
      </c>
      <c r="C218" s="10" t="s">
        <v>9915</v>
      </c>
      <c r="D218" s="10" t="s">
        <v>14891</v>
      </c>
      <c r="E218" s="10" t="s">
        <v>5998</v>
      </c>
      <c r="F218" s="10" t="s">
        <v>8762</v>
      </c>
      <c r="G218" s="10" t="s">
        <v>76</v>
      </c>
      <c r="H218" s="7" t="s">
        <v>24</v>
      </c>
      <c r="I218" s="7" t="s">
        <v>25</v>
      </c>
      <c r="J218" s="13" t="str">
        <f>HYPERLINK("https://www.airitibooks.com/Detail/Detail?PublicationID=P20201116200", "https://www.airitibooks.com/Detail/Detail?PublicationID=P20201116200")</f>
        <v>https://www.airitibooks.com/Detail/Detail?PublicationID=P20201116200</v>
      </c>
      <c r="K218" s="13" t="str">
        <f>HYPERLINK("https://ntsu.idm.oclc.org/login?url=https://www.airitibooks.com/Detail/Detail?PublicationID=P20201116200", "https://ntsu.idm.oclc.org/login?url=https://www.airitibooks.com/Detail/Detail?PublicationID=P20201116200")</f>
        <v>https://ntsu.idm.oclc.org/login?url=https://www.airitibooks.com/Detail/Detail?PublicationID=P20201116200</v>
      </c>
    </row>
    <row r="219" spans="1:11" ht="51" x14ac:dyDescent="0.4">
      <c r="A219" s="10" t="s">
        <v>14892</v>
      </c>
      <c r="B219" s="10" t="s">
        <v>14893</v>
      </c>
      <c r="C219" s="10" t="s">
        <v>9915</v>
      </c>
      <c r="D219" s="10" t="s">
        <v>14894</v>
      </c>
      <c r="E219" s="10" t="s">
        <v>5998</v>
      </c>
      <c r="F219" s="10" t="s">
        <v>8933</v>
      </c>
      <c r="G219" s="10" t="s">
        <v>76</v>
      </c>
      <c r="H219" s="7" t="s">
        <v>24</v>
      </c>
      <c r="I219" s="7" t="s">
        <v>25</v>
      </c>
      <c r="J219" s="13" t="str">
        <f>HYPERLINK("https://www.airitibooks.com/Detail/Detail?PublicationID=P20201116202", "https://www.airitibooks.com/Detail/Detail?PublicationID=P20201116202")</f>
        <v>https://www.airitibooks.com/Detail/Detail?PublicationID=P20201116202</v>
      </c>
      <c r="K219" s="13" t="str">
        <f>HYPERLINK("https://ntsu.idm.oclc.org/login?url=https://www.airitibooks.com/Detail/Detail?PublicationID=P20201116202", "https://ntsu.idm.oclc.org/login?url=https://www.airitibooks.com/Detail/Detail?PublicationID=P20201116202")</f>
        <v>https://ntsu.idm.oclc.org/login?url=https://www.airitibooks.com/Detail/Detail?PublicationID=P20201116202</v>
      </c>
    </row>
    <row r="220" spans="1:11" ht="51" x14ac:dyDescent="0.4">
      <c r="A220" s="10" t="s">
        <v>14968</v>
      </c>
      <c r="B220" s="10" t="s">
        <v>14969</v>
      </c>
      <c r="C220" s="10" t="s">
        <v>938</v>
      </c>
      <c r="D220" s="10" t="s">
        <v>8908</v>
      </c>
      <c r="E220" s="10" t="s">
        <v>5998</v>
      </c>
      <c r="F220" s="10" t="s">
        <v>8909</v>
      </c>
      <c r="G220" s="10" t="s">
        <v>76</v>
      </c>
      <c r="H220" s="7" t="s">
        <v>24</v>
      </c>
      <c r="I220" s="7" t="s">
        <v>25</v>
      </c>
      <c r="J220" s="13" t="str">
        <f>HYPERLINK("https://www.airitibooks.com/Detail/Detail?PublicationID=P20201127040", "https://www.airitibooks.com/Detail/Detail?PublicationID=P20201127040")</f>
        <v>https://www.airitibooks.com/Detail/Detail?PublicationID=P20201127040</v>
      </c>
      <c r="K220" s="13" t="str">
        <f>HYPERLINK("https://ntsu.idm.oclc.org/login?url=https://www.airitibooks.com/Detail/Detail?PublicationID=P20201127040", "https://ntsu.idm.oclc.org/login?url=https://www.airitibooks.com/Detail/Detail?PublicationID=P20201127040")</f>
        <v>https://ntsu.idm.oclc.org/login?url=https://www.airitibooks.com/Detail/Detail?PublicationID=P20201127040</v>
      </c>
    </row>
    <row r="221" spans="1:11" ht="68" x14ac:dyDescent="0.4">
      <c r="A221" s="10" t="s">
        <v>14980</v>
      </c>
      <c r="B221" s="10" t="s">
        <v>14981</v>
      </c>
      <c r="C221" s="10" t="s">
        <v>791</v>
      </c>
      <c r="D221" s="10" t="s">
        <v>3197</v>
      </c>
      <c r="E221" s="10" t="s">
        <v>5998</v>
      </c>
      <c r="F221" s="10" t="s">
        <v>1078</v>
      </c>
      <c r="G221" s="10" t="s">
        <v>76</v>
      </c>
      <c r="H221" s="7" t="s">
        <v>24</v>
      </c>
      <c r="I221" s="7" t="s">
        <v>25</v>
      </c>
      <c r="J221" s="13" t="str">
        <f>HYPERLINK("https://www.airitibooks.com/Detail/Detail?PublicationID=P20201127127", "https://www.airitibooks.com/Detail/Detail?PublicationID=P20201127127")</f>
        <v>https://www.airitibooks.com/Detail/Detail?PublicationID=P20201127127</v>
      </c>
      <c r="K221" s="13" t="str">
        <f>HYPERLINK("https://ntsu.idm.oclc.org/login?url=https://www.airitibooks.com/Detail/Detail?PublicationID=P20201127127", "https://ntsu.idm.oclc.org/login?url=https://www.airitibooks.com/Detail/Detail?PublicationID=P20201127127")</f>
        <v>https://ntsu.idm.oclc.org/login?url=https://www.airitibooks.com/Detail/Detail?PublicationID=P20201127127</v>
      </c>
    </row>
    <row r="222" spans="1:11" ht="68" x14ac:dyDescent="0.4">
      <c r="A222" s="10" t="s">
        <v>14985</v>
      </c>
      <c r="B222" s="10" t="s">
        <v>14986</v>
      </c>
      <c r="C222" s="10" t="s">
        <v>791</v>
      </c>
      <c r="D222" s="10" t="s">
        <v>14987</v>
      </c>
      <c r="E222" s="10" t="s">
        <v>5998</v>
      </c>
      <c r="F222" s="10" t="s">
        <v>14988</v>
      </c>
      <c r="G222" s="10" t="s">
        <v>76</v>
      </c>
      <c r="H222" s="7" t="s">
        <v>24</v>
      </c>
      <c r="I222" s="7" t="s">
        <v>25</v>
      </c>
      <c r="J222" s="13" t="str">
        <f>HYPERLINK("https://www.airitibooks.com/Detail/Detail?PublicationID=P20201127129", "https://www.airitibooks.com/Detail/Detail?PublicationID=P20201127129")</f>
        <v>https://www.airitibooks.com/Detail/Detail?PublicationID=P20201127129</v>
      </c>
      <c r="K222" s="13" t="str">
        <f>HYPERLINK("https://ntsu.idm.oclc.org/login?url=https://www.airitibooks.com/Detail/Detail?PublicationID=P20201127129", "https://ntsu.idm.oclc.org/login?url=https://www.airitibooks.com/Detail/Detail?PublicationID=P20201127129")</f>
        <v>https://ntsu.idm.oclc.org/login?url=https://www.airitibooks.com/Detail/Detail?PublicationID=P20201127129</v>
      </c>
    </row>
    <row r="223" spans="1:11" ht="51" x14ac:dyDescent="0.4">
      <c r="A223" s="10" t="s">
        <v>14989</v>
      </c>
      <c r="B223" s="10" t="s">
        <v>14990</v>
      </c>
      <c r="C223" s="10" t="s">
        <v>791</v>
      </c>
      <c r="D223" s="10" t="s">
        <v>14991</v>
      </c>
      <c r="E223" s="10" t="s">
        <v>5998</v>
      </c>
      <c r="F223" s="10" t="s">
        <v>1078</v>
      </c>
      <c r="G223" s="10" t="s">
        <v>76</v>
      </c>
      <c r="H223" s="7" t="s">
        <v>24</v>
      </c>
      <c r="I223" s="7" t="s">
        <v>25</v>
      </c>
      <c r="J223" s="13" t="str">
        <f>HYPERLINK("https://www.airitibooks.com/Detail/Detail?PublicationID=P20201127133", "https://www.airitibooks.com/Detail/Detail?PublicationID=P20201127133")</f>
        <v>https://www.airitibooks.com/Detail/Detail?PublicationID=P20201127133</v>
      </c>
      <c r="K223" s="13" t="str">
        <f>HYPERLINK("https://ntsu.idm.oclc.org/login?url=https://www.airitibooks.com/Detail/Detail?PublicationID=P20201127133", "https://ntsu.idm.oclc.org/login?url=https://www.airitibooks.com/Detail/Detail?PublicationID=P20201127133")</f>
        <v>https://ntsu.idm.oclc.org/login?url=https://www.airitibooks.com/Detail/Detail?PublicationID=P20201127133</v>
      </c>
    </row>
    <row r="224" spans="1:11" ht="51" x14ac:dyDescent="0.4">
      <c r="A224" s="10" t="s">
        <v>15030</v>
      </c>
      <c r="B224" s="10" t="s">
        <v>15031</v>
      </c>
      <c r="C224" s="10" t="s">
        <v>938</v>
      </c>
      <c r="D224" s="10" t="s">
        <v>15032</v>
      </c>
      <c r="E224" s="10" t="s">
        <v>5998</v>
      </c>
      <c r="F224" s="10" t="s">
        <v>15033</v>
      </c>
      <c r="G224" s="10" t="s">
        <v>76</v>
      </c>
      <c r="H224" s="7" t="s">
        <v>24</v>
      </c>
      <c r="I224" s="7" t="s">
        <v>25</v>
      </c>
      <c r="J224" s="13" t="str">
        <f>HYPERLINK("https://www.airitibooks.com/Detail/Detail?PublicationID=P20201204050", "https://www.airitibooks.com/Detail/Detail?PublicationID=P20201204050")</f>
        <v>https://www.airitibooks.com/Detail/Detail?PublicationID=P20201204050</v>
      </c>
      <c r="K224" s="13" t="str">
        <f>HYPERLINK("https://ntsu.idm.oclc.org/login?url=https://www.airitibooks.com/Detail/Detail?PublicationID=P20201204050", "https://ntsu.idm.oclc.org/login?url=https://www.airitibooks.com/Detail/Detail?PublicationID=P20201204050")</f>
        <v>https://ntsu.idm.oclc.org/login?url=https://www.airitibooks.com/Detail/Detail?PublicationID=P20201204050</v>
      </c>
    </row>
    <row r="225" spans="1:11" ht="51" x14ac:dyDescent="0.4">
      <c r="A225" s="10" t="s">
        <v>8921</v>
      </c>
      <c r="B225" s="10" t="s">
        <v>15036</v>
      </c>
      <c r="C225" s="10" t="s">
        <v>938</v>
      </c>
      <c r="D225" s="10" t="s">
        <v>2867</v>
      </c>
      <c r="E225" s="10" t="s">
        <v>5998</v>
      </c>
      <c r="F225" s="10" t="s">
        <v>632</v>
      </c>
      <c r="G225" s="10" t="s">
        <v>76</v>
      </c>
      <c r="H225" s="7" t="s">
        <v>24</v>
      </c>
      <c r="I225" s="7" t="s">
        <v>25</v>
      </c>
      <c r="J225" s="13" t="str">
        <f>HYPERLINK("https://www.airitibooks.com/Detail/Detail?PublicationID=P20201204058", "https://www.airitibooks.com/Detail/Detail?PublicationID=P20201204058")</f>
        <v>https://www.airitibooks.com/Detail/Detail?PublicationID=P20201204058</v>
      </c>
      <c r="K225" s="13" t="str">
        <f>HYPERLINK("https://ntsu.idm.oclc.org/login?url=https://www.airitibooks.com/Detail/Detail?PublicationID=P20201204058", "https://ntsu.idm.oclc.org/login?url=https://www.airitibooks.com/Detail/Detail?PublicationID=P20201204058")</f>
        <v>https://ntsu.idm.oclc.org/login?url=https://www.airitibooks.com/Detail/Detail?PublicationID=P20201204058</v>
      </c>
    </row>
    <row r="226" spans="1:11" ht="51" x14ac:dyDescent="0.4">
      <c r="A226" s="10" t="s">
        <v>15039</v>
      </c>
      <c r="B226" s="10" t="s">
        <v>15040</v>
      </c>
      <c r="C226" s="10" t="s">
        <v>938</v>
      </c>
      <c r="D226" s="10" t="s">
        <v>15041</v>
      </c>
      <c r="E226" s="10" t="s">
        <v>5998</v>
      </c>
      <c r="F226" s="10" t="s">
        <v>14846</v>
      </c>
      <c r="G226" s="10" t="s">
        <v>76</v>
      </c>
      <c r="H226" s="7" t="s">
        <v>24</v>
      </c>
      <c r="I226" s="7" t="s">
        <v>25</v>
      </c>
      <c r="J226" s="13" t="str">
        <f>HYPERLINK("https://www.airitibooks.com/Detail/Detail?PublicationID=P20201204063", "https://www.airitibooks.com/Detail/Detail?PublicationID=P20201204063")</f>
        <v>https://www.airitibooks.com/Detail/Detail?PublicationID=P20201204063</v>
      </c>
      <c r="K226" s="13" t="str">
        <f>HYPERLINK("https://ntsu.idm.oclc.org/login?url=https://www.airitibooks.com/Detail/Detail?PublicationID=P20201204063", "https://ntsu.idm.oclc.org/login?url=https://www.airitibooks.com/Detail/Detail?PublicationID=P20201204063")</f>
        <v>https://ntsu.idm.oclc.org/login?url=https://www.airitibooks.com/Detail/Detail?PublicationID=P20201204063</v>
      </c>
    </row>
    <row r="227" spans="1:11" ht="51" x14ac:dyDescent="0.4">
      <c r="A227" s="10" t="s">
        <v>15042</v>
      </c>
      <c r="B227" s="10" t="s">
        <v>15043</v>
      </c>
      <c r="C227" s="10" t="s">
        <v>9915</v>
      </c>
      <c r="D227" s="10" t="s">
        <v>15044</v>
      </c>
      <c r="E227" s="10" t="s">
        <v>5998</v>
      </c>
      <c r="F227" s="10" t="s">
        <v>15045</v>
      </c>
      <c r="G227" s="10" t="s">
        <v>76</v>
      </c>
      <c r="H227" s="7" t="s">
        <v>24</v>
      </c>
      <c r="I227" s="7" t="s">
        <v>25</v>
      </c>
      <c r="J227" s="13" t="str">
        <f>HYPERLINK("https://www.airitibooks.com/Detail/Detail?PublicationID=P20201204123", "https://www.airitibooks.com/Detail/Detail?PublicationID=P20201204123")</f>
        <v>https://www.airitibooks.com/Detail/Detail?PublicationID=P20201204123</v>
      </c>
      <c r="K227" s="13" t="str">
        <f>HYPERLINK("https://ntsu.idm.oclc.org/login?url=https://www.airitibooks.com/Detail/Detail?PublicationID=P20201204123", "https://ntsu.idm.oclc.org/login?url=https://www.airitibooks.com/Detail/Detail?PublicationID=P20201204123")</f>
        <v>https://ntsu.idm.oclc.org/login?url=https://www.airitibooks.com/Detail/Detail?PublicationID=P20201204123</v>
      </c>
    </row>
    <row r="228" spans="1:11" ht="51" x14ac:dyDescent="0.4">
      <c r="A228" s="10" t="s">
        <v>15046</v>
      </c>
      <c r="B228" s="10" t="s">
        <v>15047</v>
      </c>
      <c r="C228" s="10" t="s">
        <v>9915</v>
      </c>
      <c r="D228" s="10" t="s">
        <v>15048</v>
      </c>
      <c r="E228" s="10" t="s">
        <v>5998</v>
      </c>
      <c r="F228" s="10" t="s">
        <v>15049</v>
      </c>
      <c r="G228" s="10" t="s">
        <v>76</v>
      </c>
      <c r="H228" s="7" t="s">
        <v>24</v>
      </c>
      <c r="I228" s="7" t="s">
        <v>25</v>
      </c>
      <c r="J228" s="13" t="str">
        <f>HYPERLINK("https://www.airitibooks.com/Detail/Detail?PublicationID=P20201204124", "https://www.airitibooks.com/Detail/Detail?PublicationID=P20201204124")</f>
        <v>https://www.airitibooks.com/Detail/Detail?PublicationID=P20201204124</v>
      </c>
      <c r="K228" s="13" t="str">
        <f>HYPERLINK("https://ntsu.idm.oclc.org/login?url=https://www.airitibooks.com/Detail/Detail?PublicationID=P20201204124", "https://ntsu.idm.oclc.org/login?url=https://www.airitibooks.com/Detail/Detail?PublicationID=P20201204124")</f>
        <v>https://ntsu.idm.oclc.org/login?url=https://www.airitibooks.com/Detail/Detail?PublicationID=P20201204124</v>
      </c>
    </row>
    <row r="229" spans="1:11" ht="85" x14ac:dyDescent="0.4">
      <c r="A229" s="10" t="s">
        <v>15050</v>
      </c>
      <c r="B229" s="10" t="s">
        <v>15051</v>
      </c>
      <c r="C229" s="10" t="s">
        <v>12154</v>
      </c>
      <c r="D229" s="10" t="s">
        <v>15052</v>
      </c>
      <c r="E229" s="10" t="s">
        <v>5998</v>
      </c>
      <c r="F229" s="10" t="s">
        <v>8950</v>
      </c>
      <c r="G229" s="10" t="s">
        <v>76</v>
      </c>
      <c r="H229" s="7" t="s">
        <v>24</v>
      </c>
      <c r="I229" s="7" t="s">
        <v>25</v>
      </c>
      <c r="J229" s="13" t="str">
        <f>HYPERLINK("https://www.airitibooks.com/Detail/Detail?PublicationID=P20201204130", "https://www.airitibooks.com/Detail/Detail?PublicationID=P20201204130")</f>
        <v>https://www.airitibooks.com/Detail/Detail?PublicationID=P20201204130</v>
      </c>
      <c r="K229" s="13" t="str">
        <f>HYPERLINK("https://ntsu.idm.oclc.org/login?url=https://www.airitibooks.com/Detail/Detail?PublicationID=P20201204130", "https://ntsu.idm.oclc.org/login?url=https://www.airitibooks.com/Detail/Detail?PublicationID=P20201204130")</f>
        <v>https://ntsu.idm.oclc.org/login?url=https://www.airitibooks.com/Detail/Detail?PublicationID=P20201204130</v>
      </c>
    </row>
    <row r="230" spans="1:11" ht="51" x14ac:dyDescent="0.4">
      <c r="A230" s="10" t="s">
        <v>15078</v>
      </c>
      <c r="B230" s="10" t="s">
        <v>15079</v>
      </c>
      <c r="C230" s="10" t="s">
        <v>544</v>
      </c>
      <c r="D230" s="10" t="s">
        <v>15080</v>
      </c>
      <c r="E230" s="10" t="s">
        <v>5998</v>
      </c>
      <c r="F230" s="10" t="s">
        <v>7106</v>
      </c>
      <c r="G230" s="10" t="s">
        <v>76</v>
      </c>
      <c r="H230" s="7" t="s">
        <v>24</v>
      </c>
      <c r="I230" s="7" t="s">
        <v>25</v>
      </c>
      <c r="J230" s="13" t="str">
        <f>HYPERLINK("https://www.airitibooks.com/Detail/Detail?PublicationID=P20201211021", "https://www.airitibooks.com/Detail/Detail?PublicationID=P20201211021")</f>
        <v>https://www.airitibooks.com/Detail/Detail?PublicationID=P20201211021</v>
      </c>
      <c r="K230" s="13" t="str">
        <f>HYPERLINK("https://ntsu.idm.oclc.org/login?url=https://www.airitibooks.com/Detail/Detail?PublicationID=P20201211021", "https://ntsu.idm.oclc.org/login?url=https://www.airitibooks.com/Detail/Detail?PublicationID=P20201211021")</f>
        <v>https://ntsu.idm.oclc.org/login?url=https://www.airitibooks.com/Detail/Detail?PublicationID=P20201211021</v>
      </c>
    </row>
    <row r="231" spans="1:11" ht="51" x14ac:dyDescent="0.4">
      <c r="A231" s="10" t="s">
        <v>15189</v>
      </c>
      <c r="B231" s="10" t="s">
        <v>15190</v>
      </c>
      <c r="C231" s="10" t="s">
        <v>9915</v>
      </c>
      <c r="D231" s="10" t="s">
        <v>15191</v>
      </c>
      <c r="E231" s="10" t="s">
        <v>5998</v>
      </c>
      <c r="F231" s="10" t="s">
        <v>15192</v>
      </c>
      <c r="G231" s="10" t="s">
        <v>76</v>
      </c>
      <c r="H231" s="7" t="s">
        <v>24</v>
      </c>
      <c r="I231" s="7" t="s">
        <v>25</v>
      </c>
      <c r="J231" s="13" t="str">
        <f>HYPERLINK("https://www.airitibooks.com/Detail/Detail?PublicationID=P20210115024", "https://www.airitibooks.com/Detail/Detail?PublicationID=P20210115024")</f>
        <v>https://www.airitibooks.com/Detail/Detail?PublicationID=P20210115024</v>
      </c>
      <c r="K231" s="13" t="str">
        <f>HYPERLINK("https://ntsu.idm.oclc.org/login?url=https://www.airitibooks.com/Detail/Detail?PublicationID=P20210115024", "https://ntsu.idm.oclc.org/login?url=https://www.airitibooks.com/Detail/Detail?PublicationID=P20210115024")</f>
        <v>https://ntsu.idm.oclc.org/login?url=https://www.airitibooks.com/Detail/Detail?PublicationID=P20210115024</v>
      </c>
    </row>
    <row r="232" spans="1:11" ht="68" x14ac:dyDescent="0.4">
      <c r="A232" s="10" t="s">
        <v>15196</v>
      </c>
      <c r="B232" s="10" t="s">
        <v>15197</v>
      </c>
      <c r="C232" s="10" t="s">
        <v>10384</v>
      </c>
      <c r="D232" s="10" t="s">
        <v>15198</v>
      </c>
      <c r="E232" s="10" t="s">
        <v>5998</v>
      </c>
      <c r="F232" s="10" t="s">
        <v>15199</v>
      </c>
      <c r="G232" s="10" t="s">
        <v>76</v>
      </c>
      <c r="H232" s="7" t="s">
        <v>24</v>
      </c>
      <c r="I232" s="7" t="s">
        <v>25</v>
      </c>
      <c r="J232" s="13" t="str">
        <f>HYPERLINK("https://www.airitibooks.com/Detail/Detail?PublicationID=P20210129022", "https://www.airitibooks.com/Detail/Detail?PublicationID=P20210129022")</f>
        <v>https://www.airitibooks.com/Detail/Detail?PublicationID=P20210129022</v>
      </c>
      <c r="K232" s="13" t="str">
        <f>HYPERLINK("https://ntsu.idm.oclc.org/login?url=https://www.airitibooks.com/Detail/Detail?PublicationID=P20210129022", "https://ntsu.idm.oclc.org/login?url=https://www.airitibooks.com/Detail/Detail?PublicationID=P20210129022")</f>
        <v>https://ntsu.idm.oclc.org/login?url=https://www.airitibooks.com/Detail/Detail?PublicationID=P20210129022</v>
      </c>
    </row>
    <row r="233" spans="1:11" ht="68" x14ac:dyDescent="0.4">
      <c r="A233" s="10" t="s">
        <v>15209</v>
      </c>
      <c r="B233" s="10" t="s">
        <v>15210</v>
      </c>
      <c r="C233" s="10" t="s">
        <v>11995</v>
      </c>
      <c r="D233" s="10" t="s">
        <v>15211</v>
      </c>
      <c r="E233" s="10" t="s">
        <v>5998</v>
      </c>
      <c r="F233" s="10" t="s">
        <v>3680</v>
      </c>
      <c r="G233" s="10" t="s">
        <v>76</v>
      </c>
      <c r="H233" s="7" t="s">
        <v>24</v>
      </c>
      <c r="I233" s="7" t="s">
        <v>25</v>
      </c>
      <c r="J233" s="13" t="str">
        <f>HYPERLINK("https://www.airitibooks.com/Detail/Detail?PublicationID=P20210201001", "https://www.airitibooks.com/Detail/Detail?PublicationID=P20210201001")</f>
        <v>https://www.airitibooks.com/Detail/Detail?PublicationID=P20210201001</v>
      </c>
      <c r="K233" s="13" t="str">
        <f>HYPERLINK("https://ntsu.idm.oclc.org/login?url=https://www.airitibooks.com/Detail/Detail?PublicationID=P20210201001", "https://ntsu.idm.oclc.org/login?url=https://www.airitibooks.com/Detail/Detail?PublicationID=P20210201001")</f>
        <v>https://ntsu.idm.oclc.org/login?url=https://www.airitibooks.com/Detail/Detail?PublicationID=P20210201001</v>
      </c>
    </row>
    <row r="234" spans="1:11" ht="51" x14ac:dyDescent="0.4">
      <c r="A234" s="10" t="s">
        <v>15288</v>
      </c>
      <c r="B234" s="10" t="s">
        <v>15289</v>
      </c>
      <c r="C234" s="10" t="s">
        <v>15011</v>
      </c>
      <c r="D234" s="10" t="s">
        <v>15290</v>
      </c>
      <c r="E234" s="10" t="s">
        <v>5998</v>
      </c>
      <c r="F234" s="10" t="s">
        <v>2898</v>
      </c>
      <c r="G234" s="10" t="s">
        <v>76</v>
      </c>
      <c r="H234" s="7" t="s">
        <v>1031</v>
      </c>
      <c r="I234" s="7" t="s">
        <v>25</v>
      </c>
      <c r="J234" s="13" t="str">
        <f>HYPERLINK("https://www.airitibooks.com/Detail/Detail?PublicationID=P20210225228", "https://www.airitibooks.com/Detail/Detail?PublicationID=P20210225228")</f>
        <v>https://www.airitibooks.com/Detail/Detail?PublicationID=P20210225228</v>
      </c>
      <c r="K234" s="13" t="str">
        <f>HYPERLINK("https://ntsu.idm.oclc.org/login?url=https://www.airitibooks.com/Detail/Detail?PublicationID=P20210225228", "https://ntsu.idm.oclc.org/login?url=https://www.airitibooks.com/Detail/Detail?PublicationID=P20210225228")</f>
        <v>https://ntsu.idm.oclc.org/login?url=https://www.airitibooks.com/Detail/Detail?PublicationID=P20210225228</v>
      </c>
    </row>
    <row r="235" spans="1:11" ht="51" x14ac:dyDescent="0.4">
      <c r="A235" s="10" t="s">
        <v>15329</v>
      </c>
      <c r="B235" s="10" t="s">
        <v>15330</v>
      </c>
      <c r="C235" s="10" t="s">
        <v>9828</v>
      </c>
      <c r="D235" s="10" t="s">
        <v>15331</v>
      </c>
      <c r="E235" s="10" t="s">
        <v>5998</v>
      </c>
      <c r="F235" s="10" t="s">
        <v>3829</v>
      </c>
      <c r="G235" s="10" t="s">
        <v>76</v>
      </c>
      <c r="H235" s="7" t="s">
        <v>1031</v>
      </c>
      <c r="I235" s="7" t="s">
        <v>25</v>
      </c>
      <c r="J235" s="13" t="str">
        <f>HYPERLINK("https://www.airitibooks.com/Detail/Detail?PublicationID=P20210326099", "https://www.airitibooks.com/Detail/Detail?PublicationID=P20210326099")</f>
        <v>https://www.airitibooks.com/Detail/Detail?PublicationID=P20210326099</v>
      </c>
      <c r="K235" s="13" t="str">
        <f>HYPERLINK("https://ntsu.idm.oclc.org/login?url=https://www.airitibooks.com/Detail/Detail?PublicationID=P20210326099", "https://ntsu.idm.oclc.org/login?url=https://www.airitibooks.com/Detail/Detail?PublicationID=P20210326099")</f>
        <v>https://ntsu.idm.oclc.org/login?url=https://www.airitibooks.com/Detail/Detail?PublicationID=P20210326099</v>
      </c>
    </row>
    <row r="236" spans="1:11" ht="51" x14ac:dyDescent="0.4">
      <c r="A236" s="10" t="s">
        <v>15336</v>
      </c>
      <c r="B236" s="10" t="s">
        <v>15337</v>
      </c>
      <c r="C236" s="10" t="s">
        <v>938</v>
      </c>
      <c r="D236" s="10" t="s">
        <v>15338</v>
      </c>
      <c r="E236" s="10" t="s">
        <v>5998</v>
      </c>
      <c r="F236" s="10" t="s">
        <v>5854</v>
      </c>
      <c r="G236" s="10" t="s">
        <v>76</v>
      </c>
      <c r="H236" s="7" t="s">
        <v>24</v>
      </c>
      <c r="I236" s="7" t="s">
        <v>25</v>
      </c>
      <c r="J236" s="13" t="str">
        <f>HYPERLINK("https://www.airitibooks.com/Detail/Detail?PublicationID=P20210401001", "https://www.airitibooks.com/Detail/Detail?PublicationID=P20210401001")</f>
        <v>https://www.airitibooks.com/Detail/Detail?PublicationID=P20210401001</v>
      </c>
      <c r="K236" s="13" t="str">
        <f>HYPERLINK("https://ntsu.idm.oclc.org/login?url=https://www.airitibooks.com/Detail/Detail?PublicationID=P20210401001", "https://ntsu.idm.oclc.org/login?url=https://www.airitibooks.com/Detail/Detail?PublicationID=P20210401001")</f>
        <v>https://ntsu.idm.oclc.org/login?url=https://www.airitibooks.com/Detail/Detail?PublicationID=P20210401001</v>
      </c>
    </row>
    <row r="237" spans="1:11" ht="204" x14ac:dyDescent="0.4">
      <c r="A237" s="10" t="s">
        <v>15353</v>
      </c>
      <c r="B237" s="10" t="s">
        <v>15354</v>
      </c>
      <c r="C237" s="10" t="s">
        <v>15355</v>
      </c>
      <c r="D237" s="10" t="s">
        <v>15356</v>
      </c>
      <c r="E237" s="10" t="s">
        <v>5998</v>
      </c>
      <c r="F237" s="10" t="s">
        <v>2888</v>
      </c>
      <c r="G237" s="10" t="s">
        <v>76</v>
      </c>
      <c r="H237" s="7" t="s">
        <v>24</v>
      </c>
      <c r="I237" s="7" t="s">
        <v>25</v>
      </c>
      <c r="J237" s="13" t="str">
        <f>HYPERLINK("https://www.airitibooks.com/Detail/Detail?PublicationID=P20210414081", "https://www.airitibooks.com/Detail/Detail?PublicationID=P20210414081")</f>
        <v>https://www.airitibooks.com/Detail/Detail?PublicationID=P20210414081</v>
      </c>
      <c r="K237" s="13" t="str">
        <f>HYPERLINK("https://ntsu.idm.oclc.org/login?url=https://www.airitibooks.com/Detail/Detail?PublicationID=P20210414081", "https://ntsu.idm.oclc.org/login?url=https://www.airitibooks.com/Detail/Detail?PublicationID=P20210414081")</f>
        <v>https://ntsu.idm.oclc.org/login?url=https://www.airitibooks.com/Detail/Detail?PublicationID=P20210414081</v>
      </c>
    </row>
    <row r="238" spans="1:11" ht="204" x14ac:dyDescent="0.4">
      <c r="A238" s="10" t="s">
        <v>15357</v>
      </c>
      <c r="B238" s="10" t="s">
        <v>15358</v>
      </c>
      <c r="C238" s="10" t="s">
        <v>15355</v>
      </c>
      <c r="D238" s="10" t="s">
        <v>15356</v>
      </c>
      <c r="E238" s="10" t="s">
        <v>5998</v>
      </c>
      <c r="F238" s="10" t="s">
        <v>2888</v>
      </c>
      <c r="G238" s="10" t="s">
        <v>76</v>
      </c>
      <c r="H238" s="7" t="s">
        <v>24</v>
      </c>
      <c r="I238" s="7" t="s">
        <v>25</v>
      </c>
      <c r="J238" s="13" t="str">
        <f>HYPERLINK("https://www.airitibooks.com/Detail/Detail?PublicationID=P20210414082", "https://www.airitibooks.com/Detail/Detail?PublicationID=P20210414082")</f>
        <v>https://www.airitibooks.com/Detail/Detail?PublicationID=P20210414082</v>
      </c>
      <c r="K238" s="13" t="str">
        <f>HYPERLINK("https://ntsu.idm.oclc.org/login?url=https://www.airitibooks.com/Detail/Detail?PublicationID=P20210414082", "https://ntsu.idm.oclc.org/login?url=https://www.airitibooks.com/Detail/Detail?PublicationID=P20210414082")</f>
        <v>https://ntsu.idm.oclc.org/login?url=https://www.airitibooks.com/Detail/Detail?PublicationID=P20210414082</v>
      </c>
    </row>
    <row r="239" spans="1:11" ht="204" x14ac:dyDescent="0.4">
      <c r="A239" s="10" t="s">
        <v>15359</v>
      </c>
      <c r="B239" s="10" t="s">
        <v>15360</v>
      </c>
      <c r="C239" s="10" t="s">
        <v>15355</v>
      </c>
      <c r="D239" s="10" t="s">
        <v>15361</v>
      </c>
      <c r="E239" s="10" t="s">
        <v>5998</v>
      </c>
      <c r="F239" s="10" t="s">
        <v>2888</v>
      </c>
      <c r="G239" s="10" t="s">
        <v>76</v>
      </c>
      <c r="H239" s="7" t="s">
        <v>24</v>
      </c>
      <c r="I239" s="7" t="s">
        <v>25</v>
      </c>
      <c r="J239" s="13" t="str">
        <f>HYPERLINK("https://www.airitibooks.com/Detail/Detail?PublicationID=P20210414083", "https://www.airitibooks.com/Detail/Detail?PublicationID=P20210414083")</f>
        <v>https://www.airitibooks.com/Detail/Detail?PublicationID=P20210414083</v>
      </c>
      <c r="K239" s="13" t="str">
        <f>HYPERLINK("https://ntsu.idm.oclc.org/login?url=https://www.airitibooks.com/Detail/Detail?PublicationID=P20210414083", "https://ntsu.idm.oclc.org/login?url=https://www.airitibooks.com/Detail/Detail?PublicationID=P20210414083")</f>
        <v>https://ntsu.idm.oclc.org/login?url=https://www.airitibooks.com/Detail/Detail?PublicationID=P20210414083</v>
      </c>
    </row>
    <row r="240" spans="1:11" ht="51" x14ac:dyDescent="0.4">
      <c r="A240" s="10" t="s">
        <v>15446</v>
      </c>
      <c r="B240" s="10" t="s">
        <v>15447</v>
      </c>
      <c r="C240" s="10" t="s">
        <v>11995</v>
      </c>
      <c r="D240" s="10" t="s">
        <v>15448</v>
      </c>
      <c r="E240" s="10" t="s">
        <v>5998</v>
      </c>
      <c r="F240" s="10" t="s">
        <v>2871</v>
      </c>
      <c r="G240" s="10" t="s">
        <v>76</v>
      </c>
      <c r="H240" s="7" t="s">
        <v>24</v>
      </c>
      <c r="I240" s="7" t="s">
        <v>25</v>
      </c>
      <c r="J240" s="13" t="str">
        <f>HYPERLINK("https://www.airitibooks.com/Detail/Detail?PublicationID=P20210428055", "https://www.airitibooks.com/Detail/Detail?PublicationID=P20210428055")</f>
        <v>https://www.airitibooks.com/Detail/Detail?PublicationID=P20210428055</v>
      </c>
      <c r="K240" s="13" t="str">
        <f>HYPERLINK("https://ntsu.idm.oclc.org/login?url=https://www.airitibooks.com/Detail/Detail?PublicationID=P20210428055", "https://ntsu.idm.oclc.org/login?url=https://www.airitibooks.com/Detail/Detail?PublicationID=P20210428055")</f>
        <v>https://ntsu.idm.oclc.org/login?url=https://www.airitibooks.com/Detail/Detail?PublicationID=P20210428055</v>
      </c>
    </row>
    <row r="241" spans="1:11" ht="51" x14ac:dyDescent="0.4">
      <c r="A241" s="10" t="s">
        <v>15461</v>
      </c>
      <c r="B241" s="10" t="s">
        <v>15462</v>
      </c>
      <c r="C241" s="10" t="s">
        <v>11995</v>
      </c>
      <c r="D241" s="10" t="s">
        <v>15463</v>
      </c>
      <c r="E241" s="10" t="s">
        <v>5998</v>
      </c>
      <c r="F241" s="10" t="s">
        <v>1078</v>
      </c>
      <c r="G241" s="10" t="s">
        <v>76</v>
      </c>
      <c r="H241" s="7" t="s">
        <v>24</v>
      </c>
      <c r="I241" s="7" t="s">
        <v>25</v>
      </c>
      <c r="J241" s="13" t="str">
        <f>HYPERLINK("https://www.airitibooks.com/Detail/Detail?PublicationID=P20210428060", "https://www.airitibooks.com/Detail/Detail?PublicationID=P20210428060")</f>
        <v>https://www.airitibooks.com/Detail/Detail?PublicationID=P20210428060</v>
      </c>
      <c r="K241" s="13" t="str">
        <f>HYPERLINK("https://ntsu.idm.oclc.org/login?url=https://www.airitibooks.com/Detail/Detail?PublicationID=P20210428060", "https://ntsu.idm.oclc.org/login?url=https://www.airitibooks.com/Detail/Detail?PublicationID=P20210428060")</f>
        <v>https://ntsu.idm.oclc.org/login?url=https://www.airitibooks.com/Detail/Detail?PublicationID=P20210428060</v>
      </c>
    </row>
    <row r="242" spans="1:11" ht="51" x14ac:dyDescent="0.4">
      <c r="A242" s="10" t="s">
        <v>15526</v>
      </c>
      <c r="B242" s="10" t="s">
        <v>15527</v>
      </c>
      <c r="C242" s="10" t="s">
        <v>14755</v>
      </c>
      <c r="D242" s="10" t="s">
        <v>8223</v>
      </c>
      <c r="E242" s="10" t="s">
        <v>5998</v>
      </c>
      <c r="F242" s="10" t="s">
        <v>15528</v>
      </c>
      <c r="G242" s="10" t="s">
        <v>76</v>
      </c>
      <c r="H242" s="7" t="s">
        <v>24</v>
      </c>
      <c r="I242" s="7" t="s">
        <v>25</v>
      </c>
      <c r="J242" s="13" t="str">
        <f>HYPERLINK("https://www.airitibooks.com/Detail/Detail?PublicationID=P20210611101", "https://www.airitibooks.com/Detail/Detail?PublicationID=P20210611101")</f>
        <v>https://www.airitibooks.com/Detail/Detail?PublicationID=P20210611101</v>
      </c>
      <c r="K242" s="13" t="str">
        <f>HYPERLINK("https://ntsu.idm.oclc.org/login?url=https://www.airitibooks.com/Detail/Detail?PublicationID=P20210611101", "https://ntsu.idm.oclc.org/login?url=https://www.airitibooks.com/Detail/Detail?PublicationID=P20210611101")</f>
        <v>https://ntsu.idm.oclc.org/login?url=https://www.airitibooks.com/Detail/Detail?PublicationID=P20210611101</v>
      </c>
    </row>
    <row r="243" spans="1:11" ht="51" x14ac:dyDescent="0.4">
      <c r="A243" s="10" t="s">
        <v>15562</v>
      </c>
      <c r="B243" s="10" t="s">
        <v>15563</v>
      </c>
      <c r="C243" s="10" t="s">
        <v>13223</v>
      </c>
      <c r="D243" s="10" t="s">
        <v>15564</v>
      </c>
      <c r="E243" s="10" t="s">
        <v>5998</v>
      </c>
      <c r="F243" s="10" t="s">
        <v>15553</v>
      </c>
      <c r="G243" s="10" t="s">
        <v>76</v>
      </c>
      <c r="H243" s="7" t="s">
        <v>1031</v>
      </c>
      <c r="I243" s="7" t="s">
        <v>25</v>
      </c>
      <c r="J243" s="13" t="str">
        <f>HYPERLINK("https://www.airitibooks.com/Detail/Detail?PublicationID=P20210726375", "https://www.airitibooks.com/Detail/Detail?PublicationID=P20210726375")</f>
        <v>https://www.airitibooks.com/Detail/Detail?PublicationID=P20210726375</v>
      </c>
      <c r="K243" s="13" t="str">
        <f>HYPERLINK("https://ntsu.idm.oclc.org/login?url=https://www.airitibooks.com/Detail/Detail?PublicationID=P20210726375", "https://ntsu.idm.oclc.org/login?url=https://www.airitibooks.com/Detail/Detail?PublicationID=P20210726375")</f>
        <v>https://ntsu.idm.oclc.org/login?url=https://www.airitibooks.com/Detail/Detail?PublicationID=P20210726375</v>
      </c>
    </row>
    <row r="244" spans="1:11" ht="51" x14ac:dyDescent="0.4">
      <c r="A244" s="10" t="s">
        <v>15571</v>
      </c>
      <c r="B244" s="10" t="s">
        <v>15572</v>
      </c>
      <c r="C244" s="10" t="s">
        <v>13223</v>
      </c>
      <c r="D244" s="10" t="s">
        <v>15573</v>
      </c>
      <c r="E244" s="10" t="s">
        <v>5998</v>
      </c>
      <c r="F244" s="10" t="s">
        <v>15574</v>
      </c>
      <c r="G244" s="10" t="s">
        <v>76</v>
      </c>
      <c r="H244" s="7" t="s">
        <v>1031</v>
      </c>
      <c r="I244" s="7" t="s">
        <v>25</v>
      </c>
      <c r="J244" s="13" t="str">
        <f>HYPERLINK("https://www.airitibooks.com/Detail/Detail?PublicationID=P20210726462", "https://www.airitibooks.com/Detail/Detail?PublicationID=P20210726462")</f>
        <v>https://www.airitibooks.com/Detail/Detail?PublicationID=P20210726462</v>
      </c>
      <c r="K244" s="13" t="str">
        <f>HYPERLINK("https://ntsu.idm.oclc.org/login?url=https://www.airitibooks.com/Detail/Detail?PublicationID=P20210726462", "https://ntsu.idm.oclc.org/login?url=https://www.airitibooks.com/Detail/Detail?PublicationID=P20210726462")</f>
        <v>https://ntsu.idm.oclc.org/login?url=https://www.airitibooks.com/Detail/Detail?PublicationID=P20210726462</v>
      </c>
    </row>
    <row r="245" spans="1:11" ht="51" x14ac:dyDescent="0.4">
      <c r="A245" s="10" t="s">
        <v>15575</v>
      </c>
      <c r="B245" s="10" t="s">
        <v>15576</v>
      </c>
      <c r="C245" s="10" t="s">
        <v>13223</v>
      </c>
      <c r="D245" s="10" t="s">
        <v>15577</v>
      </c>
      <c r="E245" s="10" t="s">
        <v>5998</v>
      </c>
      <c r="F245" s="10" t="s">
        <v>13307</v>
      </c>
      <c r="G245" s="10" t="s">
        <v>76</v>
      </c>
      <c r="H245" s="7" t="s">
        <v>1031</v>
      </c>
      <c r="I245" s="7" t="s">
        <v>25</v>
      </c>
      <c r="J245" s="13" t="str">
        <f>HYPERLINK("https://www.airitibooks.com/Detail/Detail?PublicationID=P20210726474", "https://www.airitibooks.com/Detail/Detail?PublicationID=P20210726474")</f>
        <v>https://www.airitibooks.com/Detail/Detail?PublicationID=P20210726474</v>
      </c>
      <c r="K245" s="13" t="str">
        <f>HYPERLINK("https://ntsu.idm.oclc.org/login?url=https://www.airitibooks.com/Detail/Detail?PublicationID=P20210726474", "https://ntsu.idm.oclc.org/login?url=https://www.airitibooks.com/Detail/Detail?PublicationID=P20210726474")</f>
        <v>https://ntsu.idm.oclc.org/login?url=https://www.airitibooks.com/Detail/Detail?PublicationID=P20210726474</v>
      </c>
    </row>
    <row r="246" spans="1:11" ht="51" x14ac:dyDescent="0.4">
      <c r="A246" s="10" t="s">
        <v>15596</v>
      </c>
      <c r="B246" s="10" t="s">
        <v>15597</v>
      </c>
      <c r="C246" s="10" t="s">
        <v>1504</v>
      </c>
      <c r="D246" s="10" t="s">
        <v>2197</v>
      </c>
      <c r="E246" s="10" t="s">
        <v>5998</v>
      </c>
      <c r="F246" s="10" t="s">
        <v>538</v>
      </c>
      <c r="G246" s="10" t="s">
        <v>76</v>
      </c>
      <c r="H246" s="7" t="s">
        <v>24</v>
      </c>
      <c r="I246" s="7" t="s">
        <v>25</v>
      </c>
      <c r="J246" s="13" t="str">
        <f>HYPERLINK("https://www.airitibooks.com/Detail/Detail?PublicationID=P20210906097", "https://www.airitibooks.com/Detail/Detail?PublicationID=P20210906097")</f>
        <v>https://www.airitibooks.com/Detail/Detail?PublicationID=P20210906097</v>
      </c>
      <c r="K246" s="13" t="str">
        <f>HYPERLINK("https://ntsu.idm.oclc.org/login?url=https://www.airitibooks.com/Detail/Detail?PublicationID=P20210906097", "https://ntsu.idm.oclc.org/login?url=https://www.airitibooks.com/Detail/Detail?PublicationID=P20210906097")</f>
        <v>https://ntsu.idm.oclc.org/login?url=https://www.airitibooks.com/Detail/Detail?PublicationID=P20210906097</v>
      </c>
    </row>
    <row r="247" spans="1:11" ht="51" x14ac:dyDescent="0.4">
      <c r="A247" s="10" t="s">
        <v>15601</v>
      </c>
      <c r="B247" s="10" t="s">
        <v>15602</v>
      </c>
      <c r="C247" s="10" t="s">
        <v>15603</v>
      </c>
      <c r="D247" s="10" t="s">
        <v>15604</v>
      </c>
      <c r="E247" s="10" t="s">
        <v>5998</v>
      </c>
      <c r="F247" s="10" t="s">
        <v>9081</v>
      </c>
      <c r="G247" s="10" t="s">
        <v>76</v>
      </c>
      <c r="H247" s="7" t="s">
        <v>1031</v>
      </c>
      <c r="I247" s="7" t="s">
        <v>25</v>
      </c>
      <c r="J247" s="13" t="str">
        <f>HYPERLINK("https://www.airitibooks.com/Detail/Detail?PublicationID=P20211208070", "https://www.airitibooks.com/Detail/Detail?PublicationID=P20211208070")</f>
        <v>https://www.airitibooks.com/Detail/Detail?PublicationID=P20211208070</v>
      </c>
      <c r="K247" s="13" t="str">
        <f>HYPERLINK("https://ntsu.idm.oclc.org/login?url=https://www.airitibooks.com/Detail/Detail?PublicationID=P20211208070", "https://ntsu.idm.oclc.org/login?url=https://www.airitibooks.com/Detail/Detail?PublicationID=P20211208070")</f>
        <v>https://ntsu.idm.oclc.org/login?url=https://www.airitibooks.com/Detail/Detail?PublicationID=P20211208070</v>
      </c>
    </row>
    <row r="248" spans="1:11" ht="51" x14ac:dyDescent="0.4">
      <c r="A248" s="10" t="s">
        <v>15605</v>
      </c>
      <c r="B248" s="10" t="s">
        <v>15606</v>
      </c>
      <c r="C248" s="10" t="s">
        <v>15603</v>
      </c>
      <c r="D248" s="10" t="s">
        <v>15607</v>
      </c>
      <c r="E248" s="10" t="s">
        <v>5998</v>
      </c>
      <c r="F248" s="10" t="s">
        <v>5887</v>
      </c>
      <c r="G248" s="10" t="s">
        <v>76</v>
      </c>
      <c r="H248" s="7" t="s">
        <v>1031</v>
      </c>
      <c r="I248" s="7" t="s">
        <v>25</v>
      </c>
      <c r="J248" s="13" t="str">
        <f>HYPERLINK("https://www.airitibooks.com/Detail/Detail?PublicationID=P20211208071", "https://www.airitibooks.com/Detail/Detail?PublicationID=P20211208071")</f>
        <v>https://www.airitibooks.com/Detail/Detail?PublicationID=P20211208071</v>
      </c>
      <c r="K248" s="13" t="str">
        <f>HYPERLINK("https://ntsu.idm.oclc.org/login?url=https://www.airitibooks.com/Detail/Detail?PublicationID=P20211208071", "https://ntsu.idm.oclc.org/login?url=https://www.airitibooks.com/Detail/Detail?PublicationID=P20211208071")</f>
        <v>https://ntsu.idm.oclc.org/login?url=https://www.airitibooks.com/Detail/Detail?PublicationID=P20211208071</v>
      </c>
    </row>
    <row r="249" spans="1:11" ht="51" x14ac:dyDescent="0.4">
      <c r="A249" s="10" t="s">
        <v>15618</v>
      </c>
      <c r="B249" s="10" t="s">
        <v>15619</v>
      </c>
      <c r="C249" s="10" t="s">
        <v>15603</v>
      </c>
      <c r="D249" s="10" t="s">
        <v>15620</v>
      </c>
      <c r="E249" s="10" t="s">
        <v>5998</v>
      </c>
      <c r="F249" s="10" t="s">
        <v>5887</v>
      </c>
      <c r="G249" s="10" t="s">
        <v>76</v>
      </c>
      <c r="H249" s="7" t="s">
        <v>1031</v>
      </c>
      <c r="I249" s="7" t="s">
        <v>25</v>
      </c>
      <c r="J249" s="13" t="str">
        <f>HYPERLINK("https://www.airitibooks.com/Detail/Detail?PublicationID=P20211220081", "https://www.airitibooks.com/Detail/Detail?PublicationID=P20211220081")</f>
        <v>https://www.airitibooks.com/Detail/Detail?PublicationID=P20211220081</v>
      </c>
      <c r="K249" s="13" t="str">
        <f>HYPERLINK("https://ntsu.idm.oclc.org/login?url=https://www.airitibooks.com/Detail/Detail?PublicationID=P20211220081", "https://ntsu.idm.oclc.org/login?url=https://www.airitibooks.com/Detail/Detail?PublicationID=P20211220081")</f>
        <v>https://ntsu.idm.oclc.org/login?url=https://www.airitibooks.com/Detail/Detail?PublicationID=P20211220081</v>
      </c>
    </row>
    <row r="250" spans="1:11" ht="51" x14ac:dyDescent="0.4">
      <c r="A250" s="10" t="s">
        <v>15627</v>
      </c>
      <c r="B250" s="10" t="s">
        <v>15628</v>
      </c>
      <c r="C250" s="10" t="s">
        <v>15603</v>
      </c>
      <c r="D250" s="10" t="s">
        <v>15629</v>
      </c>
      <c r="E250" s="10" t="s">
        <v>5998</v>
      </c>
      <c r="F250" s="10" t="s">
        <v>5887</v>
      </c>
      <c r="G250" s="10" t="s">
        <v>76</v>
      </c>
      <c r="H250" s="7" t="s">
        <v>1031</v>
      </c>
      <c r="I250" s="7" t="s">
        <v>25</v>
      </c>
      <c r="J250" s="13" t="str">
        <f>HYPERLINK("https://www.airitibooks.com/Detail/Detail?PublicationID=P20211220084", "https://www.airitibooks.com/Detail/Detail?PublicationID=P20211220084")</f>
        <v>https://www.airitibooks.com/Detail/Detail?PublicationID=P20211220084</v>
      </c>
      <c r="K250" s="13" t="str">
        <f>HYPERLINK("https://ntsu.idm.oclc.org/login?url=https://www.airitibooks.com/Detail/Detail?PublicationID=P20211220084", "https://ntsu.idm.oclc.org/login?url=https://www.airitibooks.com/Detail/Detail?PublicationID=P20211220084")</f>
        <v>https://ntsu.idm.oclc.org/login?url=https://www.airitibooks.com/Detail/Detail?PublicationID=P20211220084</v>
      </c>
    </row>
    <row r="251" spans="1:11" ht="51" x14ac:dyDescent="0.4">
      <c r="A251" s="10" t="s">
        <v>15630</v>
      </c>
      <c r="B251" s="10" t="s">
        <v>15631</v>
      </c>
      <c r="C251" s="10" t="s">
        <v>15603</v>
      </c>
      <c r="D251" s="10" t="s">
        <v>15632</v>
      </c>
      <c r="E251" s="10" t="s">
        <v>5998</v>
      </c>
      <c r="F251" s="10" t="s">
        <v>5887</v>
      </c>
      <c r="G251" s="10" t="s">
        <v>76</v>
      </c>
      <c r="H251" s="7" t="s">
        <v>1031</v>
      </c>
      <c r="I251" s="7" t="s">
        <v>25</v>
      </c>
      <c r="J251" s="13" t="str">
        <f>HYPERLINK("https://www.airitibooks.com/Detail/Detail?PublicationID=P20211220085", "https://www.airitibooks.com/Detail/Detail?PublicationID=P20211220085")</f>
        <v>https://www.airitibooks.com/Detail/Detail?PublicationID=P20211220085</v>
      </c>
      <c r="K251" s="13" t="str">
        <f>HYPERLINK("https://ntsu.idm.oclc.org/login?url=https://www.airitibooks.com/Detail/Detail?PublicationID=P20211220085", "https://ntsu.idm.oclc.org/login?url=https://www.airitibooks.com/Detail/Detail?PublicationID=P20211220085")</f>
        <v>https://ntsu.idm.oclc.org/login?url=https://www.airitibooks.com/Detail/Detail?PublicationID=P20211220085</v>
      </c>
    </row>
    <row r="252" spans="1:11" ht="51" x14ac:dyDescent="0.4">
      <c r="A252" s="10" t="s">
        <v>15633</v>
      </c>
      <c r="B252" s="10" t="s">
        <v>15634</v>
      </c>
      <c r="C252" s="10" t="s">
        <v>15603</v>
      </c>
      <c r="D252" s="10" t="s">
        <v>15635</v>
      </c>
      <c r="E252" s="10" t="s">
        <v>5998</v>
      </c>
      <c r="F252" s="10" t="s">
        <v>5887</v>
      </c>
      <c r="G252" s="10" t="s">
        <v>76</v>
      </c>
      <c r="H252" s="7" t="s">
        <v>1031</v>
      </c>
      <c r="I252" s="7" t="s">
        <v>25</v>
      </c>
      <c r="J252" s="13" t="str">
        <f>HYPERLINK("https://www.airitibooks.com/Detail/Detail?PublicationID=P20211220086", "https://www.airitibooks.com/Detail/Detail?PublicationID=P20211220086")</f>
        <v>https://www.airitibooks.com/Detail/Detail?PublicationID=P20211220086</v>
      </c>
      <c r="K252" s="13" t="str">
        <f>HYPERLINK("https://ntsu.idm.oclc.org/login?url=https://www.airitibooks.com/Detail/Detail?PublicationID=P20211220086", "https://ntsu.idm.oclc.org/login?url=https://www.airitibooks.com/Detail/Detail?PublicationID=P20211220086")</f>
        <v>https://ntsu.idm.oclc.org/login?url=https://www.airitibooks.com/Detail/Detail?PublicationID=P20211220086</v>
      </c>
    </row>
    <row r="253" spans="1:11" ht="51" x14ac:dyDescent="0.4">
      <c r="A253" s="10" t="s">
        <v>15636</v>
      </c>
      <c r="B253" s="10" t="s">
        <v>15637</v>
      </c>
      <c r="C253" s="10" t="s">
        <v>15603</v>
      </c>
      <c r="D253" s="10" t="s">
        <v>15638</v>
      </c>
      <c r="E253" s="10" t="s">
        <v>5998</v>
      </c>
      <c r="F253" s="10" t="s">
        <v>5887</v>
      </c>
      <c r="G253" s="10" t="s">
        <v>76</v>
      </c>
      <c r="H253" s="7" t="s">
        <v>1031</v>
      </c>
      <c r="I253" s="7" t="s">
        <v>25</v>
      </c>
      <c r="J253" s="13" t="str">
        <f>HYPERLINK("https://www.airitibooks.com/Detail/Detail?PublicationID=P20211220087", "https://www.airitibooks.com/Detail/Detail?PublicationID=P20211220087")</f>
        <v>https://www.airitibooks.com/Detail/Detail?PublicationID=P20211220087</v>
      </c>
      <c r="K253" s="13" t="str">
        <f>HYPERLINK("https://ntsu.idm.oclc.org/login?url=https://www.airitibooks.com/Detail/Detail?PublicationID=P20211220087", "https://ntsu.idm.oclc.org/login?url=https://www.airitibooks.com/Detail/Detail?PublicationID=P20211220087")</f>
        <v>https://ntsu.idm.oclc.org/login?url=https://www.airitibooks.com/Detail/Detail?PublicationID=P20211220087</v>
      </c>
    </row>
    <row r="254" spans="1:11" ht="51" x14ac:dyDescent="0.4">
      <c r="A254" s="10" t="s">
        <v>15639</v>
      </c>
      <c r="B254" s="10" t="s">
        <v>15640</v>
      </c>
      <c r="C254" s="10" t="s">
        <v>15603</v>
      </c>
      <c r="D254" s="10" t="s">
        <v>15641</v>
      </c>
      <c r="E254" s="10" t="s">
        <v>5998</v>
      </c>
      <c r="F254" s="10" t="s">
        <v>5887</v>
      </c>
      <c r="G254" s="10" t="s">
        <v>76</v>
      </c>
      <c r="H254" s="7" t="s">
        <v>1031</v>
      </c>
      <c r="I254" s="7" t="s">
        <v>25</v>
      </c>
      <c r="J254" s="13" t="str">
        <f>HYPERLINK("https://www.airitibooks.com/Detail/Detail?PublicationID=P20211220088", "https://www.airitibooks.com/Detail/Detail?PublicationID=P20211220088")</f>
        <v>https://www.airitibooks.com/Detail/Detail?PublicationID=P20211220088</v>
      </c>
      <c r="K254" s="13" t="str">
        <f>HYPERLINK("https://ntsu.idm.oclc.org/login?url=https://www.airitibooks.com/Detail/Detail?PublicationID=P20211220088", "https://ntsu.idm.oclc.org/login?url=https://www.airitibooks.com/Detail/Detail?PublicationID=P20211220088")</f>
        <v>https://ntsu.idm.oclc.org/login?url=https://www.airitibooks.com/Detail/Detail?PublicationID=P20211220088</v>
      </c>
    </row>
    <row r="255" spans="1:11" ht="51" x14ac:dyDescent="0.4">
      <c r="A255" s="10" t="s">
        <v>15642</v>
      </c>
      <c r="B255" s="10" t="s">
        <v>15643</v>
      </c>
      <c r="C255" s="10" t="s">
        <v>15603</v>
      </c>
      <c r="D255" s="10" t="s">
        <v>15644</v>
      </c>
      <c r="E255" s="10" t="s">
        <v>5998</v>
      </c>
      <c r="F255" s="10" t="s">
        <v>5887</v>
      </c>
      <c r="G255" s="10" t="s">
        <v>76</v>
      </c>
      <c r="H255" s="7" t="s">
        <v>1031</v>
      </c>
      <c r="I255" s="7" t="s">
        <v>25</v>
      </c>
      <c r="J255" s="13" t="str">
        <f>HYPERLINK("https://www.airitibooks.com/Detail/Detail?PublicationID=P20211220089", "https://www.airitibooks.com/Detail/Detail?PublicationID=P20211220089")</f>
        <v>https://www.airitibooks.com/Detail/Detail?PublicationID=P20211220089</v>
      </c>
      <c r="K255" s="13" t="str">
        <f>HYPERLINK("https://ntsu.idm.oclc.org/login?url=https://www.airitibooks.com/Detail/Detail?PublicationID=P20211220089", "https://ntsu.idm.oclc.org/login?url=https://www.airitibooks.com/Detail/Detail?PublicationID=P20211220089")</f>
        <v>https://ntsu.idm.oclc.org/login?url=https://www.airitibooks.com/Detail/Detail?PublicationID=P20211220089</v>
      </c>
    </row>
    <row r="256" spans="1:11" ht="51" x14ac:dyDescent="0.4">
      <c r="A256" s="10" t="s">
        <v>15645</v>
      </c>
      <c r="B256" s="10" t="s">
        <v>15646</v>
      </c>
      <c r="C256" s="10" t="s">
        <v>15603</v>
      </c>
      <c r="D256" s="10" t="s">
        <v>15647</v>
      </c>
      <c r="E256" s="10" t="s">
        <v>5998</v>
      </c>
      <c r="F256" s="10" t="s">
        <v>5887</v>
      </c>
      <c r="G256" s="10" t="s">
        <v>76</v>
      </c>
      <c r="H256" s="7" t="s">
        <v>1031</v>
      </c>
      <c r="I256" s="7" t="s">
        <v>25</v>
      </c>
      <c r="J256" s="13" t="str">
        <f>HYPERLINK("https://www.airitibooks.com/Detail/Detail?PublicationID=P20211220090", "https://www.airitibooks.com/Detail/Detail?PublicationID=P20211220090")</f>
        <v>https://www.airitibooks.com/Detail/Detail?PublicationID=P20211220090</v>
      </c>
      <c r="K256" s="13" t="str">
        <f>HYPERLINK("https://ntsu.idm.oclc.org/login?url=https://www.airitibooks.com/Detail/Detail?PublicationID=P20211220090", "https://ntsu.idm.oclc.org/login?url=https://www.airitibooks.com/Detail/Detail?PublicationID=P20211220090")</f>
        <v>https://ntsu.idm.oclc.org/login?url=https://www.airitibooks.com/Detail/Detail?PublicationID=P20211220090</v>
      </c>
    </row>
    <row r="257" spans="1:11" ht="51" x14ac:dyDescent="0.4">
      <c r="A257" s="10" t="s">
        <v>13765</v>
      </c>
      <c r="B257" s="10" t="s">
        <v>13766</v>
      </c>
      <c r="C257" s="10" t="s">
        <v>938</v>
      </c>
      <c r="D257" s="10" t="s">
        <v>8418</v>
      </c>
      <c r="E257" s="10" t="s">
        <v>5998</v>
      </c>
      <c r="F257" s="10" t="s">
        <v>10568</v>
      </c>
      <c r="G257" s="10" t="s">
        <v>55</v>
      </c>
      <c r="H257" s="7" t="s">
        <v>24</v>
      </c>
      <c r="I257" s="7" t="s">
        <v>25</v>
      </c>
      <c r="J257" s="13" t="str">
        <f>HYPERLINK("https://www.airitibooks.com/Detail/Detail?PublicationID=P20200402015", "https://www.airitibooks.com/Detail/Detail?PublicationID=P20200402015")</f>
        <v>https://www.airitibooks.com/Detail/Detail?PublicationID=P20200402015</v>
      </c>
      <c r="K257" s="13" t="str">
        <f>HYPERLINK("https://ntsu.idm.oclc.org/login?url=https://www.airitibooks.com/Detail/Detail?PublicationID=P20200402015", "https://ntsu.idm.oclc.org/login?url=https://www.airitibooks.com/Detail/Detail?PublicationID=P20200402015")</f>
        <v>https://ntsu.idm.oclc.org/login?url=https://www.airitibooks.com/Detail/Detail?PublicationID=P20200402015</v>
      </c>
    </row>
    <row r="258" spans="1:11" ht="51" x14ac:dyDescent="0.4">
      <c r="A258" s="10" t="s">
        <v>13780</v>
      </c>
      <c r="B258" s="10" t="s">
        <v>13781</v>
      </c>
      <c r="C258" s="10" t="s">
        <v>938</v>
      </c>
      <c r="D258" s="10" t="s">
        <v>13782</v>
      </c>
      <c r="E258" s="10" t="s">
        <v>5998</v>
      </c>
      <c r="F258" s="10" t="s">
        <v>10568</v>
      </c>
      <c r="G258" s="10" t="s">
        <v>55</v>
      </c>
      <c r="H258" s="7" t="s">
        <v>24</v>
      </c>
      <c r="I258" s="7" t="s">
        <v>25</v>
      </c>
      <c r="J258" s="13" t="str">
        <f>HYPERLINK("https://www.airitibooks.com/Detail/Detail?PublicationID=P20200402028", "https://www.airitibooks.com/Detail/Detail?PublicationID=P20200402028")</f>
        <v>https://www.airitibooks.com/Detail/Detail?PublicationID=P20200402028</v>
      </c>
      <c r="K258" s="13" t="str">
        <f>HYPERLINK("https://ntsu.idm.oclc.org/login?url=https://www.airitibooks.com/Detail/Detail?PublicationID=P20200402028", "https://ntsu.idm.oclc.org/login?url=https://www.airitibooks.com/Detail/Detail?PublicationID=P20200402028")</f>
        <v>https://ntsu.idm.oclc.org/login?url=https://www.airitibooks.com/Detail/Detail?PublicationID=P20200402028</v>
      </c>
    </row>
    <row r="259" spans="1:11" ht="68" x14ac:dyDescent="0.4">
      <c r="A259" s="10" t="s">
        <v>14246</v>
      </c>
      <c r="B259" s="10" t="s">
        <v>14247</v>
      </c>
      <c r="C259" s="10" t="s">
        <v>11995</v>
      </c>
      <c r="D259" s="10" t="s">
        <v>14248</v>
      </c>
      <c r="E259" s="10" t="s">
        <v>5998</v>
      </c>
      <c r="F259" s="10" t="s">
        <v>1462</v>
      </c>
      <c r="G259" s="10" t="s">
        <v>55</v>
      </c>
      <c r="H259" s="7" t="s">
        <v>24</v>
      </c>
      <c r="I259" s="7" t="s">
        <v>25</v>
      </c>
      <c r="J259" s="13" t="str">
        <f>HYPERLINK("https://www.airitibooks.com/Detail/Detail?PublicationID=P20200521223", "https://www.airitibooks.com/Detail/Detail?PublicationID=P20200521223")</f>
        <v>https://www.airitibooks.com/Detail/Detail?PublicationID=P20200521223</v>
      </c>
      <c r="K259" s="13" t="str">
        <f>HYPERLINK("https://ntsu.idm.oclc.org/login?url=https://www.airitibooks.com/Detail/Detail?PublicationID=P20200521223", "https://ntsu.idm.oclc.org/login?url=https://www.airitibooks.com/Detail/Detail?PublicationID=P20200521223")</f>
        <v>https://ntsu.idm.oclc.org/login?url=https://www.airitibooks.com/Detail/Detail?PublicationID=P20200521223</v>
      </c>
    </row>
    <row r="260" spans="1:11" ht="51" x14ac:dyDescent="0.4">
      <c r="A260" s="10" t="s">
        <v>14252</v>
      </c>
      <c r="B260" s="10" t="s">
        <v>14253</v>
      </c>
      <c r="C260" s="10" t="s">
        <v>11995</v>
      </c>
      <c r="D260" s="10" t="s">
        <v>14254</v>
      </c>
      <c r="E260" s="10" t="s">
        <v>5998</v>
      </c>
      <c r="F260" s="10" t="s">
        <v>1462</v>
      </c>
      <c r="G260" s="10" t="s">
        <v>55</v>
      </c>
      <c r="H260" s="7" t="s">
        <v>24</v>
      </c>
      <c r="I260" s="7" t="s">
        <v>25</v>
      </c>
      <c r="J260" s="13" t="str">
        <f>HYPERLINK("https://www.airitibooks.com/Detail/Detail?PublicationID=P20200521225", "https://www.airitibooks.com/Detail/Detail?PublicationID=P20200521225")</f>
        <v>https://www.airitibooks.com/Detail/Detail?PublicationID=P20200521225</v>
      </c>
      <c r="K260" s="13" t="str">
        <f>HYPERLINK("https://ntsu.idm.oclc.org/login?url=https://www.airitibooks.com/Detail/Detail?PublicationID=P20200521225", "https://ntsu.idm.oclc.org/login?url=https://www.airitibooks.com/Detail/Detail?PublicationID=P20200521225")</f>
        <v>https://ntsu.idm.oclc.org/login?url=https://www.airitibooks.com/Detail/Detail?PublicationID=P20200521225</v>
      </c>
    </row>
    <row r="261" spans="1:11" ht="51" x14ac:dyDescent="0.4">
      <c r="A261" s="10" t="s">
        <v>14533</v>
      </c>
      <c r="B261" s="10" t="s">
        <v>14534</v>
      </c>
      <c r="C261" s="10" t="s">
        <v>1034</v>
      </c>
      <c r="D261" s="10" t="s">
        <v>14535</v>
      </c>
      <c r="E261" s="10" t="s">
        <v>5998</v>
      </c>
      <c r="F261" s="10" t="s">
        <v>1462</v>
      </c>
      <c r="G261" s="10" t="s">
        <v>55</v>
      </c>
      <c r="H261" s="7" t="s">
        <v>24</v>
      </c>
      <c r="I261" s="7" t="s">
        <v>25</v>
      </c>
      <c r="J261" s="13" t="str">
        <f>HYPERLINK("https://www.airitibooks.com/Detail/Detail?PublicationID=P20200730053", "https://www.airitibooks.com/Detail/Detail?PublicationID=P20200730053")</f>
        <v>https://www.airitibooks.com/Detail/Detail?PublicationID=P20200730053</v>
      </c>
      <c r="K261" s="13" t="str">
        <f>HYPERLINK("https://ntsu.idm.oclc.org/login?url=https://www.airitibooks.com/Detail/Detail?PublicationID=P20200730053", "https://ntsu.idm.oclc.org/login?url=https://www.airitibooks.com/Detail/Detail?PublicationID=P20200730053")</f>
        <v>https://ntsu.idm.oclc.org/login?url=https://www.airitibooks.com/Detail/Detail?PublicationID=P20200730053</v>
      </c>
    </row>
    <row r="262" spans="1:11" ht="51" x14ac:dyDescent="0.4">
      <c r="A262" s="10" t="s">
        <v>14687</v>
      </c>
      <c r="B262" s="10" t="s">
        <v>14688</v>
      </c>
      <c r="C262" s="10" t="s">
        <v>938</v>
      </c>
      <c r="D262" s="10" t="s">
        <v>14689</v>
      </c>
      <c r="E262" s="10" t="s">
        <v>5998</v>
      </c>
      <c r="F262" s="10" t="s">
        <v>13608</v>
      </c>
      <c r="G262" s="10" t="s">
        <v>55</v>
      </c>
      <c r="H262" s="7" t="s">
        <v>24</v>
      </c>
      <c r="I262" s="7" t="s">
        <v>25</v>
      </c>
      <c r="J262" s="13" t="str">
        <f>HYPERLINK("https://www.airitibooks.com/Detail/Detail?PublicationID=P20200914001", "https://www.airitibooks.com/Detail/Detail?PublicationID=P20200914001")</f>
        <v>https://www.airitibooks.com/Detail/Detail?PublicationID=P20200914001</v>
      </c>
      <c r="K262" s="13" t="str">
        <f>HYPERLINK("https://ntsu.idm.oclc.org/login?url=https://www.airitibooks.com/Detail/Detail?PublicationID=P20200914001", "https://ntsu.idm.oclc.org/login?url=https://www.airitibooks.com/Detail/Detail?PublicationID=P20200914001")</f>
        <v>https://ntsu.idm.oclc.org/login?url=https://www.airitibooks.com/Detail/Detail?PublicationID=P20200914001</v>
      </c>
    </row>
    <row r="263" spans="1:11" ht="119" x14ac:dyDescent="0.4">
      <c r="A263" s="10" t="s">
        <v>14723</v>
      </c>
      <c r="B263" s="10" t="s">
        <v>14724</v>
      </c>
      <c r="C263" s="10" t="s">
        <v>12154</v>
      </c>
      <c r="D263" s="10" t="s">
        <v>14725</v>
      </c>
      <c r="E263" s="10" t="s">
        <v>5998</v>
      </c>
      <c r="F263" s="10" t="s">
        <v>9406</v>
      </c>
      <c r="G263" s="10" t="s">
        <v>55</v>
      </c>
      <c r="H263" s="7" t="s">
        <v>24</v>
      </c>
      <c r="I263" s="7" t="s">
        <v>25</v>
      </c>
      <c r="J263" s="13" t="str">
        <f>HYPERLINK("https://www.airitibooks.com/Detail/Detail?PublicationID=P20200921041", "https://www.airitibooks.com/Detail/Detail?PublicationID=P20200921041")</f>
        <v>https://www.airitibooks.com/Detail/Detail?PublicationID=P20200921041</v>
      </c>
      <c r="K263" s="13" t="str">
        <f>HYPERLINK("https://ntsu.idm.oclc.org/login?url=https://www.airitibooks.com/Detail/Detail?PublicationID=P20200921041", "https://ntsu.idm.oclc.org/login?url=https://www.airitibooks.com/Detail/Detail?PublicationID=P20200921041")</f>
        <v>https://ntsu.idm.oclc.org/login?url=https://www.airitibooks.com/Detail/Detail?PublicationID=P20200921041</v>
      </c>
    </row>
    <row r="264" spans="1:11" ht="51" x14ac:dyDescent="0.4">
      <c r="A264" s="10" t="s">
        <v>14792</v>
      </c>
      <c r="B264" s="10" t="s">
        <v>14793</v>
      </c>
      <c r="C264" s="10" t="s">
        <v>938</v>
      </c>
      <c r="D264" s="10" t="s">
        <v>14794</v>
      </c>
      <c r="E264" s="10" t="s">
        <v>5998</v>
      </c>
      <c r="F264" s="10" t="s">
        <v>10568</v>
      </c>
      <c r="G264" s="10" t="s">
        <v>55</v>
      </c>
      <c r="H264" s="7" t="s">
        <v>24</v>
      </c>
      <c r="I264" s="7" t="s">
        <v>25</v>
      </c>
      <c r="J264" s="13" t="str">
        <f>HYPERLINK("https://www.airitibooks.com/Detail/Detail?PublicationID=P20201021008", "https://www.airitibooks.com/Detail/Detail?PublicationID=P20201021008")</f>
        <v>https://www.airitibooks.com/Detail/Detail?PublicationID=P20201021008</v>
      </c>
      <c r="K264" s="13" t="str">
        <f>HYPERLINK("https://ntsu.idm.oclc.org/login?url=https://www.airitibooks.com/Detail/Detail?PublicationID=P20201021008", "https://ntsu.idm.oclc.org/login?url=https://www.airitibooks.com/Detail/Detail?PublicationID=P20201021008")</f>
        <v>https://ntsu.idm.oclc.org/login?url=https://www.airitibooks.com/Detail/Detail?PublicationID=P20201021008</v>
      </c>
    </row>
    <row r="265" spans="1:11" ht="51" x14ac:dyDescent="0.4">
      <c r="A265" s="10" t="s">
        <v>15016</v>
      </c>
      <c r="B265" s="10" t="s">
        <v>15017</v>
      </c>
      <c r="C265" s="10" t="s">
        <v>938</v>
      </c>
      <c r="D265" s="10" t="s">
        <v>15018</v>
      </c>
      <c r="E265" s="10" t="s">
        <v>5998</v>
      </c>
      <c r="F265" s="10" t="s">
        <v>1462</v>
      </c>
      <c r="G265" s="10" t="s">
        <v>55</v>
      </c>
      <c r="H265" s="7" t="s">
        <v>24</v>
      </c>
      <c r="I265" s="7" t="s">
        <v>25</v>
      </c>
      <c r="J265" s="13" t="str">
        <f>HYPERLINK("https://www.airitibooks.com/Detail/Detail?PublicationID=P20201204018", "https://www.airitibooks.com/Detail/Detail?PublicationID=P20201204018")</f>
        <v>https://www.airitibooks.com/Detail/Detail?PublicationID=P20201204018</v>
      </c>
      <c r="K265" s="13" t="str">
        <f>HYPERLINK("https://ntsu.idm.oclc.org/login?url=https://www.airitibooks.com/Detail/Detail?PublicationID=P20201204018", "https://ntsu.idm.oclc.org/login?url=https://www.airitibooks.com/Detail/Detail?PublicationID=P20201204018")</f>
        <v>https://ntsu.idm.oclc.org/login?url=https://www.airitibooks.com/Detail/Detail?PublicationID=P20201204018</v>
      </c>
    </row>
    <row r="266" spans="1:11" ht="85" x14ac:dyDescent="0.4">
      <c r="A266" s="10" t="s">
        <v>15110</v>
      </c>
      <c r="B266" s="10" t="s">
        <v>15111</v>
      </c>
      <c r="C266" s="10" t="s">
        <v>1504</v>
      </c>
      <c r="D266" s="10" t="s">
        <v>10522</v>
      </c>
      <c r="E266" s="10" t="s">
        <v>5998</v>
      </c>
      <c r="F266" s="10" t="s">
        <v>2205</v>
      </c>
      <c r="G266" s="10" t="s">
        <v>55</v>
      </c>
      <c r="H266" s="7" t="s">
        <v>24</v>
      </c>
      <c r="I266" s="7" t="s">
        <v>25</v>
      </c>
      <c r="J266" s="13" t="str">
        <f>HYPERLINK("https://www.airitibooks.com/Detail/Detail?PublicationID=P20201218054", "https://www.airitibooks.com/Detail/Detail?PublicationID=P20201218054")</f>
        <v>https://www.airitibooks.com/Detail/Detail?PublicationID=P20201218054</v>
      </c>
      <c r="K266" s="13" t="str">
        <f>HYPERLINK("https://ntsu.idm.oclc.org/login?url=https://www.airitibooks.com/Detail/Detail?PublicationID=P20201218054", "https://ntsu.idm.oclc.org/login?url=https://www.airitibooks.com/Detail/Detail?PublicationID=P20201218054")</f>
        <v>https://ntsu.idm.oclc.org/login?url=https://www.airitibooks.com/Detail/Detail?PublicationID=P20201218054</v>
      </c>
    </row>
    <row r="267" spans="1:11" ht="51" x14ac:dyDescent="0.4">
      <c r="A267" s="10" t="s">
        <v>15112</v>
      </c>
      <c r="B267" s="10" t="s">
        <v>15113</v>
      </c>
      <c r="C267" s="10" t="s">
        <v>1504</v>
      </c>
      <c r="D267" s="10" t="s">
        <v>6848</v>
      </c>
      <c r="E267" s="10" t="s">
        <v>5998</v>
      </c>
      <c r="F267" s="10" t="s">
        <v>2201</v>
      </c>
      <c r="G267" s="10" t="s">
        <v>55</v>
      </c>
      <c r="H267" s="7" t="s">
        <v>24</v>
      </c>
      <c r="I267" s="7" t="s">
        <v>25</v>
      </c>
      <c r="J267" s="13" t="str">
        <f>HYPERLINK("https://www.airitibooks.com/Detail/Detail?PublicationID=P20201218059", "https://www.airitibooks.com/Detail/Detail?PublicationID=P20201218059")</f>
        <v>https://www.airitibooks.com/Detail/Detail?PublicationID=P20201218059</v>
      </c>
      <c r="K267" s="13" t="str">
        <f>HYPERLINK("https://ntsu.idm.oclc.org/login?url=https://www.airitibooks.com/Detail/Detail?PublicationID=P20201218059", "https://ntsu.idm.oclc.org/login?url=https://www.airitibooks.com/Detail/Detail?PublicationID=P20201218059")</f>
        <v>https://ntsu.idm.oclc.org/login?url=https://www.airitibooks.com/Detail/Detail?PublicationID=P20201218059</v>
      </c>
    </row>
    <row r="268" spans="1:11" ht="51" x14ac:dyDescent="0.4">
      <c r="A268" s="10" t="s">
        <v>15114</v>
      </c>
      <c r="B268" s="10" t="s">
        <v>15115</v>
      </c>
      <c r="C268" s="10" t="s">
        <v>1504</v>
      </c>
      <c r="D268" s="10" t="s">
        <v>6848</v>
      </c>
      <c r="E268" s="10" t="s">
        <v>5998</v>
      </c>
      <c r="F268" s="10" t="s">
        <v>2201</v>
      </c>
      <c r="G268" s="10" t="s">
        <v>55</v>
      </c>
      <c r="H268" s="7" t="s">
        <v>24</v>
      </c>
      <c r="I268" s="7" t="s">
        <v>25</v>
      </c>
      <c r="J268" s="13" t="str">
        <f>HYPERLINK("https://www.airitibooks.com/Detail/Detail?PublicationID=P20201218061", "https://www.airitibooks.com/Detail/Detail?PublicationID=P20201218061")</f>
        <v>https://www.airitibooks.com/Detail/Detail?PublicationID=P20201218061</v>
      </c>
      <c r="K268" s="13" t="str">
        <f>HYPERLINK("https://ntsu.idm.oclc.org/login?url=https://www.airitibooks.com/Detail/Detail?PublicationID=P20201218061", "https://ntsu.idm.oclc.org/login?url=https://www.airitibooks.com/Detail/Detail?PublicationID=P20201218061")</f>
        <v>https://ntsu.idm.oclc.org/login?url=https://www.airitibooks.com/Detail/Detail?PublicationID=P20201218061</v>
      </c>
    </row>
    <row r="269" spans="1:11" ht="51" x14ac:dyDescent="0.4">
      <c r="A269" s="10" t="s">
        <v>15116</v>
      </c>
      <c r="B269" s="10" t="s">
        <v>15117</v>
      </c>
      <c r="C269" s="10" t="s">
        <v>1504</v>
      </c>
      <c r="D269" s="10" t="s">
        <v>6848</v>
      </c>
      <c r="E269" s="10" t="s">
        <v>5998</v>
      </c>
      <c r="F269" s="10" t="s">
        <v>2201</v>
      </c>
      <c r="G269" s="10" t="s">
        <v>55</v>
      </c>
      <c r="H269" s="7" t="s">
        <v>24</v>
      </c>
      <c r="I269" s="7" t="s">
        <v>25</v>
      </c>
      <c r="J269" s="13" t="str">
        <f>HYPERLINK("https://www.airitibooks.com/Detail/Detail?PublicationID=P20201218062", "https://www.airitibooks.com/Detail/Detail?PublicationID=P20201218062")</f>
        <v>https://www.airitibooks.com/Detail/Detail?PublicationID=P20201218062</v>
      </c>
      <c r="K269" s="13" t="str">
        <f>HYPERLINK("https://ntsu.idm.oclc.org/login?url=https://www.airitibooks.com/Detail/Detail?PublicationID=P20201218062", "https://ntsu.idm.oclc.org/login?url=https://www.airitibooks.com/Detail/Detail?PublicationID=P20201218062")</f>
        <v>https://ntsu.idm.oclc.org/login?url=https://www.airitibooks.com/Detail/Detail?PublicationID=P20201218062</v>
      </c>
    </row>
    <row r="270" spans="1:11" ht="51" x14ac:dyDescent="0.4">
      <c r="A270" s="10" t="s">
        <v>15118</v>
      </c>
      <c r="B270" s="10" t="s">
        <v>15119</v>
      </c>
      <c r="C270" s="10" t="s">
        <v>1504</v>
      </c>
      <c r="D270" s="10" t="s">
        <v>6848</v>
      </c>
      <c r="E270" s="10" t="s">
        <v>5998</v>
      </c>
      <c r="F270" s="10" t="s">
        <v>2205</v>
      </c>
      <c r="G270" s="10" t="s">
        <v>55</v>
      </c>
      <c r="H270" s="7" t="s">
        <v>24</v>
      </c>
      <c r="I270" s="7" t="s">
        <v>25</v>
      </c>
      <c r="J270" s="13" t="str">
        <f>HYPERLINK("https://www.airitibooks.com/Detail/Detail?PublicationID=P20201218063", "https://www.airitibooks.com/Detail/Detail?PublicationID=P20201218063")</f>
        <v>https://www.airitibooks.com/Detail/Detail?PublicationID=P20201218063</v>
      </c>
      <c r="K270" s="13" t="str">
        <f>HYPERLINK("https://ntsu.idm.oclc.org/login?url=https://www.airitibooks.com/Detail/Detail?PublicationID=P20201218063", "https://ntsu.idm.oclc.org/login?url=https://www.airitibooks.com/Detail/Detail?PublicationID=P20201218063")</f>
        <v>https://ntsu.idm.oclc.org/login?url=https://www.airitibooks.com/Detail/Detail?PublicationID=P20201218063</v>
      </c>
    </row>
    <row r="271" spans="1:11" ht="51" x14ac:dyDescent="0.4">
      <c r="A271" s="10" t="s">
        <v>15120</v>
      </c>
      <c r="B271" s="10" t="s">
        <v>15121</v>
      </c>
      <c r="C271" s="10" t="s">
        <v>1504</v>
      </c>
      <c r="D271" s="10" t="s">
        <v>6848</v>
      </c>
      <c r="E271" s="10" t="s">
        <v>5998</v>
      </c>
      <c r="F271" s="10" t="s">
        <v>2205</v>
      </c>
      <c r="G271" s="10" t="s">
        <v>55</v>
      </c>
      <c r="H271" s="7" t="s">
        <v>24</v>
      </c>
      <c r="I271" s="7" t="s">
        <v>25</v>
      </c>
      <c r="J271" s="13" t="str">
        <f>HYPERLINK("https://www.airitibooks.com/Detail/Detail?PublicationID=P20201218064", "https://www.airitibooks.com/Detail/Detail?PublicationID=P20201218064")</f>
        <v>https://www.airitibooks.com/Detail/Detail?PublicationID=P20201218064</v>
      </c>
      <c r="K271" s="13" t="str">
        <f>HYPERLINK("https://ntsu.idm.oclc.org/login?url=https://www.airitibooks.com/Detail/Detail?PublicationID=P20201218064", "https://ntsu.idm.oclc.org/login?url=https://www.airitibooks.com/Detail/Detail?PublicationID=P20201218064")</f>
        <v>https://ntsu.idm.oclc.org/login?url=https://www.airitibooks.com/Detail/Detail?PublicationID=P20201218064</v>
      </c>
    </row>
    <row r="272" spans="1:11" ht="51" x14ac:dyDescent="0.4">
      <c r="A272" s="10" t="s">
        <v>15124</v>
      </c>
      <c r="B272" s="10" t="s">
        <v>15125</v>
      </c>
      <c r="C272" s="10" t="s">
        <v>1504</v>
      </c>
      <c r="D272" s="10" t="s">
        <v>15126</v>
      </c>
      <c r="E272" s="10" t="s">
        <v>5998</v>
      </c>
      <c r="F272" s="10" t="s">
        <v>2201</v>
      </c>
      <c r="G272" s="10" t="s">
        <v>55</v>
      </c>
      <c r="H272" s="7" t="s">
        <v>24</v>
      </c>
      <c r="I272" s="7" t="s">
        <v>25</v>
      </c>
      <c r="J272" s="13" t="str">
        <f>HYPERLINK("https://www.airitibooks.com/Detail/Detail?PublicationID=P20201218069", "https://www.airitibooks.com/Detail/Detail?PublicationID=P20201218069")</f>
        <v>https://www.airitibooks.com/Detail/Detail?PublicationID=P20201218069</v>
      </c>
      <c r="K272" s="13" t="str">
        <f>HYPERLINK("https://ntsu.idm.oclc.org/login?url=https://www.airitibooks.com/Detail/Detail?PublicationID=P20201218069", "https://ntsu.idm.oclc.org/login?url=https://www.airitibooks.com/Detail/Detail?PublicationID=P20201218069")</f>
        <v>https://ntsu.idm.oclc.org/login?url=https://www.airitibooks.com/Detail/Detail?PublicationID=P20201218069</v>
      </c>
    </row>
    <row r="273" spans="1:11" ht="51" x14ac:dyDescent="0.4">
      <c r="A273" s="10" t="s">
        <v>15127</v>
      </c>
      <c r="B273" s="10" t="s">
        <v>15128</v>
      </c>
      <c r="C273" s="10" t="s">
        <v>1504</v>
      </c>
      <c r="D273" s="10" t="s">
        <v>15129</v>
      </c>
      <c r="E273" s="10" t="s">
        <v>5998</v>
      </c>
      <c r="F273" s="10" t="s">
        <v>2201</v>
      </c>
      <c r="G273" s="10" t="s">
        <v>55</v>
      </c>
      <c r="H273" s="7" t="s">
        <v>24</v>
      </c>
      <c r="I273" s="7" t="s">
        <v>25</v>
      </c>
      <c r="J273" s="13" t="str">
        <f>HYPERLINK("https://www.airitibooks.com/Detail/Detail?PublicationID=P20201218070", "https://www.airitibooks.com/Detail/Detail?PublicationID=P20201218070")</f>
        <v>https://www.airitibooks.com/Detail/Detail?PublicationID=P20201218070</v>
      </c>
      <c r="K273" s="13" t="str">
        <f>HYPERLINK("https://ntsu.idm.oclc.org/login?url=https://www.airitibooks.com/Detail/Detail?PublicationID=P20201218070", "https://ntsu.idm.oclc.org/login?url=https://www.airitibooks.com/Detail/Detail?PublicationID=P20201218070")</f>
        <v>https://ntsu.idm.oclc.org/login?url=https://www.airitibooks.com/Detail/Detail?PublicationID=P20201218070</v>
      </c>
    </row>
    <row r="274" spans="1:11" ht="68" x14ac:dyDescent="0.4">
      <c r="A274" s="10" t="s">
        <v>15135</v>
      </c>
      <c r="B274" s="10" t="s">
        <v>15136</v>
      </c>
      <c r="C274" s="10" t="s">
        <v>1504</v>
      </c>
      <c r="D274" s="10" t="s">
        <v>12735</v>
      </c>
      <c r="E274" s="10" t="s">
        <v>5998</v>
      </c>
      <c r="F274" s="10" t="s">
        <v>12736</v>
      </c>
      <c r="G274" s="10" t="s">
        <v>55</v>
      </c>
      <c r="H274" s="7" t="s">
        <v>24</v>
      </c>
      <c r="I274" s="7" t="s">
        <v>25</v>
      </c>
      <c r="J274" s="13" t="str">
        <f>HYPERLINK("https://www.airitibooks.com/Detail/Detail?PublicationID=P20201218077", "https://www.airitibooks.com/Detail/Detail?PublicationID=P20201218077")</f>
        <v>https://www.airitibooks.com/Detail/Detail?PublicationID=P20201218077</v>
      </c>
      <c r="K274" s="13" t="str">
        <f>HYPERLINK("https://ntsu.idm.oclc.org/login?url=https://www.airitibooks.com/Detail/Detail?PublicationID=P20201218077", "https://ntsu.idm.oclc.org/login?url=https://www.airitibooks.com/Detail/Detail?PublicationID=P20201218077")</f>
        <v>https://ntsu.idm.oclc.org/login?url=https://www.airitibooks.com/Detail/Detail?PublicationID=P20201218077</v>
      </c>
    </row>
    <row r="275" spans="1:11" ht="68" x14ac:dyDescent="0.4">
      <c r="A275" s="10" t="s">
        <v>15137</v>
      </c>
      <c r="B275" s="10" t="s">
        <v>15138</v>
      </c>
      <c r="C275" s="10" t="s">
        <v>1504</v>
      </c>
      <c r="D275" s="10" t="s">
        <v>15139</v>
      </c>
      <c r="E275" s="10" t="s">
        <v>5998</v>
      </c>
      <c r="F275" s="10" t="s">
        <v>2201</v>
      </c>
      <c r="G275" s="10" t="s">
        <v>55</v>
      </c>
      <c r="H275" s="7" t="s">
        <v>24</v>
      </c>
      <c r="I275" s="7" t="s">
        <v>25</v>
      </c>
      <c r="J275" s="13" t="str">
        <f>HYPERLINK("https://www.airitibooks.com/Detail/Detail?PublicationID=P20201218079", "https://www.airitibooks.com/Detail/Detail?PublicationID=P20201218079")</f>
        <v>https://www.airitibooks.com/Detail/Detail?PublicationID=P20201218079</v>
      </c>
      <c r="K275" s="13" t="str">
        <f>HYPERLINK("https://ntsu.idm.oclc.org/login?url=https://www.airitibooks.com/Detail/Detail?PublicationID=P20201218079", "https://ntsu.idm.oclc.org/login?url=https://www.airitibooks.com/Detail/Detail?PublicationID=P20201218079")</f>
        <v>https://ntsu.idm.oclc.org/login?url=https://www.airitibooks.com/Detail/Detail?PublicationID=P20201218079</v>
      </c>
    </row>
    <row r="276" spans="1:11" ht="68" x14ac:dyDescent="0.4">
      <c r="A276" s="10" t="s">
        <v>15140</v>
      </c>
      <c r="B276" s="10" t="s">
        <v>15141</v>
      </c>
      <c r="C276" s="10" t="s">
        <v>1504</v>
      </c>
      <c r="D276" s="10" t="s">
        <v>15142</v>
      </c>
      <c r="E276" s="10" t="s">
        <v>5998</v>
      </c>
      <c r="F276" s="10" t="s">
        <v>6902</v>
      </c>
      <c r="G276" s="10" t="s">
        <v>55</v>
      </c>
      <c r="H276" s="7" t="s">
        <v>24</v>
      </c>
      <c r="I276" s="7" t="s">
        <v>25</v>
      </c>
      <c r="J276" s="13" t="str">
        <f>HYPERLINK("https://www.airitibooks.com/Detail/Detail?PublicationID=P20201218080", "https://www.airitibooks.com/Detail/Detail?PublicationID=P20201218080")</f>
        <v>https://www.airitibooks.com/Detail/Detail?PublicationID=P20201218080</v>
      </c>
      <c r="K276" s="13" t="str">
        <f>HYPERLINK("https://ntsu.idm.oclc.org/login?url=https://www.airitibooks.com/Detail/Detail?PublicationID=P20201218080", "https://ntsu.idm.oclc.org/login?url=https://www.airitibooks.com/Detail/Detail?PublicationID=P20201218080")</f>
        <v>https://ntsu.idm.oclc.org/login?url=https://www.airitibooks.com/Detail/Detail?PublicationID=P20201218080</v>
      </c>
    </row>
    <row r="277" spans="1:11" ht="51" x14ac:dyDescent="0.4">
      <c r="A277" s="10" t="s">
        <v>15143</v>
      </c>
      <c r="B277" s="10" t="s">
        <v>15144</v>
      </c>
      <c r="C277" s="10" t="s">
        <v>1504</v>
      </c>
      <c r="D277" s="10" t="s">
        <v>15145</v>
      </c>
      <c r="E277" s="10" t="s">
        <v>5998</v>
      </c>
      <c r="F277" s="10" t="s">
        <v>6931</v>
      </c>
      <c r="G277" s="10" t="s">
        <v>55</v>
      </c>
      <c r="H277" s="7" t="s">
        <v>24</v>
      </c>
      <c r="I277" s="7" t="s">
        <v>25</v>
      </c>
      <c r="J277" s="13" t="str">
        <f>HYPERLINK("https://www.airitibooks.com/Detail/Detail?PublicationID=P20201218081", "https://www.airitibooks.com/Detail/Detail?PublicationID=P20201218081")</f>
        <v>https://www.airitibooks.com/Detail/Detail?PublicationID=P20201218081</v>
      </c>
      <c r="K277" s="13" t="str">
        <f>HYPERLINK("https://ntsu.idm.oclc.org/login?url=https://www.airitibooks.com/Detail/Detail?PublicationID=P20201218081", "https://ntsu.idm.oclc.org/login?url=https://www.airitibooks.com/Detail/Detail?PublicationID=P20201218081")</f>
        <v>https://ntsu.idm.oclc.org/login?url=https://www.airitibooks.com/Detail/Detail?PublicationID=P20201218081</v>
      </c>
    </row>
    <row r="278" spans="1:11" ht="51" x14ac:dyDescent="0.4">
      <c r="A278" s="10" t="s">
        <v>15161</v>
      </c>
      <c r="B278" s="10" t="s">
        <v>15162</v>
      </c>
      <c r="C278" s="10" t="s">
        <v>11995</v>
      </c>
      <c r="D278" s="10" t="s">
        <v>15163</v>
      </c>
      <c r="E278" s="10" t="s">
        <v>5998</v>
      </c>
      <c r="F278" s="10" t="s">
        <v>2508</v>
      </c>
      <c r="G278" s="10" t="s">
        <v>55</v>
      </c>
      <c r="H278" s="7" t="s">
        <v>24</v>
      </c>
      <c r="I278" s="7" t="s">
        <v>25</v>
      </c>
      <c r="J278" s="13" t="str">
        <f>HYPERLINK("https://www.airitibooks.com/Detail/Detail?PublicationID=P20210111037", "https://www.airitibooks.com/Detail/Detail?PublicationID=P20210111037")</f>
        <v>https://www.airitibooks.com/Detail/Detail?PublicationID=P20210111037</v>
      </c>
      <c r="K278" s="13" t="str">
        <f>HYPERLINK("https://ntsu.idm.oclc.org/login?url=https://www.airitibooks.com/Detail/Detail?PublicationID=P20210111037", "https://ntsu.idm.oclc.org/login?url=https://www.airitibooks.com/Detail/Detail?PublicationID=P20210111037")</f>
        <v>https://ntsu.idm.oclc.org/login?url=https://www.airitibooks.com/Detail/Detail?PublicationID=P20210111037</v>
      </c>
    </row>
    <row r="279" spans="1:11" ht="51" x14ac:dyDescent="0.4">
      <c r="A279" s="10" t="s">
        <v>15164</v>
      </c>
      <c r="B279" s="10" t="s">
        <v>15165</v>
      </c>
      <c r="C279" s="10" t="s">
        <v>11995</v>
      </c>
      <c r="D279" s="10" t="s">
        <v>15166</v>
      </c>
      <c r="E279" s="10" t="s">
        <v>5998</v>
      </c>
      <c r="F279" s="10" t="s">
        <v>6902</v>
      </c>
      <c r="G279" s="10" t="s">
        <v>55</v>
      </c>
      <c r="H279" s="7" t="s">
        <v>24</v>
      </c>
      <c r="I279" s="7" t="s">
        <v>25</v>
      </c>
      <c r="J279" s="13" t="str">
        <f>HYPERLINK("https://www.airitibooks.com/Detail/Detail?PublicationID=P20210111039", "https://www.airitibooks.com/Detail/Detail?PublicationID=P20210111039")</f>
        <v>https://www.airitibooks.com/Detail/Detail?PublicationID=P20210111039</v>
      </c>
      <c r="K279" s="13" t="str">
        <f>HYPERLINK("https://ntsu.idm.oclc.org/login?url=https://www.airitibooks.com/Detail/Detail?PublicationID=P20210111039", "https://ntsu.idm.oclc.org/login?url=https://www.airitibooks.com/Detail/Detail?PublicationID=P20210111039")</f>
        <v>https://ntsu.idm.oclc.org/login?url=https://www.airitibooks.com/Detail/Detail?PublicationID=P20210111039</v>
      </c>
    </row>
    <row r="280" spans="1:11" ht="51" x14ac:dyDescent="0.4">
      <c r="A280" s="10" t="s">
        <v>15176</v>
      </c>
      <c r="B280" s="10" t="s">
        <v>15177</v>
      </c>
      <c r="C280" s="10" t="s">
        <v>14755</v>
      </c>
      <c r="D280" s="10" t="s">
        <v>8487</v>
      </c>
      <c r="E280" s="10" t="s">
        <v>5998</v>
      </c>
      <c r="F280" s="10" t="s">
        <v>2508</v>
      </c>
      <c r="G280" s="10" t="s">
        <v>55</v>
      </c>
      <c r="H280" s="7" t="s">
        <v>24</v>
      </c>
      <c r="I280" s="7" t="s">
        <v>25</v>
      </c>
      <c r="J280" s="13" t="str">
        <f>HYPERLINK("https://www.airitibooks.com/Detail/Detail?PublicationID=P20210111056", "https://www.airitibooks.com/Detail/Detail?PublicationID=P20210111056")</f>
        <v>https://www.airitibooks.com/Detail/Detail?PublicationID=P20210111056</v>
      </c>
      <c r="K280" s="13" t="str">
        <f>HYPERLINK("https://ntsu.idm.oclc.org/login?url=https://www.airitibooks.com/Detail/Detail?PublicationID=P20210111056", "https://ntsu.idm.oclc.org/login?url=https://www.airitibooks.com/Detail/Detail?PublicationID=P20210111056")</f>
        <v>https://ntsu.idm.oclc.org/login?url=https://www.airitibooks.com/Detail/Detail?PublicationID=P20210111056</v>
      </c>
    </row>
    <row r="281" spans="1:11" ht="51" x14ac:dyDescent="0.4">
      <c r="A281" s="10" t="s">
        <v>13780</v>
      </c>
      <c r="B281" s="10" t="s">
        <v>15319</v>
      </c>
      <c r="C281" s="10" t="s">
        <v>938</v>
      </c>
      <c r="D281" s="10" t="s">
        <v>13782</v>
      </c>
      <c r="E281" s="10" t="s">
        <v>5998</v>
      </c>
      <c r="F281" s="10" t="s">
        <v>10568</v>
      </c>
      <c r="G281" s="10" t="s">
        <v>55</v>
      </c>
      <c r="H281" s="7" t="s">
        <v>24</v>
      </c>
      <c r="I281" s="7" t="s">
        <v>25</v>
      </c>
      <c r="J281" s="13" t="str">
        <f>HYPERLINK("https://www.airitibooks.com/Detail/Detail?PublicationID=P20210326014", "https://www.airitibooks.com/Detail/Detail?PublicationID=P20210326014")</f>
        <v>https://www.airitibooks.com/Detail/Detail?PublicationID=P20210326014</v>
      </c>
      <c r="K281" s="13" t="str">
        <f>HYPERLINK("https://ntsu.idm.oclc.org/login?url=https://www.airitibooks.com/Detail/Detail?PublicationID=P20210326014", "https://ntsu.idm.oclc.org/login?url=https://www.airitibooks.com/Detail/Detail?PublicationID=P20210326014")</f>
        <v>https://ntsu.idm.oclc.org/login?url=https://www.airitibooks.com/Detail/Detail?PublicationID=P20210326014</v>
      </c>
    </row>
    <row r="282" spans="1:11" ht="51" x14ac:dyDescent="0.4">
      <c r="A282" s="10" t="s">
        <v>8416</v>
      </c>
      <c r="B282" s="10" t="s">
        <v>15322</v>
      </c>
      <c r="C282" s="10" t="s">
        <v>938</v>
      </c>
      <c r="D282" s="10" t="s">
        <v>8418</v>
      </c>
      <c r="E282" s="10" t="s">
        <v>5998</v>
      </c>
      <c r="F282" s="10" t="s">
        <v>10568</v>
      </c>
      <c r="G282" s="10" t="s">
        <v>55</v>
      </c>
      <c r="H282" s="7" t="s">
        <v>24</v>
      </c>
      <c r="I282" s="7" t="s">
        <v>25</v>
      </c>
      <c r="J282" s="13" t="str">
        <f>HYPERLINK("https://www.airitibooks.com/Detail/Detail?PublicationID=P20210326029", "https://www.airitibooks.com/Detail/Detail?PublicationID=P20210326029")</f>
        <v>https://www.airitibooks.com/Detail/Detail?PublicationID=P20210326029</v>
      </c>
      <c r="K282" s="13" t="str">
        <f>HYPERLINK("https://ntsu.idm.oclc.org/login?url=https://www.airitibooks.com/Detail/Detail?PublicationID=P20210326029", "https://ntsu.idm.oclc.org/login?url=https://www.airitibooks.com/Detail/Detail?PublicationID=P20210326029")</f>
        <v>https://ntsu.idm.oclc.org/login?url=https://www.airitibooks.com/Detail/Detail?PublicationID=P20210326029</v>
      </c>
    </row>
    <row r="283" spans="1:11" ht="51" x14ac:dyDescent="0.4">
      <c r="A283" s="10" t="s">
        <v>15386</v>
      </c>
      <c r="B283" s="10" t="s">
        <v>15387</v>
      </c>
      <c r="C283" s="10" t="s">
        <v>11995</v>
      </c>
      <c r="D283" s="10" t="s">
        <v>15388</v>
      </c>
      <c r="E283" s="10" t="s">
        <v>5998</v>
      </c>
      <c r="F283" s="10" t="s">
        <v>2176</v>
      </c>
      <c r="G283" s="10" t="s">
        <v>55</v>
      </c>
      <c r="H283" s="7" t="s">
        <v>24</v>
      </c>
      <c r="I283" s="7" t="s">
        <v>25</v>
      </c>
      <c r="J283" s="13" t="str">
        <f>HYPERLINK("https://www.airitibooks.com/Detail/Detail?PublicationID=P20210428036", "https://www.airitibooks.com/Detail/Detail?PublicationID=P20210428036")</f>
        <v>https://www.airitibooks.com/Detail/Detail?PublicationID=P20210428036</v>
      </c>
      <c r="K283" s="13" t="str">
        <f>HYPERLINK("https://ntsu.idm.oclc.org/login?url=https://www.airitibooks.com/Detail/Detail?PublicationID=P20210428036", "https://ntsu.idm.oclc.org/login?url=https://www.airitibooks.com/Detail/Detail?PublicationID=P20210428036")</f>
        <v>https://ntsu.idm.oclc.org/login?url=https://www.airitibooks.com/Detail/Detail?PublicationID=P20210428036</v>
      </c>
    </row>
    <row r="284" spans="1:11" ht="51" x14ac:dyDescent="0.4">
      <c r="A284" s="10" t="s">
        <v>15464</v>
      </c>
      <c r="B284" s="10" t="s">
        <v>15465</v>
      </c>
      <c r="C284" s="10" t="s">
        <v>11995</v>
      </c>
      <c r="D284" s="10" t="s">
        <v>15466</v>
      </c>
      <c r="E284" s="10" t="s">
        <v>5998</v>
      </c>
      <c r="F284" s="10" t="s">
        <v>59</v>
      </c>
      <c r="G284" s="10" t="s">
        <v>55</v>
      </c>
      <c r="H284" s="7" t="s">
        <v>24</v>
      </c>
      <c r="I284" s="7" t="s">
        <v>25</v>
      </c>
      <c r="J284" s="13" t="str">
        <f>HYPERLINK("https://www.airitibooks.com/Detail/Detail?PublicationID=P20210428061", "https://www.airitibooks.com/Detail/Detail?PublicationID=P20210428061")</f>
        <v>https://www.airitibooks.com/Detail/Detail?PublicationID=P20210428061</v>
      </c>
      <c r="K284" s="13" t="str">
        <f>HYPERLINK("https://ntsu.idm.oclc.org/login?url=https://www.airitibooks.com/Detail/Detail?PublicationID=P20210428061", "https://ntsu.idm.oclc.org/login?url=https://www.airitibooks.com/Detail/Detail?PublicationID=P20210428061")</f>
        <v>https://ntsu.idm.oclc.org/login?url=https://www.airitibooks.com/Detail/Detail?PublicationID=P20210428061</v>
      </c>
    </row>
    <row r="285" spans="1:11" ht="51" x14ac:dyDescent="0.4">
      <c r="A285" s="10" t="s">
        <v>15473</v>
      </c>
      <c r="B285" s="10" t="s">
        <v>15474</v>
      </c>
      <c r="C285" s="10" t="s">
        <v>14755</v>
      </c>
      <c r="D285" s="10" t="s">
        <v>14217</v>
      </c>
      <c r="E285" s="10" t="s">
        <v>5998</v>
      </c>
      <c r="F285" s="10" t="s">
        <v>6902</v>
      </c>
      <c r="G285" s="10" t="s">
        <v>55</v>
      </c>
      <c r="H285" s="7" t="s">
        <v>24</v>
      </c>
      <c r="I285" s="7" t="s">
        <v>25</v>
      </c>
      <c r="J285" s="13" t="str">
        <f>HYPERLINK("https://www.airitibooks.com/Detail/Detail?PublicationID=P20210428064", "https://www.airitibooks.com/Detail/Detail?PublicationID=P20210428064")</f>
        <v>https://www.airitibooks.com/Detail/Detail?PublicationID=P20210428064</v>
      </c>
      <c r="K285" s="13" t="str">
        <f>HYPERLINK("https://ntsu.idm.oclc.org/login?url=https://www.airitibooks.com/Detail/Detail?PublicationID=P20210428064", "https://ntsu.idm.oclc.org/login?url=https://www.airitibooks.com/Detail/Detail?PublicationID=P20210428064")</f>
        <v>https://ntsu.idm.oclc.org/login?url=https://www.airitibooks.com/Detail/Detail?PublicationID=P20210428064</v>
      </c>
    </row>
    <row r="286" spans="1:11" ht="51" x14ac:dyDescent="0.4">
      <c r="A286" s="10" t="s">
        <v>15568</v>
      </c>
      <c r="B286" s="10" t="s">
        <v>15569</v>
      </c>
      <c r="C286" s="10" t="s">
        <v>13223</v>
      </c>
      <c r="D286" s="10" t="s">
        <v>15570</v>
      </c>
      <c r="E286" s="10" t="s">
        <v>5998</v>
      </c>
      <c r="F286" s="10" t="s">
        <v>2205</v>
      </c>
      <c r="G286" s="10" t="s">
        <v>55</v>
      </c>
      <c r="H286" s="7" t="s">
        <v>1031</v>
      </c>
      <c r="I286" s="7" t="s">
        <v>25</v>
      </c>
      <c r="J286" s="13" t="str">
        <f>HYPERLINK("https://www.airitibooks.com/Detail/Detail?PublicationID=P20210726392", "https://www.airitibooks.com/Detail/Detail?PublicationID=P20210726392")</f>
        <v>https://www.airitibooks.com/Detail/Detail?PublicationID=P20210726392</v>
      </c>
      <c r="K286" s="13" t="str">
        <f>HYPERLINK("https://ntsu.idm.oclc.org/login?url=https://www.airitibooks.com/Detail/Detail?PublicationID=P20210726392", "https://ntsu.idm.oclc.org/login?url=https://www.airitibooks.com/Detail/Detail?PublicationID=P20210726392")</f>
        <v>https://ntsu.idm.oclc.org/login?url=https://www.airitibooks.com/Detail/Detail?PublicationID=P20210726392</v>
      </c>
    </row>
    <row r="287" spans="1:11" ht="51" x14ac:dyDescent="0.4">
      <c r="A287" s="10" t="s">
        <v>15624</v>
      </c>
      <c r="B287" s="10" t="s">
        <v>15625</v>
      </c>
      <c r="C287" s="10" t="s">
        <v>15603</v>
      </c>
      <c r="D287" s="10" t="s">
        <v>15626</v>
      </c>
      <c r="E287" s="10" t="s">
        <v>5998</v>
      </c>
      <c r="F287" s="10" t="s">
        <v>1462</v>
      </c>
      <c r="G287" s="10" t="s">
        <v>55</v>
      </c>
      <c r="H287" s="7" t="s">
        <v>1031</v>
      </c>
      <c r="I287" s="7" t="s">
        <v>25</v>
      </c>
      <c r="J287" s="13" t="str">
        <f>HYPERLINK("https://www.airitibooks.com/Detail/Detail?PublicationID=P20211220083", "https://www.airitibooks.com/Detail/Detail?PublicationID=P20211220083")</f>
        <v>https://www.airitibooks.com/Detail/Detail?PublicationID=P20211220083</v>
      </c>
      <c r="K287" s="13" t="str">
        <f>HYPERLINK("https://ntsu.idm.oclc.org/login?url=https://www.airitibooks.com/Detail/Detail?PublicationID=P20211220083", "https://ntsu.idm.oclc.org/login?url=https://www.airitibooks.com/Detail/Detail?PublicationID=P20211220083")</f>
        <v>https://ntsu.idm.oclc.org/login?url=https://www.airitibooks.com/Detail/Detail?PublicationID=P20211220083</v>
      </c>
    </row>
    <row r="288" spans="1:11" ht="51" x14ac:dyDescent="0.4">
      <c r="A288" s="10" t="s">
        <v>13684</v>
      </c>
      <c r="B288" s="10" t="s">
        <v>13685</v>
      </c>
      <c r="C288" s="10" t="s">
        <v>791</v>
      </c>
      <c r="D288" s="10" t="s">
        <v>13686</v>
      </c>
      <c r="E288" s="10" t="s">
        <v>5998</v>
      </c>
      <c r="F288" s="10" t="s">
        <v>144</v>
      </c>
      <c r="G288" s="10" t="s">
        <v>87</v>
      </c>
      <c r="H288" s="7" t="s">
        <v>24</v>
      </c>
      <c r="I288" s="7" t="s">
        <v>25</v>
      </c>
      <c r="J288" s="13" t="str">
        <f>HYPERLINK("https://www.airitibooks.com/Detail/Detail?PublicationID=P20200321130", "https://www.airitibooks.com/Detail/Detail?PublicationID=P20200321130")</f>
        <v>https://www.airitibooks.com/Detail/Detail?PublicationID=P20200321130</v>
      </c>
      <c r="K288" s="13" t="str">
        <f>HYPERLINK("https://ntsu.idm.oclc.org/login?url=https://www.airitibooks.com/Detail/Detail?PublicationID=P20200321130", "https://ntsu.idm.oclc.org/login?url=https://www.airitibooks.com/Detail/Detail?PublicationID=P20200321130")</f>
        <v>https://ntsu.idm.oclc.org/login?url=https://www.airitibooks.com/Detail/Detail?PublicationID=P20200321130</v>
      </c>
    </row>
    <row r="289" spans="1:11" ht="68" x14ac:dyDescent="0.4">
      <c r="A289" s="10" t="s">
        <v>13724</v>
      </c>
      <c r="B289" s="10" t="s">
        <v>13725</v>
      </c>
      <c r="C289" s="10" t="s">
        <v>12154</v>
      </c>
      <c r="D289" s="10" t="s">
        <v>13726</v>
      </c>
      <c r="E289" s="10" t="s">
        <v>5998</v>
      </c>
      <c r="F289" s="10" t="s">
        <v>144</v>
      </c>
      <c r="G289" s="10" t="s">
        <v>87</v>
      </c>
      <c r="H289" s="7" t="s">
        <v>24</v>
      </c>
      <c r="I289" s="7" t="s">
        <v>25</v>
      </c>
      <c r="J289" s="13" t="str">
        <f>HYPERLINK("https://www.airitibooks.com/Detail/Detail?PublicationID=P20200321466", "https://www.airitibooks.com/Detail/Detail?PublicationID=P20200321466")</f>
        <v>https://www.airitibooks.com/Detail/Detail?PublicationID=P20200321466</v>
      </c>
      <c r="K289" s="13" t="str">
        <f>HYPERLINK("https://ntsu.idm.oclc.org/login?url=https://www.airitibooks.com/Detail/Detail?PublicationID=P20200321466", "https://ntsu.idm.oclc.org/login?url=https://www.airitibooks.com/Detail/Detail?PublicationID=P20200321466")</f>
        <v>https://ntsu.idm.oclc.org/login?url=https://www.airitibooks.com/Detail/Detail?PublicationID=P20200321466</v>
      </c>
    </row>
    <row r="290" spans="1:11" ht="85" x14ac:dyDescent="0.4">
      <c r="A290" s="10" t="s">
        <v>13858</v>
      </c>
      <c r="B290" s="10" t="s">
        <v>13859</v>
      </c>
      <c r="C290" s="10" t="s">
        <v>108</v>
      </c>
      <c r="D290" s="10" t="s">
        <v>13860</v>
      </c>
      <c r="E290" s="10" t="s">
        <v>5998</v>
      </c>
      <c r="F290" s="10" t="s">
        <v>1440</v>
      </c>
      <c r="G290" s="10" t="s">
        <v>87</v>
      </c>
      <c r="H290" s="7" t="s">
        <v>24</v>
      </c>
      <c r="I290" s="7" t="s">
        <v>25</v>
      </c>
      <c r="J290" s="13" t="str">
        <f>HYPERLINK("https://www.airitibooks.com/Detail/Detail?PublicationID=P20200413027", "https://www.airitibooks.com/Detail/Detail?PublicationID=P20200413027")</f>
        <v>https://www.airitibooks.com/Detail/Detail?PublicationID=P20200413027</v>
      </c>
      <c r="K290" s="13" t="str">
        <f>HYPERLINK("https://ntsu.idm.oclc.org/login?url=https://www.airitibooks.com/Detail/Detail?PublicationID=P20200413027", "https://ntsu.idm.oclc.org/login?url=https://www.airitibooks.com/Detail/Detail?PublicationID=P20200413027")</f>
        <v>https://ntsu.idm.oclc.org/login?url=https://www.airitibooks.com/Detail/Detail?PublicationID=P20200413027</v>
      </c>
    </row>
    <row r="291" spans="1:11" ht="51" x14ac:dyDescent="0.4">
      <c r="A291" s="10" t="s">
        <v>13870</v>
      </c>
      <c r="B291" s="10" t="s">
        <v>13871</v>
      </c>
      <c r="C291" s="10" t="s">
        <v>568</v>
      </c>
      <c r="D291" s="10" t="s">
        <v>13872</v>
      </c>
      <c r="E291" s="10" t="s">
        <v>5998</v>
      </c>
      <c r="F291" s="10" t="s">
        <v>1440</v>
      </c>
      <c r="G291" s="10" t="s">
        <v>87</v>
      </c>
      <c r="H291" s="7" t="s">
        <v>24</v>
      </c>
      <c r="I291" s="7" t="s">
        <v>25</v>
      </c>
      <c r="J291" s="13" t="str">
        <f>HYPERLINK("https://www.airitibooks.com/Detail/Detail?PublicationID=P20200413040", "https://www.airitibooks.com/Detail/Detail?PublicationID=P20200413040")</f>
        <v>https://www.airitibooks.com/Detail/Detail?PublicationID=P20200413040</v>
      </c>
      <c r="K291" s="13" t="str">
        <f>HYPERLINK("https://ntsu.idm.oclc.org/login?url=https://www.airitibooks.com/Detail/Detail?PublicationID=P20200413040", "https://ntsu.idm.oclc.org/login?url=https://www.airitibooks.com/Detail/Detail?PublicationID=P20200413040")</f>
        <v>https://ntsu.idm.oclc.org/login?url=https://www.airitibooks.com/Detail/Detail?PublicationID=P20200413040</v>
      </c>
    </row>
    <row r="292" spans="1:11" ht="85" x14ac:dyDescent="0.4">
      <c r="A292" s="10" t="s">
        <v>13891</v>
      </c>
      <c r="B292" s="10" t="s">
        <v>13892</v>
      </c>
      <c r="C292" s="10" t="s">
        <v>12154</v>
      </c>
      <c r="D292" s="10" t="s">
        <v>13893</v>
      </c>
      <c r="E292" s="10" t="s">
        <v>5998</v>
      </c>
      <c r="F292" s="10" t="s">
        <v>144</v>
      </c>
      <c r="G292" s="10" t="s">
        <v>87</v>
      </c>
      <c r="H292" s="7" t="s">
        <v>24</v>
      </c>
      <c r="I292" s="7" t="s">
        <v>25</v>
      </c>
      <c r="J292" s="13" t="str">
        <f>HYPERLINK("https://www.airitibooks.com/Detail/Detail?PublicationID=P20200417378", "https://www.airitibooks.com/Detail/Detail?PublicationID=P20200417378")</f>
        <v>https://www.airitibooks.com/Detail/Detail?PublicationID=P20200417378</v>
      </c>
      <c r="K292" s="13" t="str">
        <f>HYPERLINK("https://ntsu.idm.oclc.org/login?url=https://www.airitibooks.com/Detail/Detail?PublicationID=P20200417378", "https://ntsu.idm.oclc.org/login?url=https://www.airitibooks.com/Detail/Detail?PublicationID=P20200417378")</f>
        <v>https://ntsu.idm.oclc.org/login?url=https://www.airitibooks.com/Detail/Detail?PublicationID=P20200417378</v>
      </c>
    </row>
    <row r="293" spans="1:11" ht="51" x14ac:dyDescent="0.4">
      <c r="A293" s="10" t="s">
        <v>13901</v>
      </c>
      <c r="B293" s="10" t="s">
        <v>13902</v>
      </c>
      <c r="C293" s="10" t="s">
        <v>791</v>
      </c>
      <c r="D293" s="10" t="s">
        <v>13903</v>
      </c>
      <c r="E293" s="10" t="s">
        <v>5998</v>
      </c>
      <c r="F293" s="10" t="s">
        <v>13904</v>
      </c>
      <c r="G293" s="10" t="s">
        <v>87</v>
      </c>
      <c r="H293" s="7" t="s">
        <v>24</v>
      </c>
      <c r="I293" s="7" t="s">
        <v>25</v>
      </c>
      <c r="J293" s="13" t="str">
        <f>HYPERLINK("https://www.airitibooks.com/Detail/Detail?PublicationID=P20200424021", "https://www.airitibooks.com/Detail/Detail?PublicationID=P20200424021")</f>
        <v>https://www.airitibooks.com/Detail/Detail?PublicationID=P20200424021</v>
      </c>
      <c r="K293" s="13" t="str">
        <f>HYPERLINK("https://ntsu.idm.oclc.org/login?url=https://www.airitibooks.com/Detail/Detail?PublicationID=P20200424021", "https://ntsu.idm.oclc.org/login?url=https://www.airitibooks.com/Detail/Detail?PublicationID=P20200424021")</f>
        <v>https://ntsu.idm.oclc.org/login?url=https://www.airitibooks.com/Detail/Detail?PublicationID=P20200424021</v>
      </c>
    </row>
    <row r="294" spans="1:11" ht="102" x14ac:dyDescent="0.4">
      <c r="A294" s="10" t="s">
        <v>13907</v>
      </c>
      <c r="B294" s="10" t="s">
        <v>13908</v>
      </c>
      <c r="C294" s="10" t="s">
        <v>791</v>
      </c>
      <c r="D294" s="10" t="s">
        <v>13909</v>
      </c>
      <c r="E294" s="10" t="s">
        <v>5998</v>
      </c>
      <c r="F294" s="10" t="s">
        <v>7178</v>
      </c>
      <c r="G294" s="10" t="s">
        <v>87</v>
      </c>
      <c r="H294" s="7" t="s">
        <v>24</v>
      </c>
      <c r="I294" s="7" t="s">
        <v>25</v>
      </c>
      <c r="J294" s="13" t="str">
        <f>HYPERLINK("https://www.airitibooks.com/Detail/Detail?PublicationID=P20200424026", "https://www.airitibooks.com/Detail/Detail?PublicationID=P20200424026")</f>
        <v>https://www.airitibooks.com/Detail/Detail?PublicationID=P20200424026</v>
      </c>
      <c r="K294" s="13" t="str">
        <f>HYPERLINK("https://ntsu.idm.oclc.org/login?url=https://www.airitibooks.com/Detail/Detail?PublicationID=P20200424026", "https://ntsu.idm.oclc.org/login?url=https://www.airitibooks.com/Detail/Detail?PublicationID=P20200424026")</f>
        <v>https://ntsu.idm.oclc.org/login?url=https://www.airitibooks.com/Detail/Detail?PublicationID=P20200424026</v>
      </c>
    </row>
    <row r="295" spans="1:11" ht="51" x14ac:dyDescent="0.4">
      <c r="A295" s="10" t="s">
        <v>13920</v>
      </c>
      <c r="B295" s="10" t="s">
        <v>13921</v>
      </c>
      <c r="C295" s="10" t="s">
        <v>2854</v>
      </c>
      <c r="D295" s="10" t="s">
        <v>13922</v>
      </c>
      <c r="E295" s="10" t="s">
        <v>5998</v>
      </c>
      <c r="F295" s="10" t="s">
        <v>144</v>
      </c>
      <c r="G295" s="10" t="s">
        <v>87</v>
      </c>
      <c r="H295" s="7" t="s">
        <v>24</v>
      </c>
      <c r="I295" s="7" t="s">
        <v>25</v>
      </c>
      <c r="J295" s="13" t="str">
        <f>HYPERLINK("https://www.airitibooks.com/Detail/Detail?PublicationID=P20200424212", "https://www.airitibooks.com/Detail/Detail?PublicationID=P20200424212")</f>
        <v>https://www.airitibooks.com/Detail/Detail?PublicationID=P20200424212</v>
      </c>
      <c r="K295" s="13" t="str">
        <f>HYPERLINK("https://ntsu.idm.oclc.org/login?url=https://www.airitibooks.com/Detail/Detail?PublicationID=P20200424212", "https://ntsu.idm.oclc.org/login?url=https://www.airitibooks.com/Detail/Detail?PublicationID=P20200424212")</f>
        <v>https://ntsu.idm.oclc.org/login?url=https://www.airitibooks.com/Detail/Detail?PublicationID=P20200424212</v>
      </c>
    </row>
    <row r="296" spans="1:11" ht="51" x14ac:dyDescent="0.4">
      <c r="A296" s="10" t="s">
        <v>13995</v>
      </c>
      <c r="B296" s="10" t="s">
        <v>13996</v>
      </c>
      <c r="C296" s="10" t="s">
        <v>428</v>
      </c>
      <c r="D296" s="10" t="s">
        <v>13997</v>
      </c>
      <c r="E296" s="10" t="s">
        <v>5998</v>
      </c>
      <c r="F296" s="10" t="s">
        <v>232</v>
      </c>
      <c r="G296" s="10" t="s">
        <v>87</v>
      </c>
      <c r="H296" s="7" t="s">
        <v>24</v>
      </c>
      <c r="I296" s="7" t="s">
        <v>25</v>
      </c>
      <c r="J296" s="13" t="str">
        <f>HYPERLINK("https://www.airitibooks.com/Detail/Detail?PublicationID=P20200430069", "https://www.airitibooks.com/Detail/Detail?PublicationID=P20200430069")</f>
        <v>https://www.airitibooks.com/Detail/Detail?PublicationID=P20200430069</v>
      </c>
      <c r="K296" s="13" t="str">
        <f>HYPERLINK("https://ntsu.idm.oclc.org/login?url=https://www.airitibooks.com/Detail/Detail?PublicationID=P20200430069", "https://ntsu.idm.oclc.org/login?url=https://www.airitibooks.com/Detail/Detail?PublicationID=P20200430069")</f>
        <v>https://ntsu.idm.oclc.org/login?url=https://www.airitibooks.com/Detail/Detail?PublicationID=P20200430069</v>
      </c>
    </row>
    <row r="297" spans="1:11" ht="51" x14ac:dyDescent="0.4">
      <c r="A297" s="10" t="s">
        <v>13998</v>
      </c>
      <c r="B297" s="10" t="s">
        <v>13999</v>
      </c>
      <c r="C297" s="10" t="s">
        <v>428</v>
      </c>
      <c r="D297" s="10" t="s">
        <v>14000</v>
      </c>
      <c r="E297" s="10" t="s">
        <v>5998</v>
      </c>
      <c r="F297" s="10" t="s">
        <v>144</v>
      </c>
      <c r="G297" s="10" t="s">
        <v>87</v>
      </c>
      <c r="H297" s="7" t="s">
        <v>24</v>
      </c>
      <c r="I297" s="7" t="s">
        <v>25</v>
      </c>
      <c r="J297" s="13" t="str">
        <f>HYPERLINK("https://www.airitibooks.com/Detail/Detail?PublicationID=P20200430070", "https://www.airitibooks.com/Detail/Detail?PublicationID=P20200430070")</f>
        <v>https://www.airitibooks.com/Detail/Detail?PublicationID=P20200430070</v>
      </c>
      <c r="K297" s="13" t="str">
        <f>HYPERLINK("https://ntsu.idm.oclc.org/login?url=https://www.airitibooks.com/Detail/Detail?PublicationID=P20200430070", "https://ntsu.idm.oclc.org/login?url=https://www.airitibooks.com/Detail/Detail?PublicationID=P20200430070")</f>
        <v>https://ntsu.idm.oclc.org/login?url=https://www.airitibooks.com/Detail/Detail?PublicationID=P20200430070</v>
      </c>
    </row>
    <row r="298" spans="1:11" ht="51" x14ac:dyDescent="0.4">
      <c r="A298" s="10" t="s">
        <v>14001</v>
      </c>
      <c r="B298" s="10" t="s">
        <v>14002</v>
      </c>
      <c r="C298" s="10" t="s">
        <v>428</v>
      </c>
      <c r="D298" s="10" t="s">
        <v>14003</v>
      </c>
      <c r="E298" s="10" t="s">
        <v>5998</v>
      </c>
      <c r="F298" s="10" t="s">
        <v>475</v>
      </c>
      <c r="G298" s="10" t="s">
        <v>87</v>
      </c>
      <c r="H298" s="7" t="s">
        <v>24</v>
      </c>
      <c r="I298" s="7" t="s">
        <v>25</v>
      </c>
      <c r="J298" s="13" t="str">
        <f>HYPERLINK("https://www.airitibooks.com/Detail/Detail?PublicationID=P20200430071", "https://www.airitibooks.com/Detail/Detail?PublicationID=P20200430071")</f>
        <v>https://www.airitibooks.com/Detail/Detail?PublicationID=P20200430071</v>
      </c>
      <c r="K298" s="13" t="str">
        <f>HYPERLINK("https://ntsu.idm.oclc.org/login?url=https://www.airitibooks.com/Detail/Detail?PublicationID=P20200430071", "https://ntsu.idm.oclc.org/login?url=https://www.airitibooks.com/Detail/Detail?PublicationID=P20200430071")</f>
        <v>https://ntsu.idm.oclc.org/login?url=https://www.airitibooks.com/Detail/Detail?PublicationID=P20200430071</v>
      </c>
    </row>
    <row r="299" spans="1:11" ht="51" x14ac:dyDescent="0.4">
      <c r="A299" s="10" t="s">
        <v>14004</v>
      </c>
      <c r="B299" s="10" t="s">
        <v>14005</v>
      </c>
      <c r="C299" s="10" t="s">
        <v>428</v>
      </c>
      <c r="D299" s="10" t="s">
        <v>14006</v>
      </c>
      <c r="E299" s="10" t="s">
        <v>5998</v>
      </c>
      <c r="F299" s="10" t="s">
        <v>425</v>
      </c>
      <c r="G299" s="10" t="s">
        <v>87</v>
      </c>
      <c r="H299" s="7" t="s">
        <v>24</v>
      </c>
      <c r="I299" s="7" t="s">
        <v>25</v>
      </c>
      <c r="J299" s="13" t="str">
        <f>HYPERLINK("https://www.airitibooks.com/Detail/Detail?PublicationID=P20200430072", "https://www.airitibooks.com/Detail/Detail?PublicationID=P20200430072")</f>
        <v>https://www.airitibooks.com/Detail/Detail?PublicationID=P20200430072</v>
      </c>
      <c r="K299" s="13" t="str">
        <f>HYPERLINK("https://ntsu.idm.oclc.org/login?url=https://www.airitibooks.com/Detail/Detail?PublicationID=P20200430072", "https://ntsu.idm.oclc.org/login?url=https://www.airitibooks.com/Detail/Detail?PublicationID=P20200430072")</f>
        <v>https://ntsu.idm.oclc.org/login?url=https://www.airitibooks.com/Detail/Detail?PublicationID=P20200430072</v>
      </c>
    </row>
    <row r="300" spans="1:11" ht="51" x14ac:dyDescent="0.4">
      <c r="A300" s="10" t="s">
        <v>14007</v>
      </c>
      <c r="B300" s="10" t="s">
        <v>14008</v>
      </c>
      <c r="C300" s="10" t="s">
        <v>428</v>
      </c>
      <c r="D300" s="10" t="s">
        <v>14009</v>
      </c>
      <c r="E300" s="10" t="s">
        <v>5998</v>
      </c>
      <c r="F300" s="10" t="s">
        <v>14010</v>
      </c>
      <c r="G300" s="10" t="s">
        <v>87</v>
      </c>
      <c r="H300" s="7" t="s">
        <v>24</v>
      </c>
      <c r="I300" s="7" t="s">
        <v>25</v>
      </c>
      <c r="J300" s="13" t="str">
        <f>HYPERLINK("https://www.airitibooks.com/Detail/Detail?PublicationID=P20200430074", "https://www.airitibooks.com/Detail/Detail?PublicationID=P20200430074")</f>
        <v>https://www.airitibooks.com/Detail/Detail?PublicationID=P20200430074</v>
      </c>
      <c r="K300" s="13" t="str">
        <f>HYPERLINK("https://ntsu.idm.oclc.org/login?url=https://www.airitibooks.com/Detail/Detail?PublicationID=P20200430074", "https://ntsu.idm.oclc.org/login?url=https://www.airitibooks.com/Detail/Detail?PublicationID=P20200430074")</f>
        <v>https://ntsu.idm.oclc.org/login?url=https://www.airitibooks.com/Detail/Detail?PublicationID=P20200430074</v>
      </c>
    </row>
    <row r="301" spans="1:11" ht="51" x14ac:dyDescent="0.4">
      <c r="A301" s="10" t="s">
        <v>14015</v>
      </c>
      <c r="B301" s="10" t="s">
        <v>14016</v>
      </c>
      <c r="C301" s="10" t="s">
        <v>297</v>
      </c>
      <c r="D301" s="10" t="s">
        <v>1397</v>
      </c>
      <c r="E301" s="10" t="s">
        <v>5998</v>
      </c>
      <c r="F301" s="10" t="s">
        <v>1632</v>
      </c>
      <c r="G301" s="10" t="s">
        <v>87</v>
      </c>
      <c r="H301" s="7" t="s">
        <v>24</v>
      </c>
      <c r="I301" s="7" t="s">
        <v>25</v>
      </c>
      <c r="J301" s="13" t="str">
        <f>HYPERLINK("https://www.airitibooks.com/Detail/Detail?PublicationID=P20200430080", "https://www.airitibooks.com/Detail/Detail?PublicationID=P20200430080")</f>
        <v>https://www.airitibooks.com/Detail/Detail?PublicationID=P20200430080</v>
      </c>
      <c r="K301" s="13" t="str">
        <f>HYPERLINK("https://ntsu.idm.oclc.org/login?url=https://www.airitibooks.com/Detail/Detail?PublicationID=P20200430080", "https://ntsu.idm.oclc.org/login?url=https://www.airitibooks.com/Detail/Detail?PublicationID=P20200430080")</f>
        <v>https://ntsu.idm.oclc.org/login?url=https://www.airitibooks.com/Detail/Detail?PublicationID=P20200430080</v>
      </c>
    </row>
    <row r="302" spans="1:11" ht="51" x14ac:dyDescent="0.4">
      <c r="A302" s="10" t="s">
        <v>14070</v>
      </c>
      <c r="B302" s="10" t="s">
        <v>14071</v>
      </c>
      <c r="C302" s="10" t="s">
        <v>3705</v>
      </c>
      <c r="D302" s="10" t="s">
        <v>14072</v>
      </c>
      <c r="E302" s="10" t="s">
        <v>5998</v>
      </c>
      <c r="F302" s="10" t="s">
        <v>14073</v>
      </c>
      <c r="G302" s="10" t="s">
        <v>87</v>
      </c>
      <c r="H302" s="7" t="s">
        <v>24</v>
      </c>
      <c r="I302" s="7" t="s">
        <v>25</v>
      </c>
      <c r="J302" s="13" t="str">
        <f>HYPERLINK("https://www.airitibooks.com/Detail/Detail?PublicationID=P20200430240", "https://www.airitibooks.com/Detail/Detail?PublicationID=P20200430240")</f>
        <v>https://www.airitibooks.com/Detail/Detail?PublicationID=P20200430240</v>
      </c>
      <c r="K302" s="13" t="str">
        <f>HYPERLINK("https://ntsu.idm.oclc.org/login?url=https://www.airitibooks.com/Detail/Detail?PublicationID=P20200430240", "https://ntsu.idm.oclc.org/login?url=https://www.airitibooks.com/Detail/Detail?PublicationID=P20200430240")</f>
        <v>https://ntsu.idm.oclc.org/login?url=https://www.airitibooks.com/Detail/Detail?PublicationID=P20200430240</v>
      </c>
    </row>
    <row r="303" spans="1:11" ht="51" x14ac:dyDescent="0.4">
      <c r="A303" s="10" t="s">
        <v>14096</v>
      </c>
      <c r="B303" s="10" t="s">
        <v>14097</v>
      </c>
      <c r="C303" s="10" t="s">
        <v>627</v>
      </c>
      <c r="D303" s="10" t="s">
        <v>1237</v>
      </c>
      <c r="E303" s="10" t="s">
        <v>5998</v>
      </c>
      <c r="F303" s="10" t="s">
        <v>633</v>
      </c>
      <c r="G303" s="10" t="s">
        <v>87</v>
      </c>
      <c r="H303" s="7" t="s">
        <v>24</v>
      </c>
      <c r="I303" s="7" t="s">
        <v>25</v>
      </c>
      <c r="J303" s="13" t="str">
        <f>HYPERLINK("https://www.airitibooks.com/Detail/Detail?PublicationID=P20200514013", "https://www.airitibooks.com/Detail/Detail?PublicationID=P20200514013")</f>
        <v>https://www.airitibooks.com/Detail/Detail?PublicationID=P20200514013</v>
      </c>
      <c r="K303" s="13" t="str">
        <f>HYPERLINK("https://ntsu.idm.oclc.org/login?url=https://www.airitibooks.com/Detail/Detail?PublicationID=P20200514013", "https://ntsu.idm.oclc.org/login?url=https://www.airitibooks.com/Detail/Detail?PublicationID=P20200514013")</f>
        <v>https://ntsu.idm.oclc.org/login?url=https://www.airitibooks.com/Detail/Detail?PublicationID=P20200514013</v>
      </c>
    </row>
    <row r="304" spans="1:11" ht="68" x14ac:dyDescent="0.4">
      <c r="A304" s="10" t="s">
        <v>14271</v>
      </c>
      <c r="B304" s="10" t="s">
        <v>14272</v>
      </c>
      <c r="C304" s="10" t="s">
        <v>791</v>
      </c>
      <c r="D304" s="10" t="s">
        <v>14273</v>
      </c>
      <c r="E304" s="10" t="s">
        <v>5998</v>
      </c>
      <c r="F304" s="10" t="s">
        <v>144</v>
      </c>
      <c r="G304" s="10" t="s">
        <v>87</v>
      </c>
      <c r="H304" s="7" t="s">
        <v>24</v>
      </c>
      <c r="I304" s="7" t="s">
        <v>25</v>
      </c>
      <c r="J304" s="13" t="str">
        <f>HYPERLINK("https://www.airitibooks.com/Detail/Detail?PublicationID=P20200605006", "https://www.airitibooks.com/Detail/Detail?PublicationID=P20200605006")</f>
        <v>https://www.airitibooks.com/Detail/Detail?PublicationID=P20200605006</v>
      </c>
      <c r="K304" s="13" t="str">
        <f>HYPERLINK("https://ntsu.idm.oclc.org/login?url=https://www.airitibooks.com/Detail/Detail?PublicationID=P20200605006", "https://ntsu.idm.oclc.org/login?url=https://www.airitibooks.com/Detail/Detail?PublicationID=P20200605006")</f>
        <v>https://ntsu.idm.oclc.org/login?url=https://www.airitibooks.com/Detail/Detail?PublicationID=P20200605006</v>
      </c>
    </row>
    <row r="305" spans="1:11" ht="119" x14ac:dyDescent="0.4">
      <c r="A305" s="10" t="s">
        <v>14295</v>
      </c>
      <c r="B305" s="10" t="s">
        <v>14296</v>
      </c>
      <c r="C305" s="10" t="s">
        <v>12154</v>
      </c>
      <c r="D305" s="10" t="s">
        <v>14297</v>
      </c>
      <c r="E305" s="10" t="s">
        <v>5998</v>
      </c>
      <c r="F305" s="10" t="s">
        <v>144</v>
      </c>
      <c r="G305" s="10" t="s">
        <v>87</v>
      </c>
      <c r="H305" s="7" t="s">
        <v>24</v>
      </c>
      <c r="I305" s="7" t="s">
        <v>25</v>
      </c>
      <c r="J305" s="13" t="str">
        <f>HYPERLINK("https://www.airitibooks.com/Detail/Detail?PublicationID=P20200605022", "https://www.airitibooks.com/Detail/Detail?PublicationID=P20200605022")</f>
        <v>https://www.airitibooks.com/Detail/Detail?PublicationID=P20200605022</v>
      </c>
      <c r="K305" s="13" t="str">
        <f>HYPERLINK("https://ntsu.idm.oclc.org/login?url=https://www.airitibooks.com/Detail/Detail?PublicationID=P20200605022", "https://ntsu.idm.oclc.org/login?url=https://www.airitibooks.com/Detail/Detail?PublicationID=P20200605022")</f>
        <v>https://ntsu.idm.oclc.org/login?url=https://www.airitibooks.com/Detail/Detail?PublicationID=P20200605022</v>
      </c>
    </row>
    <row r="306" spans="1:11" ht="51" x14ac:dyDescent="0.4">
      <c r="A306" s="10" t="s">
        <v>14392</v>
      </c>
      <c r="B306" s="10" t="s">
        <v>14393</v>
      </c>
      <c r="C306" s="10" t="s">
        <v>130</v>
      </c>
      <c r="D306" s="10" t="s">
        <v>14394</v>
      </c>
      <c r="E306" s="10" t="s">
        <v>5998</v>
      </c>
      <c r="F306" s="10" t="s">
        <v>132</v>
      </c>
      <c r="G306" s="10" t="s">
        <v>87</v>
      </c>
      <c r="H306" s="7" t="s">
        <v>24</v>
      </c>
      <c r="I306" s="7" t="s">
        <v>25</v>
      </c>
      <c r="J306" s="13" t="str">
        <f>HYPERLINK("https://www.airitibooks.com/Detail/Detail?PublicationID=P20200703008", "https://www.airitibooks.com/Detail/Detail?PublicationID=P20200703008")</f>
        <v>https://www.airitibooks.com/Detail/Detail?PublicationID=P20200703008</v>
      </c>
      <c r="K306" s="13" t="str">
        <f>HYPERLINK("https://ntsu.idm.oclc.org/login?url=https://www.airitibooks.com/Detail/Detail?PublicationID=P20200703008", "https://ntsu.idm.oclc.org/login?url=https://www.airitibooks.com/Detail/Detail?PublicationID=P20200703008")</f>
        <v>https://ntsu.idm.oclc.org/login?url=https://www.airitibooks.com/Detail/Detail?PublicationID=P20200703008</v>
      </c>
    </row>
    <row r="307" spans="1:11" ht="68" x14ac:dyDescent="0.4">
      <c r="A307" s="10" t="s">
        <v>14398</v>
      </c>
      <c r="B307" s="10" t="s">
        <v>14399</v>
      </c>
      <c r="C307" s="10" t="s">
        <v>108</v>
      </c>
      <c r="D307" s="10" t="s">
        <v>14400</v>
      </c>
      <c r="E307" s="10" t="s">
        <v>5998</v>
      </c>
      <c r="F307" s="10" t="s">
        <v>4055</v>
      </c>
      <c r="G307" s="10" t="s">
        <v>87</v>
      </c>
      <c r="H307" s="7" t="s">
        <v>24</v>
      </c>
      <c r="I307" s="7" t="s">
        <v>25</v>
      </c>
      <c r="J307" s="13" t="str">
        <f>HYPERLINK("https://www.airitibooks.com/Detail/Detail?PublicationID=P20200703014", "https://www.airitibooks.com/Detail/Detail?PublicationID=P20200703014")</f>
        <v>https://www.airitibooks.com/Detail/Detail?PublicationID=P20200703014</v>
      </c>
      <c r="K307" s="13" t="str">
        <f>HYPERLINK("https://ntsu.idm.oclc.org/login?url=https://www.airitibooks.com/Detail/Detail?PublicationID=P20200703014", "https://ntsu.idm.oclc.org/login?url=https://www.airitibooks.com/Detail/Detail?PublicationID=P20200703014")</f>
        <v>https://ntsu.idm.oclc.org/login?url=https://www.airitibooks.com/Detail/Detail?PublicationID=P20200703014</v>
      </c>
    </row>
    <row r="308" spans="1:11" ht="119" x14ac:dyDescent="0.4">
      <c r="A308" s="10" t="s">
        <v>14435</v>
      </c>
      <c r="B308" s="10" t="s">
        <v>14436</v>
      </c>
      <c r="C308" s="10" t="s">
        <v>12154</v>
      </c>
      <c r="D308" s="10" t="s">
        <v>14437</v>
      </c>
      <c r="E308" s="10" t="s">
        <v>5998</v>
      </c>
      <c r="F308" s="10" t="s">
        <v>144</v>
      </c>
      <c r="G308" s="10" t="s">
        <v>87</v>
      </c>
      <c r="H308" s="7" t="s">
        <v>24</v>
      </c>
      <c r="I308" s="7" t="s">
        <v>25</v>
      </c>
      <c r="J308" s="13" t="str">
        <f>HYPERLINK("https://www.airitibooks.com/Detail/Detail?PublicationID=P20200703143", "https://www.airitibooks.com/Detail/Detail?PublicationID=P20200703143")</f>
        <v>https://www.airitibooks.com/Detail/Detail?PublicationID=P20200703143</v>
      </c>
      <c r="K308" s="13" t="str">
        <f>HYPERLINK("https://ntsu.idm.oclc.org/login?url=https://www.airitibooks.com/Detail/Detail?PublicationID=P20200703143", "https://ntsu.idm.oclc.org/login?url=https://www.airitibooks.com/Detail/Detail?PublicationID=P20200703143")</f>
        <v>https://ntsu.idm.oclc.org/login?url=https://www.airitibooks.com/Detail/Detail?PublicationID=P20200703143</v>
      </c>
    </row>
    <row r="309" spans="1:11" ht="51" x14ac:dyDescent="0.4">
      <c r="A309" s="10" t="s">
        <v>14458</v>
      </c>
      <c r="B309" s="10" t="s">
        <v>14459</v>
      </c>
      <c r="C309" s="10" t="s">
        <v>130</v>
      </c>
      <c r="D309" s="10" t="s">
        <v>12026</v>
      </c>
      <c r="E309" s="10" t="s">
        <v>5998</v>
      </c>
      <c r="F309" s="10" t="s">
        <v>144</v>
      </c>
      <c r="G309" s="10" t="s">
        <v>87</v>
      </c>
      <c r="H309" s="7" t="s">
        <v>24</v>
      </c>
      <c r="I309" s="7" t="s">
        <v>25</v>
      </c>
      <c r="J309" s="13" t="str">
        <f>HYPERLINK("https://www.airitibooks.com/Detail/Detail?PublicationID=P20200709156", "https://www.airitibooks.com/Detail/Detail?PublicationID=P20200709156")</f>
        <v>https://www.airitibooks.com/Detail/Detail?PublicationID=P20200709156</v>
      </c>
      <c r="K309" s="13" t="str">
        <f>HYPERLINK("https://ntsu.idm.oclc.org/login?url=https://www.airitibooks.com/Detail/Detail?PublicationID=P20200709156", "https://ntsu.idm.oclc.org/login?url=https://www.airitibooks.com/Detail/Detail?PublicationID=P20200709156")</f>
        <v>https://ntsu.idm.oclc.org/login?url=https://www.airitibooks.com/Detail/Detail?PublicationID=P20200709156</v>
      </c>
    </row>
    <row r="310" spans="1:11" ht="51" x14ac:dyDescent="0.4">
      <c r="A310" s="10" t="s">
        <v>14460</v>
      </c>
      <c r="B310" s="10" t="s">
        <v>14461</v>
      </c>
      <c r="C310" s="10" t="s">
        <v>130</v>
      </c>
      <c r="D310" s="10" t="s">
        <v>4146</v>
      </c>
      <c r="E310" s="10" t="s">
        <v>5998</v>
      </c>
      <c r="F310" s="10" t="s">
        <v>5432</v>
      </c>
      <c r="G310" s="10" t="s">
        <v>87</v>
      </c>
      <c r="H310" s="7" t="s">
        <v>24</v>
      </c>
      <c r="I310" s="7" t="s">
        <v>25</v>
      </c>
      <c r="J310" s="13" t="str">
        <f>HYPERLINK("https://www.airitibooks.com/Detail/Detail?PublicationID=P20200709157", "https://www.airitibooks.com/Detail/Detail?PublicationID=P20200709157")</f>
        <v>https://www.airitibooks.com/Detail/Detail?PublicationID=P20200709157</v>
      </c>
      <c r="K310" s="13" t="str">
        <f>HYPERLINK("https://ntsu.idm.oclc.org/login?url=https://www.airitibooks.com/Detail/Detail?PublicationID=P20200709157", "https://ntsu.idm.oclc.org/login?url=https://www.airitibooks.com/Detail/Detail?PublicationID=P20200709157")</f>
        <v>https://ntsu.idm.oclc.org/login?url=https://www.airitibooks.com/Detail/Detail?PublicationID=P20200709157</v>
      </c>
    </row>
    <row r="311" spans="1:11" ht="51" x14ac:dyDescent="0.4">
      <c r="A311" s="10" t="s">
        <v>14462</v>
      </c>
      <c r="B311" s="10" t="s">
        <v>14463</v>
      </c>
      <c r="C311" s="10" t="s">
        <v>130</v>
      </c>
      <c r="D311" s="10" t="s">
        <v>14464</v>
      </c>
      <c r="E311" s="10" t="s">
        <v>5998</v>
      </c>
      <c r="F311" s="10" t="s">
        <v>7178</v>
      </c>
      <c r="G311" s="10" t="s">
        <v>87</v>
      </c>
      <c r="H311" s="7" t="s">
        <v>24</v>
      </c>
      <c r="I311" s="7" t="s">
        <v>25</v>
      </c>
      <c r="J311" s="13" t="str">
        <f>HYPERLINK("https://www.airitibooks.com/Detail/Detail?PublicationID=P20200709160", "https://www.airitibooks.com/Detail/Detail?PublicationID=P20200709160")</f>
        <v>https://www.airitibooks.com/Detail/Detail?PublicationID=P20200709160</v>
      </c>
      <c r="K311" s="13" t="str">
        <f>HYPERLINK("https://ntsu.idm.oclc.org/login?url=https://www.airitibooks.com/Detail/Detail?PublicationID=P20200709160", "https://ntsu.idm.oclc.org/login?url=https://www.airitibooks.com/Detail/Detail?PublicationID=P20200709160")</f>
        <v>https://ntsu.idm.oclc.org/login?url=https://www.airitibooks.com/Detail/Detail?PublicationID=P20200709160</v>
      </c>
    </row>
    <row r="312" spans="1:11" ht="51" x14ac:dyDescent="0.4">
      <c r="A312" s="10" t="s">
        <v>14465</v>
      </c>
      <c r="B312" s="10" t="s">
        <v>14466</v>
      </c>
      <c r="C312" s="10" t="s">
        <v>746</v>
      </c>
      <c r="D312" s="10" t="s">
        <v>12075</v>
      </c>
      <c r="E312" s="10" t="s">
        <v>5998</v>
      </c>
      <c r="F312" s="10" t="s">
        <v>143</v>
      </c>
      <c r="G312" s="10" t="s">
        <v>87</v>
      </c>
      <c r="H312" s="7" t="s">
        <v>24</v>
      </c>
      <c r="I312" s="7" t="s">
        <v>25</v>
      </c>
      <c r="J312" s="13" t="str">
        <f>HYPERLINK("https://www.airitibooks.com/Detail/Detail?PublicationID=P20200709196", "https://www.airitibooks.com/Detail/Detail?PublicationID=P20200709196")</f>
        <v>https://www.airitibooks.com/Detail/Detail?PublicationID=P20200709196</v>
      </c>
      <c r="K312" s="13" t="str">
        <f>HYPERLINK("https://ntsu.idm.oclc.org/login?url=https://www.airitibooks.com/Detail/Detail?PublicationID=P20200709196", "https://ntsu.idm.oclc.org/login?url=https://www.airitibooks.com/Detail/Detail?PublicationID=P20200709196")</f>
        <v>https://ntsu.idm.oclc.org/login?url=https://www.airitibooks.com/Detail/Detail?PublicationID=P20200709196</v>
      </c>
    </row>
    <row r="313" spans="1:11" ht="51" x14ac:dyDescent="0.4">
      <c r="A313" s="10" t="s">
        <v>14507</v>
      </c>
      <c r="B313" s="10" t="s">
        <v>14508</v>
      </c>
      <c r="C313" s="10" t="s">
        <v>14509</v>
      </c>
      <c r="D313" s="10" t="s">
        <v>14510</v>
      </c>
      <c r="E313" s="10" t="s">
        <v>5998</v>
      </c>
      <c r="F313" s="10" t="s">
        <v>144</v>
      </c>
      <c r="G313" s="10" t="s">
        <v>87</v>
      </c>
      <c r="H313" s="7" t="s">
        <v>24</v>
      </c>
      <c r="I313" s="7" t="s">
        <v>25</v>
      </c>
      <c r="J313" s="13" t="str">
        <f>HYPERLINK("https://www.airitibooks.com/Detail/Detail?PublicationID=P20200724043", "https://www.airitibooks.com/Detail/Detail?PublicationID=P20200724043")</f>
        <v>https://www.airitibooks.com/Detail/Detail?PublicationID=P20200724043</v>
      </c>
      <c r="K313" s="13" t="str">
        <f>HYPERLINK("https://ntsu.idm.oclc.org/login?url=https://www.airitibooks.com/Detail/Detail?PublicationID=P20200724043", "https://ntsu.idm.oclc.org/login?url=https://www.airitibooks.com/Detail/Detail?PublicationID=P20200724043")</f>
        <v>https://ntsu.idm.oclc.org/login?url=https://www.airitibooks.com/Detail/Detail?PublicationID=P20200724043</v>
      </c>
    </row>
    <row r="314" spans="1:11" ht="51" x14ac:dyDescent="0.4">
      <c r="A314" s="10" t="s">
        <v>14511</v>
      </c>
      <c r="B314" s="10" t="s">
        <v>14512</v>
      </c>
      <c r="C314" s="10" t="s">
        <v>240</v>
      </c>
      <c r="D314" s="10" t="s">
        <v>14513</v>
      </c>
      <c r="E314" s="10" t="s">
        <v>5998</v>
      </c>
      <c r="F314" s="10" t="s">
        <v>399</v>
      </c>
      <c r="G314" s="10" t="s">
        <v>87</v>
      </c>
      <c r="H314" s="7" t="s">
        <v>24</v>
      </c>
      <c r="I314" s="7" t="s">
        <v>25</v>
      </c>
      <c r="J314" s="13" t="str">
        <f>HYPERLINK("https://www.airitibooks.com/Detail/Detail?PublicationID=P20200724049", "https://www.airitibooks.com/Detail/Detail?PublicationID=P20200724049")</f>
        <v>https://www.airitibooks.com/Detail/Detail?PublicationID=P20200724049</v>
      </c>
      <c r="K314" s="13" t="str">
        <f>HYPERLINK("https://ntsu.idm.oclc.org/login?url=https://www.airitibooks.com/Detail/Detail?PublicationID=P20200724049", "https://ntsu.idm.oclc.org/login?url=https://www.airitibooks.com/Detail/Detail?PublicationID=P20200724049")</f>
        <v>https://ntsu.idm.oclc.org/login?url=https://www.airitibooks.com/Detail/Detail?PublicationID=P20200724049</v>
      </c>
    </row>
    <row r="315" spans="1:11" ht="51" x14ac:dyDescent="0.4">
      <c r="A315" s="10" t="s">
        <v>14524</v>
      </c>
      <c r="B315" s="10" t="s">
        <v>14525</v>
      </c>
      <c r="C315" s="10" t="s">
        <v>3705</v>
      </c>
      <c r="D315" s="10" t="s">
        <v>14526</v>
      </c>
      <c r="E315" s="10" t="s">
        <v>5998</v>
      </c>
      <c r="F315" s="10" t="s">
        <v>14073</v>
      </c>
      <c r="G315" s="10" t="s">
        <v>87</v>
      </c>
      <c r="H315" s="7" t="s">
        <v>24</v>
      </c>
      <c r="I315" s="7" t="s">
        <v>25</v>
      </c>
      <c r="J315" s="13" t="str">
        <f>HYPERLINK("https://www.airitibooks.com/Detail/Detail?PublicationID=P20200728004", "https://www.airitibooks.com/Detail/Detail?PublicationID=P20200728004")</f>
        <v>https://www.airitibooks.com/Detail/Detail?PublicationID=P20200728004</v>
      </c>
      <c r="K315" s="13" t="str">
        <f>HYPERLINK("https://ntsu.idm.oclc.org/login?url=https://www.airitibooks.com/Detail/Detail?PublicationID=P20200728004", "https://ntsu.idm.oclc.org/login?url=https://www.airitibooks.com/Detail/Detail?PublicationID=P20200728004")</f>
        <v>https://ntsu.idm.oclc.org/login?url=https://www.airitibooks.com/Detail/Detail?PublicationID=P20200728004</v>
      </c>
    </row>
    <row r="316" spans="1:11" ht="51" x14ac:dyDescent="0.4">
      <c r="A316" s="10" t="s">
        <v>14527</v>
      </c>
      <c r="B316" s="10" t="s">
        <v>14528</v>
      </c>
      <c r="C316" s="10" t="s">
        <v>3705</v>
      </c>
      <c r="D316" s="10" t="s">
        <v>14072</v>
      </c>
      <c r="E316" s="10" t="s">
        <v>5998</v>
      </c>
      <c r="F316" s="10" t="s">
        <v>14073</v>
      </c>
      <c r="G316" s="10" t="s">
        <v>87</v>
      </c>
      <c r="H316" s="7" t="s">
        <v>24</v>
      </c>
      <c r="I316" s="7" t="s">
        <v>25</v>
      </c>
      <c r="J316" s="13" t="str">
        <f>HYPERLINK("https://www.airitibooks.com/Detail/Detail?PublicationID=P20200728005", "https://www.airitibooks.com/Detail/Detail?PublicationID=P20200728005")</f>
        <v>https://www.airitibooks.com/Detail/Detail?PublicationID=P20200728005</v>
      </c>
      <c r="K316" s="13" t="str">
        <f>HYPERLINK("https://ntsu.idm.oclc.org/login?url=https://www.airitibooks.com/Detail/Detail?PublicationID=P20200728005", "https://ntsu.idm.oclc.org/login?url=https://www.airitibooks.com/Detail/Detail?PublicationID=P20200728005")</f>
        <v>https://ntsu.idm.oclc.org/login?url=https://www.airitibooks.com/Detail/Detail?PublicationID=P20200728005</v>
      </c>
    </row>
    <row r="317" spans="1:11" ht="68" x14ac:dyDescent="0.4">
      <c r="A317" s="10" t="s">
        <v>14555</v>
      </c>
      <c r="B317" s="10" t="s">
        <v>14556</v>
      </c>
      <c r="C317" s="10" t="s">
        <v>462</v>
      </c>
      <c r="D317" s="10" t="s">
        <v>14557</v>
      </c>
      <c r="E317" s="10" t="s">
        <v>5998</v>
      </c>
      <c r="F317" s="10" t="s">
        <v>1100</v>
      </c>
      <c r="G317" s="10" t="s">
        <v>87</v>
      </c>
      <c r="H317" s="7" t="s">
        <v>24</v>
      </c>
      <c r="I317" s="7" t="s">
        <v>25</v>
      </c>
      <c r="J317" s="13" t="str">
        <f>HYPERLINK("https://www.airitibooks.com/Detail/Detail?PublicationID=P20200807021", "https://www.airitibooks.com/Detail/Detail?PublicationID=P20200807021")</f>
        <v>https://www.airitibooks.com/Detail/Detail?PublicationID=P20200807021</v>
      </c>
      <c r="K317" s="13" t="str">
        <f>HYPERLINK("https://ntsu.idm.oclc.org/login?url=https://www.airitibooks.com/Detail/Detail?PublicationID=P20200807021", "https://ntsu.idm.oclc.org/login?url=https://www.airitibooks.com/Detail/Detail?PublicationID=P20200807021")</f>
        <v>https://ntsu.idm.oclc.org/login?url=https://www.airitibooks.com/Detail/Detail?PublicationID=P20200807021</v>
      </c>
    </row>
    <row r="318" spans="1:11" ht="51" x14ac:dyDescent="0.4">
      <c r="A318" s="10" t="s">
        <v>14578</v>
      </c>
      <c r="B318" s="10" t="s">
        <v>14579</v>
      </c>
      <c r="C318" s="10" t="s">
        <v>627</v>
      </c>
      <c r="D318" s="10" t="s">
        <v>1237</v>
      </c>
      <c r="E318" s="10" t="s">
        <v>5998</v>
      </c>
      <c r="F318" s="10" t="s">
        <v>7285</v>
      </c>
      <c r="G318" s="10" t="s">
        <v>87</v>
      </c>
      <c r="H318" s="7" t="s">
        <v>24</v>
      </c>
      <c r="I318" s="7" t="s">
        <v>25</v>
      </c>
      <c r="J318" s="13" t="str">
        <f>HYPERLINK("https://www.airitibooks.com/Detail/Detail?PublicationID=P20200813063", "https://www.airitibooks.com/Detail/Detail?PublicationID=P20200813063")</f>
        <v>https://www.airitibooks.com/Detail/Detail?PublicationID=P20200813063</v>
      </c>
      <c r="K318" s="13" t="str">
        <f>HYPERLINK("https://ntsu.idm.oclc.org/login?url=https://www.airitibooks.com/Detail/Detail?PublicationID=P20200813063", "https://ntsu.idm.oclc.org/login?url=https://www.airitibooks.com/Detail/Detail?PublicationID=P20200813063")</f>
        <v>https://ntsu.idm.oclc.org/login?url=https://www.airitibooks.com/Detail/Detail?PublicationID=P20200813063</v>
      </c>
    </row>
    <row r="319" spans="1:11" ht="85" x14ac:dyDescent="0.4">
      <c r="A319" s="10" t="s">
        <v>14583</v>
      </c>
      <c r="B319" s="10" t="s">
        <v>14584</v>
      </c>
      <c r="C319" s="10" t="s">
        <v>12154</v>
      </c>
      <c r="D319" s="10" t="s">
        <v>14585</v>
      </c>
      <c r="E319" s="10" t="s">
        <v>5998</v>
      </c>
      <c r="F319" s="10" t="s">
        <v>144</v>
      </c>
      <c r="G319" s="10" t="s">
        <v>87</v>
      </c>
      <c r="H319" s="7" t="s">
        <v>24</v>
      </c>
      <c r="I319" s="7" t="s">
        <v>25</v>
      </c>
      <c r="J319" s="13" t="str">
        <f>HYPERLINK("https://www.airitibooks.com/Detail/Detail?PublicationID=P20200813085", "https://www.airitibooks.com/Detail/Detail?PublicationID=P20200813085")</f>
        <v>https://www.airitibooks.com/Detail/Detail?PublicationID=P20200813085</v>
      </c>
      <c r="K319" s="13" t="str">
        <f>HYPERLINK("https://ntsu.idm.oclc.org/login?url=https://www.airitibooks.com/Detail/Detail?PublicationID=P20200813085", "https://ntsu.idm.oclc.org/login?url=https://www.airitibooks.com/Detail/Detail?PublicationID=P20200813085")</f>
        <v>https://ntsu.idm.oclc.org/login?url=https://www.airitibooks.com/Detail/Detail?PublicationID=P20200813085</v>
      </c>
    </row>
    <row r="320" spans="1:11" ht="51" x14ac:dyDescent="0.4">
      <c r="A320" s="10" t="s">
        <v>14633</v>
      </c>
      <c r="B320" s="10" t="s">
        <v>14634</v>
      </c>
      <c r="C320" s="10" t="s">
        <v>179</v>
      </c>
      <c r="D320" s="10" t="s">
        <v>14635</v>
      </c>
      <c r="E320" s="10" t="s">
        <v>5998</v>
      </c>
      <c r="F320" s="10" t="s">
        <v>14636</v>
      </c>
      <c r="G320" s="10" t="s">
        <v>87</v>
      </c>
      <c r="H320" s="7" t="s">
        <v>24</v>
      </c>
      <c r="I320" s="7" t="s">
        <v>25</v>
      </c>
      <c r="J320" s="13" t="str">
        <f>HYPERLINK("https://www.airitibooks.com/Detail/Detail?PublicationID=P20200828017", "https://www.airitibooks.com/Detail/Detail?PublicationID=P20200828017")</f>
        <v>https://www.airitibooks.com/Detail/Detail?PublicationID=P20200828017</v>
      </c>
      <c r="K320" s="13" t="str">
        <f>HYPERLINK("https://ntsu.idm.oclc.org/login?url=https://www.airitibooks.com/Detail/Detail?PublicationID=P20200828017", "https://ntsu.idm.oclc.org/login?url=https://www.airitibooks.com/Detail/Detail?PublicationID=P20200828017")</f>
        <v>https://ntsu.idm.oclc.org/login?url=https://www.airitibooks.com/Detail/Detail?PublicationID=P20200828017</v>
      </c>
    </row>
    <row r="321" spans="1:11" ht="85" x14ac:dyDescent="0.4">
      <c r="A321" s="10" t="s">
        <v>14690</v>
      </c>
      <c r="B321" s="10" t="s">
        <v>14691</v>
      </c>
      <c r="C321" s="10" t="s">
        <v>3798</v>
      </c>
      <c r="D321" s="10" t="s">
        <v>14692</v>
      </c>
      <c r="E321" s="10" t="s">
        <v>5998</v>
      </c>
      <c r="F321" s="10" t="s">
        <v>14693</v>
      </c>
      <c r="G321" s="10" t="s">
        <v>87</v>
      </c>
      <c r="H321" s="7" t="s">
        <v>24</v>
      </c>
      <c r="I321" s="7" t="s">
        <v>25</v>
      </c>
      <c r="J321" s="13" t="str">
        <f>HYPERLINK("https://www.airitibooks.com/Detail/Detail?PublicationID=P20200914005", "https://www.airitibooks.com/Detail/Detail?PublicationID=P20200914005")</f>
        <v>https://www.airitibooks.com/Detail/Detail?PublicationID=P20200914005</v>
      </c>
      <c r="K321" s="13" t="str">
        <f>HYPERLINK("https://ntsu.idm.oclc.org/login?url=https://www.airitibooks.com/Detail/Detail?PublicationID=P20200914005", "https://ntsu.idm.oclc.org/login?url=https://www.airitibooks.com/Detail/Detail?PublicationID=P20200914005")</f>
        <v>https://ntsu.idm.oclc.org/login?url=https://www.airitibooks.com/Detail/Detail?PublicationID=P20200914005</v>
      </c>
    </row>
    <row r="322" spans="1:11" ht="102" x14ac:dyDescent="0.4">
      <c r="A322" s="10" t="s">
        <v>14709</v>
      </c>
      <c r="B322" s="10" t="s">
        <v>14710</v>
      </c>
      <c r="C322" s="10" t="s">
        <v>462</v>
      </c>
      <c r="D322" s="10" t="s">
        <v>14711</v>
      </c>
      <c r="E322" s="10" t="s">
        <v>5998</v>
      </c>
      <c r="F322" s="10" t="s">
        <v>1100</v>
      </c>
      <c r="G322" s="10" t="s">
        <v>87</v>
      </c>
      <c r="H322" s="7" t="s">
        <v>24</v>
      </c>
      <c r="I322" s="7" t="s">
        <v>25</v>
      </c>
      <c r="J322" s="13" t="str">
        <f>HYPERLINK("https://www.airitibooks.com/Detail/Detail?PublicationID=P20200921001", "https://www.airitibooks.com/Detail/Detail?PublicationID=P20200921001")</f>
        <v>https://www.airitibooks.com/Detail/Detail?PublicationID=P20200921001</v>
      </c>
      <c r="K322" s="13" t="str">
        <f>HYPERLINK("https://ntsu.idm.oclc.org/login?url=https://www.airitibooks.com/Detail/Detail?PublicationID=P20200921001", "https://ntsu.idm.oclc.org/login?url=https://www.airitibooks.com/Detail/Detail?PublicationID=P20200921001")</f>
        <v>https://ntsu.idm.oclc.org/login?url=https://www.airitibooks.com/Detail/Detail?PublicationID=P20200921001</v>
      </c>
    </row>
    <row r="323" spans="1:11" ht="102" x14ac:dyDescent="0.4">
      <c r="A323" s="10" t="s">
        <v>14730</v>
      </c>
      <c r="B323" s="10" t="s">
        <v>14731</v>
      </c>
      <c r="C323" s="10" t="s">
        <v>12154</v>
      </c>
      <c r="D323" s="10" t="s">
        <v>14732</v>
      </c>
      <c r="E323" s="10" t="s">
        <v>5998</v>
      </c>
      <c r="F323" s="10" t="s">
        <v>14733</v>
      </c>
      <c r="G323" s="10" t="s">
        <v>87</v>
      </c>
      <c r="H323" s="7" t="s">
        <v>24</v>
      </c>
      <c r="I323" s="7" t="s">
        <v>25</v>
      </c>
      <c r="J323" s="13" t="str">
        <f>HYPERLINK("https://www.airitibooks.com/Detail/Detail?PublicationID=P20200921043", "https://www.airitibooks.com/Detail/Detail?PublicationID=P20200921043")</f>
        <v>https://www.airitibooks.com/Detail/Detail?PublicationID=P20200921043</v>
      </c>
      <c r="K323" s="13" t="str">
        <f>HYPERLINK("https://ntsu.idm.oclc.org/login?url=https://www.airitibooks.com/Detail/Detail?PublicationID=P20200921043", "https://ntsu.idm.oclc.org/login?url=https://www.airitibooks.com/Detail/Detail?PublicationID=P20200921043")</f>
        <v>https://ntsu.idm.oclc.org/login?url=https://www.airitibooks.com/Detail/Detail?PublicationID=P20200921043</v>
      </c>
    </row>
    <row r="324" spans="1:11" ht="85" x14ac:dyDescent="0.4">
      <c r="A324" s="10" t="s">
        <v>14734</v>
      </c>
      <c r="B324" s="10" t="s">
        <v>14735</v>
      </c>
      <c r="C324" s="10" t="s">
        <v>12241</v>
      </c>
      <c r="D324" s="10" t="s">
        <v>14736</v>
      </c>
      <c r="E324" s="10" t="s">
        <v>5998</v>
      </c>
      <c r="F324" s="10" t="s">
        <v>14733</v>
      </c>
      <c r="G324" s="10" t="s">
        <v>87</v>
      </c>
      <c r="H324" s="7" t="s">
        <v>24</v>
      </c>
      <c r="I324" s="7" t="s">
        <v>25</v>
      </c>
      <c r="J324" s="13" t="str">
        <f>HYPERLINK("https://www.airitibooks.com/Detail/Detail?PublicationID=P20200921045", "https://www.airitibooks.com/Detail/Detail?PublicationID=P20200921045")</f>
        <v>https://www.airitibooks.com/Detail/Detail?PublicationID=P20200921045</v>
      </c>
      <c r="K324" s="13" t="str">
        <f>HYPERLINK("https://ntsu.idm.oclc.org/login?url=https://www.airitibooks.com/Detail/Detail?PublicationID=P20200921045", "https://ntsu.idm.oclc.org/login?url=https://www.airitibooks.com/Detail/Detail?PublicationID=P20200921045")</f>
        <v>https://ntsu.idm.oclc.org/login?url=https://www.airitibooks.com/Detail/Detail?PublicationID=P20200921045</v>
      </c>
    </row>
    <row r="325" spans="1:11" ht="51" x14ac:dyDescent="0.4">
      <c r="A325" s="10" t="s">
        <v>14750</v>
      </c>
      <c r="B325" s="10" t="s">
        <v>14751</v>
      </c>
      <c r="C325" s="10" t="s">
        <v>3705</v>
      </c>
      <c r="D325" s="10" t="s">
        <v>14752</v>
      </c>
      <c r="E325" s="10" t="s">
        <v>5998</v>
      </c>
      <c r="F325" s="10" t="s">
        <v>11571</v>
      </c>
      <c r="G325" s="10" t="s">
        <v>87</v>
      </c>
      <c r="H325" s="7" t="s">
        <v>24</v>
      </c>
      <c r="I325" s="7" t="s">
        <v>25</v>
      </c>
      <c r="J325" s="13" t="str">
        <f>HYPERLINK("https://www.airitibooks.com/Detail/Detail?PublicationID=P20201005050", "https://www.airitibooks.com/Detail/Detail?PublicationID=P20201005050")</f>
        <v>https://www.airitibooks.com/Detail/Detail?PublicationID=P20201005050</v>
      </c>
      <c r="K325" s="13" t="str">
        <f>HYPERLINK("https://ntsu.idm.oclc.org/login?url=https://www.airitibooks.com/Detail/Detail?PublicationID=P20201005050", "https://ntsu.idm.oclc.org/login?url=https://www.airitibooks.com/Detail/Detail?PublicationID=P20201005050")</f>
        <v>https://ntsu.idm.oclc.org/login?url=https://www.airitibooks.com/Detail/Detail?PublicationID=P20201005050</v>
      </c>
    </row>
    <row r="326" spans="1:11" ht="51" x14ac:dyDescent="0.4">
      <c r="A326" s="10" t="s">
        <v>14785</v>
      </c>
      <c r="B326" s="10" t="s">
        <v>14786</v>
      </c>
      <c r="C326" s="10" t="s">
        <v>746</v>
      </c>
      <c r="D326" s="10" t="s">
        <v>14787</v>
      </c>
      <c r="E326" s="10" t="s">
        <v>5998</v>
      </c>
      <c r="F326" s="10" t="s">
        <v>475</v>
      </c>
      <c r="G326" s="10" t="s">
        <v>87</v>
      </c>
      <c r="H326" s="7" t="s">
        <v>24</v>
      </c>
      <c r="I326" s="7" t="s">
        <v>25</v>
      </c>
      <c r="J326" s="13" t="str">
        <f>HYPERLINK("https://www.airitibooks.com/Detail/Detail?PublicationID=P20201015088", "https://www.airitibooks.com/Detail/Detail?PublicationID=P20201015088")</f>
        <v>https://www.airitibooks.com/Detail/Detail?PublicationID=P20201015088</v>
      </c>
      <c r="K326" s="13" t="str">
        <f>HYPERLINK("https://ntsu.idm.oclc.org/login?url=https://www.airitibooks.com/Detail/Detail?PublicationID=P20201015088", "https://ntsu.idm.oclc.org/login?url=https://www.airitibooks.com/Detail/Detail?PublicationID=P20201015088")</f>
        <v>https://ntsu.idm.oclc.org/login?url=https://www.airitibooks.com/Detail/Detail?PublicationID=P20201015088</v>
      </c>
    </row>
    <row r="327" spans="1:11" ht="51" x14ac:dyDescent="0.4">
      <c r="A327" s="10" t="s">
        <v>14802</v>
      </c>
      <c r="B327" s="10" t="s">
        <v>14803</v>
      </c>
      <c r="C327" s="10" t="s">
        <v>499</v>
      </c>
      <c r="D327" s="10" t="s">
        <v>14804</v>
      </c>
      <c r="E327" s="10" t="s">
        <v>5998</v>
      </c>
      <c r="F327" s="10" t="s">
        <v>1440</v>
      </c>
      <c r="G327" s="10" t="s">
        <v>87</v>
      </c>
      <c r="H327" s="7" t="s">
        <v>24</v>
      </c>
      <c r="I327" s="7" t="s">
        <v>25</v>
      </c>
      <c r="J327" s="13" t="str">
        <f>HYPERLINK("https://www.airitibooks.com/Detail/Detail?PublicationID=P20201026008", "https://www.airitibooks.com/Detail/Detail?PublicationID=P20201026008")</f>
        <v>https://www.airitibooks.com/Detail/Detail?PublicationID=P20201026008</v>
      </c>
      <c r="K327" s="13" t="str">
        <f>HYPERLINK("https://ntsu.idm.oclc.org/login?url=https://www.airitibooks.com/Detail/Detail?PublicationID=P20201026008", "https://ntsu.idm.oclc.org/login?url=https://www.airitibooks.com/Detail/Detail?PublicationID=P20201026008")</f>
        <v>https://ntsu.idm.oclc.org/login?url=https://www.airitibooks.com/Detail/Detail?PublicationID=P20201026008</v>
      </c>
    </row>
    <row r="328" spans="1:11" ht="51" x14ac:dyDescent="0.4">
      <c r="A328" s="10" t="s">
        <v>14837</v>
      </c>
      <c r="B328" s="10" t="s">
        <v>14838</v>
      </c>
      <c r="C328" s="10" t="s">
        <v>130</v>
      </c>
      <c r="D328" s="10" t="s">
        <v>14839</v>
      </c>
      <c r="E328" s="10" t="s">
        <v>5998</v>
      </c>
      <c r="F328" s="10" t="s">
        <v>475</v>
      </c>
      <c r="G328" s="10" t="s">
        <v>87</v>
      </c>
      <c r="H328" s="7" t="s">
        <v>24</v>
      </c>
      <c r="I328" s="7" t="s">
        <v>25</v>
      </c>
      <c r="J328" s="13" t="str">
        <f>HYPERLINK("https://www.airitibooks.com/Detail/Detail?PublicationID=P20201105024", "https://www.airitibooks.com/Detail/Detail?PublicationID=P20201105024")</f>
        <v>https://www.airitibooks.com/Detail/Detail?PublicationID=P20201105024</v>
      </c>
      <c r="K328" s="13" t="str">
        <f>HYPERLINK("https://ntsu.idm.oclc.org/login?url=https://www.airitibooks.com/Detail/Detail?PublicationID=P20201105024", "https://ntsu.idm.oclc.org/login?url=https://www.airitibooks.com/Detail/Detail?PublicationID=P20201105024")</f>
        <v>https://ntsu.idm.oclc.org/login?url=https://www.airitibooks.com/Detail/Detail?PublicationID=P20201105024</v>
      </c>
    </row>
    <row r="329" spans="1:11" ht="68" x14ac:dyDescent="0.4">
      <c r="A329" s="10" t="s">
        <v>14895</v>
      </c>
      <c r="B329" s="10" t="s">
        <v>14896</v>
      </c>
      <c r="C329" s="10" t="s">
        <v>108</v>
      </c>
      <c r="D329" s="10" t="s">
        <v>14897</v>
      </c>
      <c r="E329" s="10" t="s">
        <v>5998</v>
      </c>
      <c r="F329" s="10" t="s">
        <v>399</v>
      </c>
      <c r="G329" s="10" t="s">
        <v>87</v>
      </c>
      <c r="H329" s="7" t="s">
        <v>24</v>
      </c>
      <c r="I329" s="7" t="s">
        <v>25</v>
      </c>
      <c r="J329" s="13" t="str">
        <f>HYPERLINK("https://www.airitibooks.com/Detail/Detail?PublicationID=P20201120006", "https://www.airitibooks.com/Detail/Detail?PublicationID=P20201120006")</f>
        <v>https://www.airitibooks.com/Detail/Detail?PublicationID=P20201120006</v>
      </c>
      <c r="K329" s="13" t="str">
        <f>HYPERLINK("https://ntsu.idm.oclc.org/login?url=https://www.airitibooks.com/Detail/Detail?PublicationID=P20201120006", "https://ntsu.idm.oclc.org/login?url=https://www.airitibooks.com/Detail/Detail?PublicationID=P20201120006")</f>
        <v>https://ntsu.idm.oclc.org/login?url=https://www.airitibooks.com/Detail/Detail?PublicationID=P20201120006</v>
      </c>
    </row>
    <row r="330" spans="1:11" ht="51" x14ac:dyDescent="0.4">
      <c r="A330" s="10" t="s">
        <v>14898</v>
      </c>
      <c r="B330" s="10" t="s">
        <v>14899</v>
      </c>
      <c r="C330" s="10" t="s">
        <v>627</v>
      </c>
      <c r="D330" s="10" t="s">
        <v>1237</v>
      </c>
      <c r="E330" s="10" t="s">
        <v>5998</v>
      </c>
      <c r="F330" s="10" t="s">
        <v>633</v>
      </c>
      <c r="G330" s="10" t="s">
        <v>87</v>
      </c>
      <c r="H330" s="7" t="s">
        <v>24</v>
      </c>
      <c r="I330" s="7" t="s">
        <v>25</v>
      </c>
      <c r="J330" s="13" t="str">
        <f>HYPERLINK("https://www.airitibooks.com/Detail/Detail?PublicationID=P20201120024", "https://www.airitibooks.com/Detail/Detail?PublicationID=P20201120024")</f>
        <v>https://www.airitibooks.com/Detail/Detail?PublicationID=P20201120024</v>
      </c>
      <c r="K330" s="13" t="str">
        <f>HYPERLINK("https://ntsu.idm.oclc.org/login?url=https://www.airitibooks.com/Detail/Detail?PublicationID=P20201120024", "https://ntsu.idm.oclc.org/login?url=https://www.airitibooks.com/Detail/Detail?PublicationID=P20201120024")</f>
        <v>https://ntsu.idm.oclc.org/login?url=https://www.airitibooks.com/Detail/Detail?PublicationID=P20201120024</v>
      </c>
    </row>
    <row r="331" spans="1:11" ht="51" x14ac:dyDescent="0.4">
      <c r="A331" s="10" t="s">
        <v>14900</v>
      </c>
      <c r="B331" s="10" t="s">
        <v>14901</v>
      </c>
      <c r="C331" s="10" t="s">
        <v>627</v>
      </c>
      <c r="D331" s="10" t="s">
        <v>631</v>
      </c>
      <c r="E331" s="10" t="s">
        <v>5998</v>
      </c>
      <c r="F331" s="10" t="s">
        <v>633</v>
      </c>
      <c r="G331" s="10" t="s">
        <v>87</v>
      </c>
      <c r="H331" s="7" t="s">
        <v>24</v>
      </c>
      <c r="I331" s="7" t="s">
        <v>25</v>
      </c>
      <c r="J331" s="13" t="str">
        <f>HYPERLINK("https://www.airitibooks.com/Detail/Detail?PublicationID=P20201120025", "https://www.airitibooks.com/Detail/Detail?PublicationID=P20201120025")</f>
        <v>https://www.airitibooks.com/Detail/Detail?PublicationID=P20201120025</v>
      </c>
      <c r="K331" s="13" t="str">
        <f>HYPERLINK("https://ntsu.idm.oclc.org/login?url=https://www.airitibooks.com/Detail/Detail?PublicationID=P20201120025", "https://ntsu.idm.oclc.org/login?url=https://www.airitibooks.com/Detail/Detail?PublicationID=P20201120025")</f>
        <v>https://ntsu.idm.oclc.org/login?url=https://www.airitibooks.com/Detail/Detail?PublicationID=P20201120025</v>
      </c>
    </row>
    <row r="332" spans="1:11" ht="51" x14ac:dyDescent="0.4">
      <c r="A332" s="10" t="s">
        <v>14909</v>
      </c>
      <c r="B332" s="10" t="s">
        <v>14910</v>
      </c>
      <c r="C332" s="10" t="s">
        <v>746</v>
      </c>
      <c r="D332" s="10" t="s">
        <v>14911</v>
      </c>
      <c r="E332" s="10" t="s">
        <v>5998</v>
      </c>
      <c r="F332" s="10" t="s">
        <v>14912</v>
      </c>
      <c r="G332" s="10" t="s">
        <v>87</v>
      </c>
      <c r="H332" s="7" t="s">
        <v>24</v>
      </c>
      <c r="I332" s="7" t="s">
        <v>25</v>
      </c>
      <c r="J332" s="13" t="str">
        <f>HYPERLINK("https://www.airitibooks.com/Detail/Detail?PublicationID=P20201120046", "https://www.airitibooks.com/Detail/Detail?PublicationID=P20201120046")</f>
        <v>https://www.airitibooks.com/Detail/Detail?PublicationID=P20201120046</v>
      </c>
      <c r="K332" s="13" t="str">
        <f>HYPERLINK("https://ntsu.idm.oclc.org/login?url=https://www.airitibooks.com/Detail/Detail?PublicationID=P20201120046", "https://ntsu.idm.oclc.org/login?url=https://www.airitibooks.com/Detail/Detail?PublicationID=P20201120046")</f>
        <v>https://ntsu.idm.oclc.org/login?url=https://www.airitibooks.com/Detail/Detail?PublicationID=P20201120046</v>
      </c>
    </row>
    <row r="333" spans="1:11" ht="102" x14ac:dyDescent="0.4">
      <c r="A333" s="10" t="s">
        <v>14982</v>
      </c>
      <c r="B333" s="10" t="s">
        <v>14983</v>
      </c>
      <c r="C333" s="10" t="s">
        <v>791</v>
      </c>
      <c r="D333" s="10" t="s">
        <v>14984</v>
      </c>
      <c r="E333" s="10" t="s">
        <v>5998</v>
      </c>
      <c r="F333" s="10" t="s">
        <v>144</v>
      </c>
      <c r="G333" s="10" t="s">
        <v>87</v>
      </c>
      <c r="H333" s="7" t="s">
        <v>24</v>
      </c>
      <c r="I333" s="7" t="s">
        <v>25</v>
      </c>
      <c r="J333" s="13" t="str">
        <f>HYPERLINK("https://www.airitibooks.com/Detail/Detail?PublicationID=P20201127128", "https://www.airitibooks.com/Detail/Detail?PublicationID=P20201127128")</f>
        <v>https://www.airitibooks.com/Detail/Detail?PublicationID=P20201127128</v>
      </c>
      <c r="K333" s="13" t="str">
        <f>HYPERLINK("https://ntsu.idm.oclc.org/login?url=https://www.airitibooks.com/Detail/Detail?PublicationID=P20201127128", "https://ntsu.idm.oclc.org/login?url=https://www.airitibooks.com/Detail/Detail?PublicationID=P20201127128")</f>
        <v>https://ntsu.idm.oclc.org/login?url=https://www.airitibooks.com/Detail/Detail?PublicationID=P20201127128</v>
      </c>
    </row>
    <row r="334" spans="1:11" ht="85" x14ac:dyDescent="0.4">
      <c r="A334" s="10" t="s">
        <v>14992</v>
      </c>
      <c r="B334" s="10" t="s">
        <v>14993</v>
      </c>
      <c r="C334" s="10" t="s">
        <v>791</v>
      </c>
      <c r="D334" s="10" t="s">
        <v>12703</v>
      </c>
      <c r="E334" s="10" t="s">
        <v>5998</v>
      </c>
      <c r="F334" s="10" t="s">
        <v>4360</v>
      </c>
      <c r="G334" s="10" t="s">
        <v>87</v>
      </c>
      <c r="H334" s="7" t="s">
        <v>24</v>
      </c>
      <c r="I334" s="7" t="s">
        <v>25</v>
      </c>
      <c r="J334" s="13" t="str">
        <f>HYPERLINK("https://www.airitibooks.com/Detail/Detail?PublicationID=P20201127134", "https://www.airitibooks.com/Detail/Detail?PublicationID=P20201127134")</f>
        <v>https://www.airitibooks.com/Detail/Detail?PublicationID=P20201127134</v>
      </c>
      <c r="K334" s="13" t="str">
        <f>HYPERLINK("https://ntsu.idm.oclc.org/login?url=https://www.airitibooks.com/Detail/Detail?PublicationID=P20201127134", "https://ntsu.idm.oclc.org/login?url=https://www.airitibooks.com/Detail/Detail?PublicationID=P20201127134")</f>
        <v>https://ntsu.idm.oclc.org/login?url=https://www.airitibooks.com/Detail/Detail?PublicationID=P20201127134</v>
      </c>
    </row>
    <row r="335" spans="1:11" ht="102" x14ac:dyDescent="0.4">
      <c r="A335" s="10" t="s">
        <v>15053</v>
      </c>
      <c r="B335" s="10" t="s">
        <v>15054</v>
      </c>
      <c r="C335" s="10" t="s">
        <v>12154</v>
      </c>
      <c r="D335" s="10" t="s">
        <v>15055</v>
      </c>
      <c r="E335" s="10" t="s">
        <v>5998</v>
      </c>
      <c r="F335" s="10" t="s">
        <v>144</v>
      </c>
      <c r="G335" s="10" t="s">
        <v>87</v>
      </c>
      <c r="H335" s="7" t="s">
        <v>24</v>
      </c>
      <c r="I335" s="7" t="s">
        <v>25</v>
      </c>
      <c r="J335" s="13" t="str">
        <f>HYPERLINK("https://www.airitibooks.com/Detail/Detail?PublicationID=P20201204131", "https://www.airitibooks.com/Detail/Detail?PublicationID=P20201204131")</f>
        <v>https://www.airitibooks.com/Detail/Detail?PublicationID=P20201204131</v>
      </c>
      <c r="K335" s="13" t="str">
        <f>HYPERLINK("https://ntsu.idm.oclc.org/login?url=https://www.airitibooks.com/Detail/Detail?PublicationID=P20201204131", "https://ntsu.idm.oclc.org/login?url=https://www.airitibooks.com/Detail/Detail?PublicationID=P20201204131")</f>
        <v>https://ntsu.idm.oclc.org/login?url=https://www.airitibooks.com/Detail/Detail?PublicationID=P20201204131</v>
      </c>
    </row>
    <row r="336" spans="1:11" ht="51" x14ac:dyDescent="0.4">
      <c r="A336" s="10" t="s">
        <v>15200</v>
      </c>
      <c r="B336" s="10" t="s">
        <v>15201</v>
      </c>
      <c r="C336" s="10" t="s">
        <v>499</v>
      </c>
      <c r="D336" s="10" t="s">
        <v>15202</v>
      </c>
      <c r="E336" s="10" t="s">
        <v>5998</v>
      </c>
      <c r="F336" s="10" t="s">
        <v>1440</v>
      </c>
      <c r="G336" s="10" t="s">
        <v>87</v>
      </c>
      <c r="H336" s="7" t="s">
        <v>24</v>
      </c>
      <c r="I336" s="7" t="s">
        <v>25</v>
      </c>
      <c r="J336" s="13" t="str">
        <f>HYPERLINK("https://www.airitibooks.com/Detail/Detail?PublicationID=P20210129028", "https://www.airitibooks.com/Detail/Detail?PublicationID=P20210129028")</f>
        <v>https://www.airitibooks.com/Detail/Detail?PublicationID=P20210129028</v>
      </c>
      <c r="K336" s="13" t="str">
        <f>HYPERLINK("https://ntsu.idm.oclc.org/login?url=https://www.airitibooks.com/Detail/Detail?PublicationID=P20210129028", "https://ntsu.idm.oclc.org/login?url=https://www.airitibooks.com/Detail/Detail?PublicationID=P20210129028")</f>
        <v>https://ntsu.idm.oclc.org/login?url=https://www.airitibooks.com/Detail/Detail?PublicationID=P20210129028</v>
      </c>
    </row>
    <row r="337" spans="1:11" ht="51" x14ac:dyDescent="0.4">
      <c r="A337" s="10" t="s">
        <v>15222</v>
      </c>
      <c r="B337" s="10" t="s">
        <v>15223</v>
      </c>
      <c r="C337" s="10" t="s">
        <v>428</v>
      </c>
      <c r="D337" s="10" t="s">
        <v>15224</v>
      </c>
      <c r="E337" s="10" t="s">
        <v>5998</v>
      </c>
      <c r="F337" s="10" t="s">
        <v>232</v>
      </c>
      <c r="G337" s="10" t="s">
        <v>87</v>
      </c>
      <c r="H337" s="7" t="s">
        <v>24</v>
      </c>
      <c r="I337" s="7" t="s">
        <v>25</v>
      </c>
      <c r="J337" s="13" t="str">
        <f>HYPERLINK("https://www.airitibooks.com/Detail/Detail?PublicationID=P20210225021", "https://www.airitibooks.com/Detail/Detail?PublicationID=P20210225021")</f>
        <v>https://www.airitibooks.com/Detail/Detail?PublicationID=P20210225021</v>
      </c>
      <c r="K337" s="13" t="str">
        <f>HYPERLINK("https://ntsu.idm.oclc.org/login?url=https://www.airitibooks.com/Detail/Detail?PublicationID=P20210225021", "https://ntsu.idm.oclc.org/login?url=https://www.airitibooks.com/Detail/Detail?PublicationID=P20210225021")</f>
        <v>https://ntsu.idm.oclc.org/login?url=https://www.airitibooks.com/Detail/Detail?PublicationID=P20210225021</v>
      </c>
    </row>
    <row r="338" spans="1:11" ht="51" x14ac:dyDescent="0.4">
      <c r="A338" s="10" t="s">
        <v>15225</v>
      </c>
      <c r="B338" s="10" t="s">
        <v>15226</v>
      </c>
      <c r="C338" s="10" t="s">
        <v>428</v>
      </c>
      <c r="D338" s="10" t="s">
        <v>15227</v>
      </c>
      <c r="E338" s="10" t="s">
        <v>5998</v>
      </c>
      <c r="F338" s="10" t="s">
        <v>7178</v>
      </c>
      <c r="G338" s="10" t="s">
        <v>87</v>
      </c>
      <c r="H338" s="7" t="s">
        <v>24</v>
      </c>
      <c r="I338" s="7" t="s">
        <v>25</v>
      </c>
      <c r="J338" s="13" t="str">
        <f>HYPERLINK("https://www.airitibooks.com/Detail/Detail?PublicationID=P20210225022", "https://www.airitibooks.com/Detail/Detail?PublicationID=P20210225022")</f>
        <v>https://www.airitibooks.com/Detail/Detail?PublicationID=P20210225022</v>
      </c>
      <c r="K338" s="13" t="str">
        <f>HYPERLINK("https://ntsu.idm.oclc.org/login?url=https://www.airitibooks.com/Detail/Detail?PublicationID=P20210225022", "https://ntsu.idm.oclc.org/login?url=https://www.airitibooks.com/Detail/Detail?PublicationID=P20210225022")</f>
        <v>https://ntsu.idm.oclc.org/login?url=https://www.airitibooks.com/Detail/Detail?PublicationID=P20210225022</v>
      </c>
    </row>
    <row r="339" spans="1:11" ht="51" x14ac:dyDescent="0.4">
      <c r="A339" s="10" t="s">
        <v>15228</v>
      </c>
      <c r="B339" s="10" t="s">
        <v>15229</v>
      </c>
      <c r="C339" s="10" t="s">
        <v>428</v>
      </c>
      <c r="D339" s="10" t="s">
        <v>15230</v>
      </c>
      <c r="E339" s="10" t="s">
        <v>5998</v>
      </c>
      <c r="F339" s="10" t="s">
        <v>138</v>
      </c>
      <c r="G339" s="10" t="s">
        <v>87</v>
      </c>
      <c r="H339" s="7" t="s">
        <v>24</v>
      </c>
      <c r="I339" s="7" t="s">
        <v>25</v>
      </c>
      <c r="J339" s="13" t="str">
        <f>HYPERLINK("https://www.airitibooks.com/Detail/Detail?PublicationID=P20210225023", "https://www.airitibooks.com/Detail/Detail?PublicationID=P20210225023")</f>
        <v>https://www.airitibooks.com/Detail/Detail?PublicationID=P20210225023</v>
      </c>
      <c r="K339" s="13" t="str">
        <f>HYPERLINK("https://ntsu.idm.oclc.org/login?url=https://www.airitibooks.com/Detail/Detail?PublicationID=P20210225023", "https://ntsu.idm.oclc.org/login?url=https://www.airitibooks.com/Detail/Detail?PublicationID=P20210225023")</f>
        <v>https://ntsu.idm.oclc.org/login?url=https://www.airitibooks.com/Detail/Detail?PublicationID=P20210225023</v>
      </c>
    </row>
    <row r="340" spans="1:11" ht="51" x14ac:dyDescent="0.4">
      <c r="A340" s="10" t="s">
        <v>15231</v>
      </c>
      <c r="B340" s="10" t="s">
        <v>15232</v>
      </c>
      <c r="C340" s="10" t="s">
        <v>428</v>
      </c>
      <c r="D340" s="10" t="s">
        <v>15233</v>
      </c>
      <c r="E340" s="10" t="s">
        <v>5998</v>
      </c>
      <c r="F340" s="10" t="s">
        <v>7178</v>
      </c>
      <c r="G340" s="10" t="s">
        <v>87</v>
      </c>
      <c r="H340" s="7" t="s">
        <v>24</v>
      </c>
      <c r="I340" s="7" t="s">
        <v>25</v>
      </c>
      <c r="J340" s="13" t="str">
        <f>HYPERLINK("https://www.airitibooks.com/Detail/Detail?PublicationID=P20210225024", "https://www.airitibooks.com/Detail/Detail?PublicationID=P20210225024")</f>
        <v>https://www.airitibooks.com/Detail/Detail?PublicationID=P20210225024</v>
      </c>
      <c r="K340" s="13" t="str">
        <f>HYPERLINK("https://ntsu.idm.oclc.org/login?url=https://www.airitibooks.com/Detail/Detail?PublicationID=P20210225024", "https://ntsu.idm.oclc.org/login?url=https://www.airitibooks.com/Detail/Detail?PublicationID=P20210225024")</f>
        <v>https://ntsu.idm.oclc.org/login?url=https://www.airitibooks.com/Detail/Detail?PublicationID=P20210225024</v>
      </c>
    </row>
    <row r="341" spans="1:11" ht="51" x14ac:dyDescent="0.4">
      <c r="A341" s="10" t="s">
        <v>15234</v>
      </c>
      <c r="B341" s="10" t="s">
        <v>15235</v>
      </c>
      <c r="C341" s="10" t="s">
        <v>428</v>
      </c>
      <c r="D341" s="10" t="s">
        <v>15236</v>
      </c>
      <c r="E341" s="10" t="s">
        <v>5998</v>
      </c>
      <c r="F341" s="10" t="s">
        <v>425</v>
      </c>
      <c r="G341" s="10" t="s">
        <v>87</v>
      </c>
      <c r="H341" s="7" t="s">
        <v>24</v>
      </c>
      <c r="I341" s="7" t="s">
        <v>25</v>
      </c>
      <c r="J341" s="13" t="str">
        <f>HYPERLINK("https://www.airitibooks.com/Detail/Detail?PublicationID=P20210225025", "https://www.airitibooks.com/Detail/Detail?PublicationID=P20210225025")</f>
        <v>https://www.airitibooks.com/Detail/Detail?PublicationID=P20210225025</v>
      </c>
      <c r="K341" s="13" t="str">
        <f>HYPERLINK("https://ntsu.idm.oclc.org/login?url=https://www.airitibooks.com/Detail/Detail?PublicationID=P20210225025", "https://ntsu.idm.oclc.org/login?url=https://www.airitibooks.com/Detail/Detail?PublicationID=P20210225025")</f>
        <v>https://ntsu.idm.oclc.org/login?url=https://www.airitibooks.com/Detail/Detail?PublicationID=P20210225025</v>
      </c>
    </row>
    <row r="342" spans="1:11" ht="51" x14ac:dyDescent="0.4">
      <c r="A342" s="10" t="s">
        <v>15237</v>
      </c>
      <c r="B342" s="10" t="s">
        <v>15238</v>
      </c>
      <c r="C342" s="10" t="s">
        <v>428</v>
      </c>
      <c r="D342" s="10" t="s">
        <v>15227</v>
      </c>
      <c r="E342" s="10" t="s">
        <v>5998</v>
      </c>
      <c r="F342" s="10" t="s">
        <v>7178</v>
      </c>
      <c r="G342" s="10" t="s">
        <v>87</v>
      </c>
      <c r="H342" s="7" t="s">
        <v>24</v>
      </c>
      <c r="I342" s="7" t="s">
        <v>25</v>
      </c>
      <c r="J342" s="13" t="str">
        <f>HYPERLINK("https://www.airitibooks.com/Detail/Detail?PublicationID=P20210225026", "https://www.airitibooks.com/Detail/Detail?PublicationID=P20210225026")</f>
        <v>https://www.airitibooks.com/Detail/Detail?PublicationID=P20210225026</v>
      </c>
      <c r="K342" s="13" t="str">
        <f>HYPERLINK("https://ntsu.idm.oclc.org/login?url=https://www.airitibooks.com/Detail/Detail?PublicationID=P20210225026", "https://ntsu.idm.oclc.org/login?url=https://www.airitibooks.com/Detail/Detail?PublicationID=P20210225026")</f>
        <v>https://ntsu.idm.oclc.org/login?url=https://www.airitibooks.com/Detail/Detail?PublicationID=P20210225026</v>
      </c>
    </row>
    <row r="343" spans="1:11" ht="51" x14ac:dyDescent="0.4">
      <c r="A343" s="10" t="s">
        <v>15239</v>
      </c>
      <c r="B343" s="10" t="s">
        <v>15240</v>
      </c>
      <c r="C343" s="10" t="s">
        <v>428</v>
      </c>
      <c r="D343" s="10" t="s">
        <v>15241</v>
      </c>
      <c r="E343" s="10" t="s">
        <v>5998</v>
      </c>
      <c r="F343" s="10" t="s">
        <v>1208</v>
      </c>
      <c r="G343" s="10" t="s">
        <v>87</v>
      </c>
      <c r="H343" s="7" t="s">
        <v>24</v>
      </c>
      <c r="I343" s="7" t="s">
        <v>25</v>
      </c>
      <c r="J343" s="13" t="str">
        <f>HYPERLINK("https://www.airitibooks.com/Detail/Detail?PublicationID=P20210225027", "https://www.airitibooks.com/Detail/Detail?PublicationID=P20210225027")</f>
        <v>https://www.airitibooks.com/Detail/Detail?PublicationID=P20210225027</v>
      </c>
      <c r="K343" s="13" t="str">
        <f>HYPERLINK("https://ntsu.idm.oclc.org/login?url=https://www.airitibooks.com/Detail/Detail?PublicationID=P20210225027", "https://ntsu.idm.oclc.org/login?url=https://www.airitibooks.com/Detail/Detail?PublicationID=P20210225027")</f>
        <v>https://ntsu.idm.oclc.org/login?url=https://www.airitibooks.com/Detail/Detail?PublicationID=P20210225027</v>
      </c>
    </row>
    <row r="344" spans="1:11" ht="51" x14ac:dyDescent="0.4">
      <c r="A344" s="10" t="s">
        <v>15242</v>
      </c>
      <c r="B344" s="10" t="s">
        <v>15243</v>
      </c>
      <c r="C344" s="10" t="s">
        <v>428</v>
      </c>
      <c r="D344" s="10" t="s">
        <v>15244</v>
      </c>
      <c r="E344" s="10" t="s">
        <v>5998</v>
      </c>
      <c r="F344" s="10" t="s">
        <v>138</v>
      </c>
      <c r="G344" s="10" t="s">
        <v>87</v>
      </c>
      <c r="H344" s="7" t="s">
        <v>24</v>
      </c>
      <c r="I344" s="7" t="s">
        <v>25</v>
      </c>
      <c r="J344" s="13" t="str">
        <f>HYPERLINK("https://www.airitibooks.com/Detail/Detail?PublicationID=P20210225028", "https://www.airitibooks.com/Detail/Detail?PublicationID=P20210225028")</f>
        <v>https://www.airitibooks.com/Detail/Detail?PublicationID=P20210225028</v>
      </c>
      <c r="K344" s="13" t="str">
        <f>HYPERLINK("https://ntsu.idm.oclc.org/login?url=https://www.airitibooks.com/Detail/Detail?PublicationID=P20210225028", "https://ntsu.idm.oclc.org/login?url=https://www.airitibooks.com/Detail/Detail?PublicationID=P20210225028")</f>
        <v>https://ntsu.idm.oclc.org/login?url=https://www.airitibooks.com/Detail/Detail?PublicationID=P20210225028</v>
      </c>
    </row>
    <row r="345" spans="1:11" ht="51" x14ac:dyDescent="0.4">
      <c r="A345" s="10" t="s">
        <v>15263</v>
      </c>
      <c r="B345" s="10" t="s">
        <v>15264</v>
      </c>
      <c r="C345" s="10" t="s">
        <v>297</v>
      </c>
      <c r="D345" s="10" t="s">
        <v>1821</v>
      </c>
      <c r="E345" s="10" t="s">
        <v>5998</v>
      </c>
      <c r="F345" s="10" t="s">
        <v>232</v>
      </c>
      <c r="G345" s="10" t="s">
        <v>87</v>
      </c>
      <c r="H345" s="7" t="s">
        <v>24</v>
      </c>
      <c r="I345" s="7" t="s">
        <v>25</v>
      </c>
      <c r="J345" s="13" t="str">
        <f>HYPERLINK("https://www.airitibooks.com/Detail/Detail?PublicationID=P20210225035", "https://www.airitibooks.com/Detail/Detail?PublicationID=P20210225035")</f>
        <v>https://www.airitibooks.com/Detail/Detail?PublicationID=P20210225035</v>
      </c>
      <c r="K345" s="13" t="str">
        <f>HYPERLINK("https://ntsu.idm.oclc.org/login?url=https://www.airitibooks.com/Detail/Detail?PublicationID=P20210225035", "https://ntsu.idm.oclc.org/login?url=https://www.airitibooks.com/Detail/Detail?PublicationID=P20210225035")</f>
        <v>https://ntsu.idm.oclc.org/login?url=https://www.airitibooks.com/Detail/Detail?PublicationID=P20210225035</v>
      </c>
    </row>
    <row r="346" spans="1:11" ht="51" x14ac:dyDescent="0.4">
      <c r="A346" s="10" t="s">
        <v>15267</v>
      </c>
      <c r="B346" s="10" t="s">
        <v>15268</v>
      </c>
      <c r="C346" s="10" t="s">
        <v>297</v>
      </c>
      <c r="D346" s="10" t="s">
        <v>15269</v>
      </c>
      <c r="E346" s="10" t="s">
        <v>5998</v>
      </c>
      <c r="F346" s="10" t="s">
        <v>7178</v>
      </c>
      <c r="G346" s="10" t="s">
        <v>87</v>
      </c>
      <c r="H346" s="7" t="s">
        <v>24</v>
      </c>
      <c r="I346" s="7" t="s">
        <v>25</v>
      </c>
      <c r="J346" s="13" t="str">
        <f>HYPERLINK("https://www.airitibooks.com/Detail/Detail?PublicationID=P20210225037", "https://www.airitibooks.com/Detail/Detail?PublicationID=P20210225037")</f>
        <v>https://www.airitibooks.com/Detail/Detail?PublicationID=P20210225037</v>
      </c>
      <c r="K346" s="13" t="str">
        <f>HYPERLINK("https://ntsu.idm.oclc.org/login?url=https://www.airitibooks.com/Detail/Detail?PublicationID=P20210225037", "https://ntsu.idm.oclc.org/login?url=https://www.airitibooks.com/Detail/Detail?PublicationID=P20210225037")</f>
        <v>https://ntsu.idm.oclc.org/login?url=https://www.airitibooks.com/Detail/Detail?PublicationID=P20210225037</v>
      </c>
    </row>
    <row r="347" spans="1:11" ht="51" x14ac:dyDescent="0.4">
      <c r="A347" s="10" t="s">
        <v>15276</v>
      </c>
      <c r="B347" s="10" t="s">
        <v>15277</v>
      </c>
      <c r="C347" s="10" t="s">
        <v>439</v>
      </c>
      <c r="D347" s="10" t="s">
        <v>15278</v>
      </c>
      <c r="E347" s="10" t="s">
        <v>5998</v>
      </c>
      <c r="F347" s="10" t="s">
        <v>7178</v>
      </c>
      <c r="G347" s="10" t="s">
        <v>87</v>
      </c>
      <c r="H347" s="7" t="s">
        <v>24</v>
      </c>
      <c r="I347" s="7" t="s">
        <v>25</v>
      </c>
      <c r="J347" s="13" t="str">
        <f>HYPERLINK("https://www.airitibooks.com/Detail/Detail?PublicationID=P20210225047", "https://www.airitibooks.com/Detail/Detail?PublicationID=P20210225047")</f>
        <v>https://www.airitibooks.com/Detail/Detail?PublicationID=P20210225047</v>
      </c>
      <c r="K347" s="13" t="str">
        <f>HYPERLINK("https://ntsu.idm.oclc.org/login?url=https://www.airitibooks.com/Detail/Detail?PublicationID=P20210225047", "https://ntsu.idm.oclc.org/login?url=https://www.airitibooks.com/Detail/Detail?PublicationID=P20210225047")</f>
        <v>https://ntsu.idm.oclc.org/login?url=https://www.airitibooks.com/Detail/Detail?PublicationID=P20210225047</v>
      </c>
    </row>
    <row r="348" spans="1:11" ht="51" x14ac:dyDescent="0.4">
      <c r="A348" s="10" t="s">
        <v>15279</v>
      </c>
      <c r="B348" s="10" t="s">
        <v>15280</v>
      </c>
      <c r="C348" s="10" t="s">
        <v>439</v>
      </c>
      <c r="D348" s="10" t="s">
        <v>15281</v>
      </c>
      <c r="E348" s="10" t="s">
        <v>5998</v>
      </c>
      <c r="F348" s="10" t="s">
        <v>7178</v>
      </c>
      <c r="G348" s="10" t="s">
        <v>87</v>
      </c>
      <c r="H348" s="7" t="s">
        <v>24</v>
      </c>
      <c r="I348" s="7" t="s">
        <v>25</v>
      </c>
      <c r="J348" s="13" t="str">
        <f>HYPERLINK("https://www.airitibooks.com/Detail/Detail?PublicationID=P20210225048", "https://www.airitibooks.com/Detail/Detail?PublicationID=P20210225048")</f>
        <v>https://www.airitibooks.com/Detail/Detail?PublicationID=P20210225048</v>
      </c>
      <c r="K348" s="13" t="str">
        <f>HYPERLINK("https://ntsu.idm.oclc.org/login?url=https://www.airitibooks.com/Detail/Detail?PublicationID=P20210225048", "https://ntsu.idm.oclc.org/login?url=https://www.airitibooks.com/Detail/Detail?PublicationID=P20210225048")</f>
        <v>https://ntsu.idm.oclc.org/login?url=https://www.airitibooks.com/Detail/Detail?PublicationID=P20210225048</v>
      </c>
    </row>
    <row r="349" spans="1:11" ht="51" x14ac:dyDescent="0.4">
      <c r="A349" s="10" t="s">
        <v>15285</v>
      </c>
      <c r="B349" s="10" t="s">
        <v>15286</v>
      </c>
      <c r="C349" s="10" t="s">
        <v>15011</v>
      </c>
      <c r="D349" s="10" t="s">
        <v>15287</v>
      </c>
      <c r="E349" s="10" t="s">
        <v>5998</v>
      </c>
      <c r="F349" s="10" t="s">
        <v>132</v>
      </c>
      <c r="G349" s="10" t="s">
        <v>87</v>
      </c>
      <c r="H349" s="7" t="s">
        <v>1031</v>
      </c>
      <c r="I349" s="7" t="s">
        <v>25</v>
      </c>
      <c r="J349" s="13" t="str">
        <f>HYPERLINK("https://www.airitibooks.com/Detail/Detail?PublicationID=P20210225219", "https://www.airitibooks.com/Detail/Detail?PublicationID=P20210225219")</f>
        <v>https://www.airitibooks.com/Detail/Detail?PublicationID=P20210225219</v>
      </c>
      <c r="K349" s="13" t="str">
        <f>HYPERLINK("https://ntsu.idm.oclc.org/login?url=https://www.airitibooks.com/Detail/Detail?PublicationID=P20210225219", "https://ntsu.idm.oclc.org/login?url=https://www.airitibooks.com/Detail/Detail?PublicationID=P20210225219")</f>
        <v>https://ntsu.idm.oclc.org/login?url=https://www.airitibooks.com/Detail/Detail?PublicationID=P20210225219</v>
      </c>
    </row>
    <row r="350" spans="1:11" ht="51" x14ac:dyDescent="0.4">
      <c r="A350" s="10" t="s">
        <v>15298</v>
      </c>
      <c r="B350" s="10" t="s">
        <v>15299</v>
      </c>
      <c r="C350" s="10" t="s">
        <v>428</v>
      </c>
      <c r="D350" s="10" t="s">
        <v>15300</v>
      </c>
      <c r="E350" s="10" t="s">
        <v>5998</v>
      </c>
      <c r="F350" s="10" t="s">
        <v>7178</v>
      </c>
      <c r="G350" s="10" t="s">
        <v>87</v>
      </c>
      <c r="H350" s="7" t="s">
        <v>24</v>
      </c>
      <c r="I350" s="7" t="s">
        <v>25</v>
      </c>
      <c r="J350" s="13" t="str">
        <f>HYPERLINK("https://www.airitibooks.com/Detail/Detail?PublicationID=P20210303001", "https://www.airitibooks.com/Detail/Detail?PublicationID=P20210303001")</f>
        <v>https://www.airitibooks.com/Detail/Detail?PublicationID=P20210303001</v>
      </c>
      <c r="K350" s="13" t="str">
        <f>HYPERLINK("https://ntsu.idm.oclc.org/login?url=https://www.airitibooks.com/Detail/Detail?PublicationID=P20210303001", "https://ntsu.idm.oclc.org/login?url=https://www.airitibooks.com/Detail/Detail?PublicationID=P20210303001")</f>
        <v>https://ntsu.idm.oclc.org/login?url=https://www.airitibooks.com/Detail/Detail?PublicationID=P20210303001</v>
      </c>
    </row>
    <row r="351" spans="1:11" ht="51" x14ac:dyDescent="0.4">
      <c r="A351" s="10" t="s">
        <v>15309</v>
      </c>
      <c r="B351" s="10" t="s">
        <v>15310</v>
      </c>
      <c r="C351" s="10" t="s">
        <v>15311</v>
      </c>
      <c r="D351" s="10" t="s">
        <v>15312</v>
      </c>
      <c r="E351" s="10" t="s">
        <v>5998</v>
      </c>
      <c r="F351" s="10" t="s">
        <v>7178</v>
      </c>
      <c r="G351" s="10" t="s">
        <v>87</v>
      </c>
      <c r="H351" s="7" t="s">
        <v>24</v>
      </c>
      <c r="I351" s="7" t="s">
        <v>25</v>
      </c>
      <c r="J351" s="13" t="str">
        <f>HYPERLINK("https://www.airitibooks.com/Detail/Detail?PublicationID=P20210308101", "https://www.airitibooks.com/Detail/Detail?PublicationID=P20210308101")</f>
        <v>https://www.airitibooks.com/Detail/Detail?PublicationID=P20210308101</v>
      </c>
      <c r="K351" s="13" t="str">
        <f>HYPERLINK("https://ntsu.idm.oclc.org/login?url=https://www.airitibooks.com/Detail/Detail?PublicationID=P20210308101", "https://ntsu.idm.oclc.org/login?url=https://www.airitibooks.com/Detail/Detail?PublicationID=P20210308101")</f>
        <v>https://ntsu.idm.oclc.org/login?url=https://www.airitibooks.com/Detail/Detail?PublicationID=P20210308101</v>
      </c>
    </row>
    <row r="352" spans="1:11" ht="51" x14ac:dyDescent="0.4">
      <c r="A352" s="10" t="s">
        <v>15313</v>
      </c>
      <c r="B352" s="10" t="s">
        <v>15314</v>
      </c>
      <c r="C352" s="10" t="s">
        <v>15311</v>
      </c>
      <c r="D352" s="10" t="s">
        <v>15315</v>
      </c>
      <c r="E352" s="10" t="s">
        <v>5998</v>
      </c>
      <c r="F352" s="10" t="s">
        <v>7178</v>
      </c>
      <c r="G352" s="10" t="s">
        <v>87</v>
      </c>
      <c r="H352" s="7" t="s">
        <v>24</v>
      </c>
      <c r="I352" s="7" t="s">
        <v>25</v>
      </c>
      <c r="J352" s="13" t="str">
        <f>HYPERLINK("https://www.airitibooks.com/Detail/Detail?PublicationID=P20210308116", "https://www.airitibooks.com/Detail/Detail?PublicationID=P20210308116")</f>
        <v>https://www.airitibooks.com/Detail/Detail?PublicationID=P20210308116</v>
      </c>
      <c r="K352" s="13" t="str">
        <f>HYPERLINK("https://ntsu.idm.oclc.org/login?url=https://www.airitibooks.com/Detail/Detail?PublicationID=P20210308116", "https://ntsu.idm.oclc.org/login?url=https://www.airitibooks.com/Detail/Detail?PublicationID=P20210308116")</f>
        <v>https://ntsu.idm.oclc.org/login?url=https://www.airitibooks.com/Detail/Detail?PublicationID=P20210308116</v>
      </c>
    </row>
    <row r="353" spans="1:11" ht="51" x14ac:dyDescent="0.4">
      <c r="A353" s="10" t="s">
        <v>15342</v>
      </c>
      <c r="B353" s="10" t="s">
        <v>15343</v>
      </c>
      <c r="C353" s="10" t="s">
        <v>9828</v>
      </c>
      <c r="D353" s="10" t="s">
        <v>15344</v>
      </c>
      <c r="E353" s="10" t="s">
        <v>5998</v>
      </c>
      <c r="F353" s="10" t="s">
        <v>4125</v>
      </c>
      <c r="G353" s="10" t="s">
        <v>87</v>
      </c>
      <c r="H353" s="7" t="s">
        <v>1031</v>
      </c>
      <c r="I353" s="7" t="s">
        <v>25</v>
      </c>
      <c r="J353" s="13" t="str">
        <f>HYPERLINK("https://www.airitibooks.com/Detail/Detail?PublicationID=P20210401320", "https://www.airitibooks.com/Detail/Detail?PublicationID=P20210401320")</f>
        <v>https://www.airitibooks.com/Detail/Detail?PublicationID=P20210401320</v>
      </c>
      <c r="K353" s="13" t="str">
        <f>HYPERLINK("https://ntsu.idm.oclc.org/login?url=https://www.airitibooks.com/Detail/Detail?PublicationID=P20210401320", "https://ntsu.idm.oclc.org/login?url=https://www.airitibooks.com/Detail/Detail?PublicationID=P20210401320")</f>
        <v>https://ntsu.idm.oclc.org/login?url=https://www.airitibooks.com/Detail/Detail?PublicationID=P20210401320</v>
      </c>
    </row>
    <row r="354" spans="1:11" ht="51" x14ac:dyDescent="0.4">
      <c r="A354" s="10" t="s">
        <v>15437</v>
      </c>
      <c r="B354" s="10" t="s">
        <v>15438</v>
      </c>
      <c r="C354" s="10" t="s">
        <v>11995</v>
      </c>
      <c r="D354" s="10" t="s">
        <v>15439</v>
      </c>
      <c r="E354" s="10" t="s">
        <v>5998</v>
      </c>
      <c r="F354" s="10" t="s">
        <v>7285</v>
      </c>
      <c r="G354" s="10" t="s">
        <v>87</v>
      </c>
      <c r="H354" s="7" t="s">
        <v>24</v>
      </c>
      <c r="I354" s="7" t="s">
        <v>25</v>
      </c>
      <c r="J354" s="13" t="str">
        <f>HYPERLINK("https://www.airitibooks.com/Detail/Detail?PublicationID=P20210428052", "https://www.airitibooks.com/Detail/Detail?PublicationID=P20210428052")</f>
        <v>https://www.airitibooks.com/Detail/Detail?PublicationID=P20210428052</v>
      </c>
      <c r="K354" s="13" t="str">
        <f>HYPERLINK("https://ntsu.idm.oclc.org/login?url=https://www.airitibooks.com/Detail/Detail?PublicationID=P20210428052", "https://ntsu.idm.oclc.org/login?url=https://www.airitibooks.com/Detail/Detail?PublicationID=P20210428052")</f>
        <v>https://ntsu.idm.oclc.org/login?url=https://www.airitibooks.com/Detail/Detail?PublicationID=P20210428052</v>
      </c>
    </row>
    <row r="355" spans="1:11" ht="51" x14ac:dyDescent="0.4">
      <c r="A355" s="10" t="s">
        <v>15442</v>
      </c>
      <c r="B355" s="10" t="s">
        <v>15443</v>
      </c>
      <c r="C355" s="10" t="s">
        <v>11995</v>
      </c>
      <c r="D355" s="10" t="s">
        <v>15444</v>
      </c>
      <c r="E355" s="10" t="s">
        <v>5998</v>
      </c>
      <c r="F355" s="10" t="s">
        <v>15445</v>
      </c>
      <c r="G355" s="10" t="s">
        <v>87</v>
      </c>
      <c r="H355" s="7" t="s">
        <v>24</v>
      </c>
      <c r="I355" s="7" t="s">
        <v>25</v>
      </c>
      <c r="J355" s="13" t="str">
        <f>HYPERLINK("https://www.airitibooks.com/Detail/Detail?PublicationID=P20210428054", "https://www.airitibooks.com/Detail/Detail?PublicationID=P20210428054")</f>
        <v>https://www.airitibooks.com/Detail/Detail?PublicationID=P20210428054</v>
      </c>
      <c r="K355" s="13" t="str">
        <f>HYPERLINK("https://ntsu.idm.oclc.org/login?url=https://www.airitibooks.com/Detail/Detail?PublicationID=P20210428054", "https://ntsu.idm.oclc.org/login?url=https://www.airitibooks.com/Detail/Detail?PublicationID=P20210428054")</f>
        <v>https://ntsu.idm.oclc.org/login?url=https://www.airitibooks.com/Detail/Detail?PublicationID=P20210428054</v>
      </c>
    </row>
    <row r="356" spans="1:11" ht="51" x14ac:dyDescent="0.4">
      <c r="A356" s="10" t="s">
        <v>15452</v>
      </c>
      <c r="B356" s="10" t="s">
        <v>15453</v>
      </c>
      <c r="C356" s="10" t="s">
        <v>11995</v>
      </c>
      <c r="D356" s="10" t="s">
        <v>15454</v>
      </c>
      <c r="E356" s="10" t="s">
        <v>5998</v>
      </c>
      <c r="F356" s="10" t="s">
        <v>2063</v>
      </c>
      <c r="G356" s="10" t="s">
        <v>87</v>
      </c>
      <c r="H356" s="7" t="s">
        <v>24</v>
      </c>
      <c r="I356" s="7" t="s">
        <v>25</v>
      </c>
      <c r="J356" s="13" t="str">
        <f>HYPERLINK("https://www.airitibooks.com/Detail/Detail?PublicationID=P20210428057", "https://www.airitibooks.com/Detail/Detail?PublicationID=P20210428057")</f>
        <v>https://www.airitibooks.com/Detail/Detail?PublicationID=P20210428057</v>
      </c>
      <c r="K356" s="13" t="str">
        <f>HYPERLINK("https://ntsu.idm.oclc.org/login?url=https://www.airitibooks.com/Detail/Detail?PublicationID=P20210428057", "https://ntsu.idm.oclc.org/login?url=https://www.airitibooks.com/Detail/Detail?PublicationID=P20210428057")</f>
        <v>https://ntsu.idm.oclc.org/login?url=https://www.airitibooks.com/Detail/Detail?PublicationID=P20210428057</v>
      </c>
    </row>
    <row r="357" spans="1:11" ht="51" x14ac:dyDescent="0.4">
      <c r="A357" s="10" t="s">
        <v>15455</v>
      </c>
      <c r="B357" s="10" t="s">
        <v>15456</v>
      </c>
      <c r="C357" s="10" t="s">
        <v>11995</v>
      </c>
      <c r="D357" s="10" t="s">
        <v>15457</v>
      </c>
      <c r="E357" s="10" t="s">
        <v>5998</v>
      </c>
      <c r="F357" s="10" t="s">
        <v>144</v>
      </c>
      <c r="G357" s="10" t="s">
        <v>87</v>
      </c>
      <c r="H357" s="7" t="s">
        <v>24</v>
      </c>
      <c r="I357" s="7" t="s">
        <v>25</v>
      </c>
      <c r="J357" s="13" t="str">
        <f>HYPERLINK("https://www.airitibooks.com/Detail/Detail?PublicationID=P20210428058", "https://www.airitibooks.com/Detail/Detail?PublicationID=P20210428058")</f>
        <v>https://www.airitibooks.com/Detail/Detail?PublicationID=P20210428058</v>
      </c>
      <c r="K357" s="13" t="str">
        <f>HYPERLINK("https://ntsu.idm.oclc.org/login?url=https://www.airitibooks.com/Detail/Detail?PublicationID=P20210428058", "https://ntsu.idm.oclc.org/login?url=https://www.airitibooks.com/Detail/Detail?PublicationID=P20210428058")</f>
        <v>https://ntsu.idm.oclc.org/login?url=https://www.airitibooks.com/Detail/Detail?PublicationID=P20210428058</v>
      </c>
    </row>
    <row r="358" spans="1:11" ht="51" x14ac:dyDescent="0.4">
      <c r="A358" s="10" t="s">
        <v>15467</v>
      </c>
      <c r="B358" s="10" t="s">
        <v>15468</v>
      </c>
      <c r="C358" s="10" t="s">
        <v>11995</v>
      </c>
      <c r="D358" s="10" t="s">
        <v>15469</v>
      </c>
      <c r="E358" s="10" t="s">
        <v>5998</v>
      </c>
      <c r="F358" s="10" t="s">
        <v>144</v>
      </c>
      <c r="G358" s="10" t="s">
        <v>87</v>
      </c>
      <c r="H358" s="7" t="s">
        <v>24</v>
      </c>
      <c r="I358" s="7" t="s">
        <v>25</v>
      </c>
      <c r="J358" s="13" t="str">
        <f>HYPERLINK("https://www.airitibooks.com/Detail/Detail?PublicationID=P20210428062", "https://www.airitibooks.com/Detail/Detail?PublicationID=P20210428062")</f>
        <v>https://www.airitibooks.com/Detail/Detail?PublicationID=P20210428062</v>
      </c>
      <c r="K358" s="13" t="str">
        <f>HYPERLINK("https://ntsu.idm.oclc.org/login?url=https://www.airitibooks.com/Detail/Detail?PublicationID=P20210428062", "https://ntsu.idm.oclc.org/login?url=https://www.airitibooks.com/Detail/Detail?PublicationID=P20210428062")</f>
        <v>https://ntsu.idm.oclc.org/login?url=https://www.airitibooks.com/Detail/Detail?PublicationID=P20210428062</v>
      </c>
    </row>
    <row r="359" spans="1:11" ht="51" x14ac:dyDescent="0.4">
      <c r="A359" s="10" t="s">
        <v>5995</v>
      </c>
      <c r="B359" s="10" t="s">
        <v>5996</v>
      </c>
      <c r="C359" s="10" t="s">
        <v>287</v>
      </c>
      <c r="D359" s="10" t="s">
        <v>5997</v>
      </c>
      <c r="E359" s="10" t="s">
        <v>5998</v>
      </c>
      <c r="F359" s="10" t="s">
        <v>565</v>
      </c>
      <c r="G359" s="10" t="s">
        <v>23</v>
      </c>
      <c r="H359" s="7" t="s">
        <v>24</v>
      </c>
      <c r="I359" s="7" t="s">
        <v>25</v>
      </c>
      <c r="J359" s="13" t="str">
        <f>HYPERLINK("https://www.airitibooks.com/Detail/Detail?PublicationID=P20170203087", "https://www.airitibooks.com/Detail/Detail?PublicationID=P20170203087")</f>
        <v>https://www.airitibooks.com/Detail/Detail?PublicationID=P20170203087</v>
      </c>
      <c r="K359" s="13" t="str">
        <f>HYPERLINK("https://ntsu.idm.oclc.org/login?url=https://www.airitibooks.com/Detail/Detail?PublicationID=P20170203087", "https://ntsu.idm.oclc.org/login?url=https://www.airitibooks.com/Detail/Detail?PublicationID=P20170203087")</f>
        <v>https://ntsu.idm.oclc.org/login?url=https://www.airitibooks.com/Detail/Detail?PublicationID=P20170203087</v>
      </c>
    </row>
    <row r="360" spans="1:11" ht="51" x14ac:dyDescent="0.4">
      <c r="A360" s="10" t="s">
        <v>13275</v>
      </c>
      <c r="B360" s="10" t="s">
        <v>13276</v>
      </c>
      <c r="C360" s="10" t="s">
        <v>287</v>
      </c>
      <c r="D360" s="10" t="s">
        <v>13277</v>
      </c>
      <c r="E360" s="10" t="s">
        <v>5998</v>
      </c>
      <c r="F360" s="10" t="s">
        <v>2560</v>
      </c>
      <c r="G360" s="10" t="s">
        <v>23</v>
      </c>
      <c r="H360" s="7" t="s">
        <v>24</v>
      </c>
      <c r="I360" s="7" t="s">
        <v>25</v>
      </c>
      <c r="J360" s="13" t="str">
        <f>HYPERLINK("https://www.airitibooks.com/Detail/Detail?PublicationID=P20200110098", "https://www.airitibooks.com/Detail/Detail?PublicationID=P20200110098")</f>
        <v>https://www.airitibooks.com/Detail/Detail?PublicationID=P20200110098</v>
      </c>
      <c r="K360" s="13" t="str">
        <f>HYPERLINK("https://ntsu.idm.oclc.org/login?url=https://www.airitibooks.com/Detail/Detail?PublicationID=P20200110098", "https://ntsu.idm.oclc.org/login?url=https://www.airitibooks.com/Detail/Detail?PublicationID=P20200110098")</f>
        <v>https://ntsu.idm.oclc.org/login?url=https://www.airitibooks.com/Detail/Detail?PublicationID=P20200110098</v>
      </c>
    </row>
    <row r="361" spans="1:11" ht="51" x14ac:dyDescent="0.4">
      <c r="A361" s="10" t="s">
        <v>13403</v>
      </c>
      <c r="B361" s="10" t="s">
        <v>13404</v>
      </c>
      <c r="C361" s="10" t="s">
        <v>499</v>
      </c>
      <c r="D361" s="10" t="s">
        <v>13405</v>
      </c>
      <c r="E361" s="10" t="s">
        <v>5998</v>
      </c>
      <c r="F361" s="10" t="s">
        <v>3719</v>
      </c>
      <c r="G361" s="10" t="s">
        <v>23</v>
      </c>
      <c r="H361" s="7" t="s">
        <v>24</v>
      </c>
      <c r="I361" s="7" t="s">
        <v>25</v>
      </c>
      <c r="J361" s="13" t="str">
        <f>HYPERLINK("https://www.airitibooks.com/Detail/Detail?PublicationID=P20200215008", "https://www.airitibooks.com/Detail/Detail?PublicationID=P20200215008")</f>
        <v>https://www.airitibooks.com/Detail/Detail?PublicationID=P20200215008</v>
      </c>
      <c r="K361" s="13" t="str">
        <f>HYPERLINK("https://ntsu.idm.oclc.org/login?url=https://www.airitibooks.com/Detail/Detail?PublicationID=P20200215008", "https://ntsu.idm.oclc.org/login?url=https://www.airitibooks.com/Detail/Detail?PublicationID=P20200215008")</f>
        <v>https://ntsu.idm.oclc.org/login?url=https://www.airitibooks.com/Detail/Detail?PublicationID=P20200215008</v>
      </c>
    </row>
    <row r="362" spans="1:11" ht="85" x14ac:dyDescent="0.4">
      <c r="A362" s="10" t="s">
        <v>13410</v>
      </c>
      <c r="B362" s="10" t="s">
        <v>13411</v>
      </c>
      <c r="C362" s="10" t="s">
        <v>3919</v>
      </c>
      <c r="D362" s="10" t="s">
        <v>3920</v>
      </c>
      <c r="E362" s="10" t="s">
        <v>5998</v>
      </c>
      <c r="F362" s="10" t="s">
        <v>3921</v>
      </c>
      <c r="G362" s="10" t="s">
        <v>23</v>
      </c>
      <c r="H362" s="7" t="s">
        <v>24</v>
      </c>
      <c r="I362" s="7" t="s">
        <v>25</v>
      </c>
      <c r="J362" s="13" t="str">
        <f>HYPERLINK("https://www.airitibooks.com/Detail/Detail?PublicationID=P20200215017", "https://www.airitibooks.com/Detail/Detail?PublicationID=P20200215017")</f>
        <v>https://www.airitibooks.com/Detail/Detail?PublicationID=P20200215017</v>
      </c>
      <c r="K362" s="13" t="str">
        <f>HYPERLINK("https://ntsu.idm.oclc.org/login?url=https://www.airitibooks.com/Detail/Detail?PublicationID=P20200215017", "https://ntsu.idm.oclc.org/login?url=https://www.airitibooks.com/Detail/Detail?PublicationID=P20200215017")</f>
        <v>https://ntsu.idm.oclc.org/login?url=https://www.airitibooks.com/Detail/Detail?PublicationID=P20200215017</v>
      </c>
    </row>
    <row r="363" spans="1:11" ht="51" x14ac:dyDescent="0.4">
      <c r="A363" s="10" t="s">
        <v>13478</v>
      </c>
      <c r="B363" s="10" t="s">
        <v>13479</v>
      </c>
      <c r="C363" s="10" t="s">
        <v>7294</v>
      </c>
      <c r="D363" s="10" t="s">
        <v>13480</v>
      </c>
      <c r="E363" s="10" t="s">
        <v>5998</v>
      </c>
      <c r="F363" s="10" t="s">
        <v>386</v>
      </c>
      <c r="G363" s="10" t="s">
        <v>23</v>
      </c>
      <c r="H363" s="7" t="s">
        <v>7839</v>
      </c>
      <c r="I363" s="7" t="s">
        <v>25</v>
      </c>
      <c r="J363" s="13" t="str">
        <f>HYPERLINK("https://www.airitibooks.com/Detail/Detail?PublicationID=P20200215044", "https://www.airitibooks.com/Detail/Detail?PublicationID=P20200215044")</f>
        <v>https://www.airitibooks.com/Detail/Detail?PublicationID=P20200215044</v>
      </c>
      <c r="K363" s="13" t="str">
        <f>HYPERLINK("https://ntsu.idm.oclc.org/login?url=https://www.airitibooks.com/Detail/Detail?PublicationID=P20200215044", "https://ntsu.idm.oclc.org/login?url=https://www.airitibooks.com/Detail/Detail?PublicationID=P20200215044")</f>
        <v>https://ntsu.idm.oclc.org/login?url=https://www.airitibooks.com/Detail/Detail?PublicationID=P20200215044</v>
      </c>
    </row>
    <row r="364" spans="1:11" ht="51" x14ac:dyDescent="0.4">
      <c r="A364" s="10" t="s">
        <v>13690</v>
      </c>
      <c r="B364" s="10" t="s">
        <v>13691</v>
      </c>
      <c r="C364" s="10" t="s">
        <v>791</v>
      </c>
      <c r="D364" s="10" t="s">
        <v>13692</v>
      </c>
      <c r="E364" s="10" t="s">
        <v>5998</v>
      </c>
      <c r="F364" s="10" t="s">
        <v>1599</v>
      </c>
      <c r="G364" s="10" t="s">
        <v>23</v>
      </c>
      <c r="H364" s="7" t="s">
        <v>2593</v>
      </c>
      <c r="I364" s="7" t="s">
        <v>25</v>
      </c>
      <c r="J364" s="13" t="str">
        <f>HYPERLINK("https://www.airitibooks.com/Detail/Detail?PublicationID=P20200321132", "https://www.airitibooks.com/Detail/Detail?PublicationID=P20200321132")</f>
        <v>https://www.airitibooks.com/Detail/Detail?PublicationID=P20200321132</v>
      </c>
      <c r="K364" s="13" t="str">
        <f>HYPERLINK("https://ntsu.idm.oclc.org/login?url=https://www.airitibooks.com/Detail/Detail?PublicationID=P20200321132", "https://ntsu.idm.oclc.org/login?url=https://www.airitibooks.com/Detail/Detail?PublicationID=P20200321132")</f>
        <v>https://ntsu.idm.oclc.org/login?url=https://www.airitibooks.com/Detail/Detail?PublicationID=P20200321132</v>
      </c>
    </row>
    <row r="365" spans="1:11" ht="102" x14ac:dyDescent="0.4">
      <c r="A365" s="10" t="s">
        <v>13693</v>
      </c>
      <c r="B365" s="10" t="s">
        <v>13694</v>
      </c>
      <c r="C365" s="10" t="s">
        <v>791</v>
      </c>
      <c r="D365" s="10" t="s">
        <v>13695</v>
      </c>
      <c r="E365" s="10" t="s">
        <v>5998</v>
      </c>
      <c r="F365" s="10" t="s">
        <v>720</v>
      </c>
      <c r="G365" s="10" t="s">
        <v>23</v>
      </c>
      <c r="H365" s="7" t="s">
        <v>7839</v>
      </c>
      <c r="I365" s="7" t="s">
        <v>25</v>
      </c>
      <c r="J365" s="13" t="str">
        <f>HYPERLINK("https://www.airitibooks.com/Detail/Detail?PublicationID=P20200321133", "https://www.airitibooks.com/Detail/Detail?PublicationID=P20200321133")</f>
        <v>https://www.airitibooks.com/Detail/Detail?PublicationID=P20200321133</v>
      </c>
      <c r="K365" s="13" t="str">
        <f>HYPERLINK("https://ntsu.idm.oclc.org/login?url=https://www.airitibooks.com/Detail/Detail?PublicationID=P20200321133", "https://ntsu.idm.oclc.org/login?url=https://www.airitibooks.com/Detail/Detail?PublicationID=P20200321133")</f>
        <v>https://ntsu.idm.oclc.org/login?url=https://www.airitibooks.com/Detail/Detail?PublicationID=P20200321133</v>
      </c>
    </row>
    <row r="366" spans="1:11" ht="51" x14ac:dyDescent="0.4">
      <c r="A366" s="10" t="s">
        <v>13696</v>
      </c>
      <c r="B366" s="10" t="s">
        <v>13697</v>
      </c>
      <c r="C366" s="10" t="s">
        <v>791</v>
      </c>
      <c r="D366" s="10" t="s">
        <v>13698</v>
      </c>
      <c r="E366" s="10" t="s">
        <v>5998</v>
      </c>
      <c r="F366" s="10" t="s">
        <v>793</v>
      </c>
      <c r="G366" s="10" t="s">
        <v>23</v>
      </c>
      <c r="H366" s="7" t="s">
        <v>24</v>
      </c>
      <c r="I366" s="7" t="s">
        <v>25</v>
      </c>
      <c r="J366" s="13" t="str">
        <f>HYPERLINK("https://www.airitibooks.com/Detail/Detail?PublicationID=P20200321134", "https://www.airitibooks.com/Detail/Detail?PublicationID=P20200321134")</f>
        <v>https://www.airitibooks.com/Detail/Detail?PublicationID=P20200321134</v>
      </c>
      <c r="K366" s="13" t="str">
        <f>HYPERLINK("https://ntsu.idm.oclc.org/login?url=https://www.airitibooks.com/Detail/Detail?PublicationID=P20200321134", "https://ntsu.idm.oclc.org/login?url=https://www.airitibooks.com/Detail/Detail?PublicationID=P20200321134")</f>
        <v>https://ntsu.idm.oclc.org/login?url=https://www.airitibooks.com/Detail/Detail?PublicationID=P20200321134</v>
      </c>
    </row>
    <row r="367" spans="1:11" ht="51" x14ac:dyDescent="0.4">
      <c r="A367" s="10" t="s">
        <v>13705</v>
      </c>
      <c r="B367" s="10" t="s">
        <v>13706</v>
      </c>
      <c r="C367" s="10" t="s">
        <v>791</v>
      </c>
      <c r="D367" s="10" t="s">
        <v>12218</v>
      </c>
      <c r="E367" s="10" t="s">
        <v>5998</v>
      </c>
      <c r="F367" s="10" t="s">
        <v>793</v>
      </c>
      <c r="G367" s="10" t="s">
        <v>23</v>
      </c>
      <c r="H367" s="7" t="s">
        <v>24</v>
      </c>
      <c r="I367" s="7" t="s">
        <v>25</v>
      </c>
      <c r="J367" s="13" t="str">
        <f>HYPERLINK("https://www.airitibooks.com/Detail/Detail?PublicationID=P20200321137", "https://www.airitibooks.com/Detail/Detail?PublicationID=P20200321137")</f>
        <v>https://www.airitibooks.com/Detail/Detail?PublicationID=P20200321137</v>
      </c>
      <c r="K367" s="13" t="str">
        <f>HYPERLINK("https://ntsu.idm.oclc.org/login?url=https://www.airitibooks.com/Detail/Detail?PublicationID=P20200321137", "https://ntsu.idm.oclc.org/login?url=https://www.airitibooks.com/Detail/Detail?PublicationID=P20200321137")</f>
        <v>https://ntsu.idm.oclc.org/login?url=https://www.airitibooks.com/Detail/Detail?PublicationID=P20200321137</v>
      </c>
    </row>
    <row r="368" spans="1:11" ht="51" x14ac:dyDescent="0.4">
      <c r="A368" s="10" t="s">
        <v>10899</v>
      </c>
      <c r="B368" s="10" t="s">
        <v>13799</v>
      </c>
      <c r="C368" s="10" t="s">
        <v>1034</v>
      </c>
      <c r="D368" s="10" t="s">
        <v>10426</v>
      </c>
      <c r="E368" s="10" t="s">
        <v>5998</v>
      </c>
      <c r="F368" s="10" t="s">
        <v>1646</v>
      </c>
      <c r="G368" s="10" t="s">
        <v>23</v>
      </c>
      <c r="H368" s="7" t="s">
        <v>7839</v>
      </c>
      <c r="I368" s="7" t="s">
        <v>25</v>
      </c>
      <c r="J368" s="13" t="str">
        <f>HYPERLINK("https://www.airitibooks.com/Detail/Detail?PublicationID=P20200402375", "https://www.airitibooks.com/Detail/Detail?PublicationID=P20200402375")</f>
        <v>https://www.airitibooks.com/Detail/Detail?PublicationID=P20200402375</v>
      </c>
      <c r="K368" s="13" t="str">
        <f>HYPERLINK("https://ntsu.idm.oclc.org/login?url=https://www.airitibooks.com/Detail/Detail?PublicationID=P20200402375", "https://ntsu.idm.oclc.org/login?url=https://www.airitibooks.com/Detail/Detail?PublicationID=P20200402375")</f>
        <v>https://ntsu.idm.oclc.org/login?url=https://www.airitibooks.com/Detail/Detail?PublicationID=P20200402375</v>
      </c>
    </row>
    <row r="369" spans="1:11" ht="51" x14ac:dyDescent="0.4">
      <c r="A369" s="10" t="s">
        <v>13803</v>
      </c>
      <c r="B369" s="10" t="s">
        <v>13804</v>
      </c>
      <c r="C369" s="10" t="s">
        <v>1034</v>
      </c>
      <c r="D369" s="10" t="s">
        <v>10365</v>
      </c>
      <c r="E369" s="10" t="s">
        <v>5998</v>
      </c>
      <c r="F369" s="10" t="s">
        <v>2484</v>
      </c>
      <c r="G369" s="10" t="s">
        <v>23</v>
      </c>
      <c r="H369" s="7" t="s">
        <v>24</v>
      </c>
      <c r="I369" s="7" t="s">
        <v>25</v>
      </c>
      <c r="J369" s="13" t="str">
        <f>HYPERLINK("https://www.airitibooks.com/Detail/Detail?PublicationID=P20200402380", "https://www.airitibooks.com/Detail/Detail?PublicationID=P20200402380")</f>
        <v>https://www.airitibooks.com/Detail/Detail?PublicationID=P20200402380</v>
      </c>
      <c r="K369" s="13" t="str">
        <f>HYPERLINK("https://ntsu.idm.oclc.org/login?url=https://www.airitibooks.com/Detail/Detail?PublicationID=P20200402380", "https://ntsu.idm.oclc.org/login?url=https://www.airitibooks.com/Detail/Detail?PublicationID=P20200402380")</f>
        <v>https://ntsu.idm.oclc.org/login?url=https://www.airitibooks.com/Detail/Detail?PublicationID=P20200402380</v>
      </c>
    </row>
    <row r="370" spans="1:11" ht="51" x14ac:dyDescent="0.4">
      <c r="A370" s="10" t="s">
        <v>13827</v>
      </c>
      <c r="B370" s="10" t="s">
        <v>13828</v>
      </c>
      <c r="C370" s="10" t="s">
        <v>240</v>
      </c>
      <c r="D370" s="10" t="s">
        <v>13829</v>
      </c>
      <c r="E370" s="10" t="s">
        <v>5998</v>
      </c>
      <c r="F370" s="10" t="s">
        <v>3719</v>
      </c>
      <c r="G370" s="10" t="s">
        <v>23</v>
      </c>
      <c r="H370" s="7" t="s">
        <v>24</v>
      </c>
      <c r="I370" s="7" t="s">
        <v>25</v>
      </c>
      <c r="J370" s="13" t="str">
        <f>HYPERLINK("https://www.airitibooks.com/Detail/Detail?PublicationID=P20200402404", "https://www.airitibooks.com/Detail/Detail?PublicationID=P20200402404")</f>
        <v>https://www.airitibooks.com/Detail/Detail?PublicationID=P20200402404</v>
      </c>
      <c r="K370" s="13" t="str">
        <f>HYPERLINK("https://ntsu.idm.oclc.org/login?url=https://www.airitibooks.com/Detail/Detail?PublicationID=P20200402404", "https://ntsu.idm.oclc.org/login?url=https://www.airitibooks.com/Detail/Detail?PublicationID=P20200402404")</f>
        <v>https://ntsu.idm.oclc.org/login?url=https://www.airitibooks.com/Detail/Detail?PublicationID=P20200402404</v>
      </c>
    </row>
    <row r="371" spans="1:11" ht="51" x14ac:dyDescent="0.4">
      <c r="A371" s="10" t="s">
        <v>13830</v>
      </c>
      <c r="B371" s="10" t="s">
        <v>13831</v>
      </c>
      <c r="C371" s="10" t="s">
        <v>240</v>
      </c>
      <c r="D371" s="10" t="s">
        <v>13832</v>
      </c>
      <c r="E371" s="10" t="s">
        <v>5998</v>
      </c>
      <c r="F371" s="10" t="s">
        <v>3719</v>
      </c>
      <c r="G371" s="10" t="s">
        <v>23</v>
      </c>
      <c r="H371" s="7" t="s">
        <v>24</v>
      </c>
      <c r="I371" s="7" t="s">
        <v>25</v>
      </c>
      <c r="J371" s="13" t="str">
        <f>HYPERLINK("https://www.airitibooks.com/Detail/Detail?PublicationID=P20200402405", "https://www.airitibooks.com/Detail/Detail?PublicationID=P20200402405")</f>
        <v>https://www.airitibooks.com/Detail/Detail?PublicationID=P20200402405</v>
      </c>
      <c r="K371" s="13" t="str">
        <f>HYPERLINK("https://ntsu.idm.oclc.org/login?url=https://www.airitibooks.com/Detail/Detail?PublicationID=P20200402405", "https://ntsu.idm.oclc.org/login?url=https://www.airitibooks.com/Detail/Detail?PublicationID=P20200402405")</f>
        <v>https://ntsu.idm.oclc.org/login?url=https://www.airitibooks.com/Detail/Detail?PublicationID=P20200402405</v>
      </c>
    </row>
    <row r="372" spans="1:11" ht="51" x14ac:dyDescent="0.4">
      <c r="A372" s="10" t="s">
        <v>5300</v>
      </c>
      <c r="B372" s="10" t="s">
        <v>13854</v>
      </c>
      <c r="C372" s="10" t="s">
        <v>938</v>
      </c>
      <c r="D372" s="10" t="s">
        <v>3907</v>
      </c>
      <c r="E372" s="10" t="s">
        <v>5998</v>
      </c>
      <c r="F372" s="10" t="s">
        <v>1646</v>
      </c>
      <c r="G372" s="10" t="s">
        <v>23</v>
      </c>
      <c r="H372" s="7" t="s">
        <v>7839</v>
      </c>
      <c r="I372" s="7" t="s">
        <v>25</v>
      </c>
      <c r="J372" s="13" t="str">
        <f>HYPERLINK("https://www.airitibooks.com/Detail/Detail?PublicationID=P20200413021", "https://www.airitibooks.com/Detail/Detail?PublicationID=P20200413021")</f>
        <v>https://www.airitibooks.com/Detail/Detail?PublicationID=P20200413021</v>
      </c>
      <c r="K372" s="13" t="str">
        <f>HYPERLINK("https://ntsu.idm.oclc.org/login?url=https://www.airitibooks.com/Detail/Detail?PublicationID=P20200413021", "https://ntsu.idm.oclc.org/login?url=https://www.airitibooks.com/Detail/Detail?PublicationID=P20200413021")</f>
        <v>https://ntsu.idm.oclc.org/login?url=https://www.airitibooks.com/Detail/Detail?PublicationID=P20200413021</v>
      </c>
    </row>
    <row r="373" spans="1:11" ht="51" x14ac:dyDescent="0.4">
      <c r="A373" s="10" t="s">
        <v>13876</v>
      </c>
      <c r="B373" s="10" t="s">
        <v>13877</v>
      </c>
      <c r="C373" s="10" t="s">
        <v>3473</v>
      </c>
      <c r="D373" s="10" t="s">
        <v>13878</v>
      </c>
      <c r="E373" s="10" t="s">
        <v>5998</v>
      </c>
      <c r="F373" s="10" t="s">
        <v>122</v>
      </c>
      <c r="G373" s="10" t="s">
        <v>23</v>
      </c>
      <c r="H373" s="7" t="s">
        <v>24</v>
      </c>
      <c r="I373" s="7" t="s">
        <v>25</v>
      </c>
      <c r="J373" s="13" t="str">
        <f>HYPERLINK("https://www.airitibooks.com/Detail/Detail?PublicationID=P20200413139", "https://www.airitibooks.com/Detail/Detail?PublicationID=P20200413139")</f>
        <v>https://www.airitibooks.com/Detail/Detail?PublicationID=P20200413139</v>
      </c>
      <c r="K373" s="13" t="str">
        <f>HYPERLINK("https://ntsu.idm.oclc.org/login?url=https://www.airitibooks.com/Detail/Detail?PublicationID=P20200413139", "https://ntsu.idm.oclc.org/login?url=https://www.airitibooks.com/Detail/Detail?PublicationID=P20200413139")</f>
        <v>https://ntsu.idm.oclc.org/login?url=https://www.airitibooks.com/Detail/Detail?PublicationID=P20200413139</v>
      </c>
    </row>
    <row r="374" spans="1:11" ht="51" x14ac:dyDescent="0.4">
      <c r="A374" s="10" t="s">
        <v>13879</v>
      </c>
      <c r="B374" s="10" t="s">
        <v>13880</v>
      </c>
      <c r="C374" s="10" t="s">
        <v>3473</v>
      </c>
      <c r="D374" s="10" t="s">
        <v>7954</v>
      </c>
      <c r="E374" s="10" t="s">
        <v>5998</v>
      </c>
      <c r="F374" s="10" t="s">
        <v>13881</v>
      </c>
      <c r="G374" s="10" t="s">
        <v>23</v>
      </c>
      <c r="H374" s="7" t="s">
        <v>24</v>
      </c>
      <c r="I374" s="7" t="s">
        <v>25</v>
      </c>
      <c r="J374" s="13" t="str">
        <f>HYPERLINK("https://www.airitibooks.com/Detail/Detail?PublicationID=P20200413140", "https://www.airitibooks.com/Detail/Detail?PublicationID=P20200413140")</f>
        <v>https://www.airitibooks.com/Detail/Detail?PublicationID=P20200413140</v>
      </c>
      <c r="K374" s="13" t="str">
        <f>HYPERLINK("https://ntsu.idm.oclc.org/login?url=https://www.airitibooks.com/Detail/Detail?PublicationID=P20200413140", "https://ntsu.idm.oclc.org/login?url=https://www.airitibooks.com/Detail/Detail?PublicationID=P20200413140")</f>
        <v>https://ntsu.idm.oclc.org/login?url=https://www.airitibooks.com/Detail/Detail?PublicationID=P20200413140</v>
      </c>
    </row>
    <row r="375" spans="1:11" ht="51" x14ac:dyDescent="0.4">
      <c r="A375" s="10" t="s">
        <v>13882</v>
      </c>
      <c r="B375" s="10" t="s">
        <v>13883</v>
      </c>
      <c r="C375" s="10" t="s">
        <v>7294</v>
      </c>
      <c r="D375" s="10" t="s">
        <v>13884</v>
      </c>
      <c r="E375" s="10" t="s">
        <v>5998</v>
      </c>
      <c r="F375" s="10" t="s">
        <v>696</v>
      </c>
      <c r="G375" s="10" t="s">
        <v>23</v>
      </c>
      <c r="H375" s="7" t="s">
        <v>2593</v>
      </c>
      <c r="I375" s="7" t="s">
        <v>25</v>
      </c>
      <c r="J375" s="13" t="str">
        <f>HYPERLINK("https://www.airitibooks.com/Detail/Detail?PublicationID=P20200413341", "https://www.airitibooks.com/Detail/Detail?PublicationID=P20200413341")</f>
        <v>https://www.airitibooks.com/Detail/Detail?PublicationID=P20200413341</v>
      </c>
      <c r="K375" s="13" t="str">
        <f>HYPERLINK("https://ntsu.idm.oclc.org/login?url=https://www.airitibooks.com/Detail/Detail?PublicationID=P20200413341", "https://ntsu.idm.oclc.org/login?url=https://www.airitibooks.com/Detail/Detail?PublicationID=P20200413341")</f>
        <v>https://ntsu.idm.oclc.org/login?url=https://www.airitibooks.com/Detail/Detail?PublicationID=P20200413341</v>
      </c>
    </row>
    <row r="376" spans="1:11" ht="51" x14ac:dyDescent="0.4">
      <c r="A376" s="10" t="s">
        <v>13905</v>
      </c>
      <c r="B376" s="10" t="s">
        <v>13906</v>
      </c>
      <c r="C376" s="10" t="s">
        <v>791</v>
      </c>
      <c r="D376" s="10" t="s">
        <v>12218</v>
      </c>
      <c r="E376" s="10" t="s">
        <v>5998</v>
      </c>
      <c r="F376" s="10" t="s">
        <v>793</v>
      </c>
      <c r="G376" s="10" t="s">
        <v>23</v>
      </c>
      <c r="H376" s="7" t="s">
        <v>24</v>
      </c>
      <c r="I376" s="7" t="s">
        <v>25</v>
      </c>
      <c r="J376" s="13" t="str">
        <f>HYPERLINK("https://www.airitibooks.com/Detail/Detail?PublicationID=P20200424022", "https://www.airitibooks.com/Detail/Detail?PublicationID=P20200424022")</f>
        <v>https://www.airitibooks.com/Detail/Detail?PublicationID=P20200424022</v>
      </c>
      <c r="K376" s="13" t="str">
        <f>HYPERLINK("https://ntsu.idm.oclc.org/login?url=https://www.airitibooks.com/Detail/Detail?PublicationID=P20200424022", "https://ntsu.idm.oclc.org/login?url=https://www.airitibooks.com/Detail/Detail?PublicationID=P20200424022")</f>
        <v>https://ntsu.idm.oclc.org/login?url=https://www.airitibooks.com/Detail/Detail?PublicationID=P20200424022</v>
      </c>
    </row>
    <row r="377" spans="1:11" ht="51" x14ac:dyDescent="0.4">
      <c r="A377" s="10" t="s">
        <v>14017</v>
      </c>
      <c r="B377" s="10" t="s">
        <v>14018</v>
      </c>
      <c r="C377" s="10" t="s">
        <v>297</v>
      </c>
      <c r="D377" s="10" t="s">
        <v>4519</v>
      </c>
      <c r="E377" s="10" t="s">
        <v>5998</v>
      </c>
      <c r="F377" s="10" t="s">
        <v>3719</v>
      </c>
      <c r="G377" s="10" t="s">
        <v>23</v>
      </c>
      <c r="H377" s="7" t="s">
        <v>24</v>
      </c>
      <c r="I377" s="7" t="s">
        <v>25</v>
      </c>
      <c r="J377" s="13" t="str">
        <f>HYPERLINK("https://www.airitibooks.com/Detail/Detail?PublicationID=P20200430081", "https://www.airitibooks.com/Detail/Detail?PublicationID=P20200430081")</f>
        <v>https://www.airitibooks.com/Detail/Detail?PublicationID=P20200430081</v>
      </c>
      <c r="K377" s="13" t="str">
        <f>HYPERLINK("https://ntsu.idm.oclc.org/login?url=https://www.airitibooks.com/Detail/Detail?PublicationID=P20200430081", "https://ntsu.idm.oclc.org/login?url=https://www.airitibooks.com/Detail/Detail?PublicationID=P20200430081")</f>
        <v>https://ntsu.idm.oclc.org/login?url=https://www.airitibooks.com/Detail/Detail?PublicationID=P20200430081</v>
      </c>
    </row>
    <row r="378" spans="1:11" ht="51" x14ac:dyDescent="0.4">
      <c r="A378" s="10" t="s">
        <v>14019</v>
      </c>
      <c r="B378" s="10" t="s">
        <v>14020</v>
      </c>
      <c r="C378" s="10" t="s">
        <v>297</v>
      </c>
      <c r="D378" s="10" t="s">
        <v>1406</v>
      </c>
      <c r="E378" s="10" t="s">
        <v>5998</v>
      </c>
      <c r="F378" s="10" t="s">
        <v>3719</v>
      </c>
      <c r="G378" s="10" t="s">
        <v>23</v>
      </c>
      <c r="H378" s="7" t="s">
        <v>24</v>
      </c>
      <c r="I378" s="7" t="s">
        <v>25</v>
      </c>
      <c r="J378" s="13" t="str">
        <f>HYPERLINK("https://www.airitibooks.com/Detail/Detail?PublicationID=P20200430083", "https://www.airitibooks.com/Detail/Detail?PublicationID=P20200430083")</f>
        <v>https://www.airitibooks.com/Detail/Detail?PublicationID=P20200430083</v>
      </c>
      <c r="K378" s="13" t="str">
        <f>HYPERLINK("https://ntsu.idm.oclc.org/login?url=https://www.airitibooks.com/Detail/Detail?PublicationID=P20200430083", "https://ntsu.idm.oclc.org/login?url=https://www.airitibooks.com/Detail/Detail?PublicationID=P20200430083")</f>
        <v>https://ntsu.idm.oclc.org/login?url=https://www.airitibooks.com/Detail/Detail?PublicationID=P20200430083</v>
      </c>
    </row>
    <row r="379" spans="1:11" ht="68" x14ac:dyDescent="0.4">
      <c r="A379" s="10" t="s">
        <v>14265</v>
      </c>
      <c r="B379" s="10" t="s">
        <v>14266</v>
      </c>
      <c r="C379" s="10" t="s">
        <v>791</v>
      </c>
      <c r="D379" s="10" t="s">
        <v>14267</v>
      </c>
      <c r="E379" s="10" t="s">
        <v>5998</v>
      </c>
      <c r="F379" s="10" t="s">
        <v>214</v>
      </c>
      <c r="G379" s="10" t="s">
        <v>23</v>
      </c>
      <c r="H379" s="7" t="s">
        <v>7839</v>
      </c>
      <c r="I379" s="7" t="s">
        <v>25</v>
      </c>
      <c r="J379" s="13" t="str">
        <f>HYPERLINK("https://www.airitibooks.com/Detail/Detail?PublicationID=P20200605004", "https://www.airitibooks.com/Detail/Detail?PublicationID=P20200605004")</f>
        <v>https://www.airitibooks.com/Detail/Detail?PublicationID=P20200605004</v>
      </c>
      <c r="K379" s="13" t="str">
        <f>HYPERLINK("https://ntsu.idm.oclc.org/login?url=https://www.airitibooks.com/Detail/Detail?PublicationID=P20200605004", "https://ntsu.idm.oclc.org/login?url=https://www.airitibooks.com/Detail/Detail?PublicationID=P20200605004")</f>
        <v>https://ntsu.idm.oclc.org/login?url=https://www.airitibooks.com/Detail/Detail?PublicationID=P20200605004</v>
      </c>
    </row>
    <row r="380" spans="1:11" ht="51" x14ac:dyDescent="0.4">
      <c r="A380" s="10" t="s">
        <v>14274</v>
      </c>
      <c r="B380" s="10" t="s">
        <v>14275</v>
      </c>
      <c r="C380" s="10" t="s">
        <v>791</v>
      </c>
      <c r="D380" s="10" t="s">
        <v>14276</v>
      </c>
      <c r="E380" s="10" t="s">
        <v>5998</v>
      </c>
      <c r="F380" s="10" t="s">
        <v>696</v>
      </c>
      <c r="G380" s="10" t="s">
        <v>23</v>
      </c>
      <c r="H380" s="7" t="s">
        <v>2593</v>
      </c>
      <c r="I380" s="7" t="s">
        <v>25</v>
      </c>
      <c r="J380" s="13" t="str">
        <f>HYPERLINK("https://www.airitibooks.com/Detail/Detail?PublicationID=P20200605007", "https://www.airitibooks.com/Detail/Detail?PublicationID=P20200605007")</f>
        <v>https://www.airitibooks.com/Detail/Detail?PublicationID=P20200605007</v>
      </c>
      <c r="K380" s="13" t="str">
        <f>HYPERLINK("https://ntsu.idm.oclc.org/login?url=https://www.airitibooks.com/Detail/Detail?PublicationID=P20200605007", "https://ntsu.idm.oclc.org/login?url=https://www.airitibooks.com/Detail/Detail?PublicationID=P20200605007")</f>
        <v>https://ntsu.idm.oclc.org/login?url=https://www.airitibooks.com/Detail/Detail?PublicationID=P20200605007</v>
      </c>
    </row>
    <row r="381" spans="1:11" ht="68" x14ac:dyDescent="0.4">
      <c r="A381" s="10" t="s">
        <v>14277</v>
      </c>
      <c r="B381" s="10" t="s">
        <v>14278</v>
      </c>
      <c r="C381" s="10" t="s">
        <v>791</v>
      </c>
      <c r="D381" s="10" t="s">
        <v>14279</v>
      </c>
      <c r="E381" s="10" t="s">
        <v>5998</v>
      </c>
      <c r="F381" s="10" t="s">
        <v>394</v>
      </c>
      <c r="G381" s="10" t="s">
        <v>23</v>
      </c>
      <c r="H381" s="7" t="s">
        <v>7839</v>
      </c>
      <c r="I381" s="7" t="s">
        <v>25</v>
      </c>
      <c r="J381" s="13" t="str">
        <f>HYPERLINK("https://www.airitibooks.com/Detail/Detail?PublicationID=P20200605009", "https://www.airitibooks.com/Detail/Detail?PublicationID=P20200605009")</f>
        <v>https://www.airitibooks.com/Detail/Detail?PublicationID=P20200605009</v>
      </c>
      <c r="K381" s="13" t="str">
        <f>HYPERLINK("https://ntsu.idm.oclc.org/login?url=https://www.airitibooks.com/Detail/Detail?PublicationID=P20200605009", "https://ntsu.idm.oclc.org/login?url=https://www.airitibooks.com/Detail/Detail?PublicationID=P20200605009")</f>
        <v>https://ntsu.idm.oclc.org/login?url=https://www.airitibooks.com/Detail/Detail?PublicationID=P20200605009</v>
      </c>
    </row>
    <row r="382" spans="1:11" ht="51" x14ac:dyDescent="0.4">
      <c r="A382" s="10" t="s">
        <v>14420</v>
      </c>
      <c r="B382" s="10" t="s">
        <v>14421</v>
      </c>
      <c r="C382" s="10" t="s">
        <v>7294</v>
      </c>
      <c r="D382" s="10" t="s">
        <v>14422</v>
      </c>
      <c r="E382" s="10" t="s">
        <v>5998</v>
      </c>
      <c r="F382" s="10" t="s">
        <v>3510</v>
      </c>
      <c r="G382" s="10" t="s">
        <v>23</v>
      </c>
      <c r="H382" s="7" t="s">
        <v>2593</v>
      </c>
      <c r="I382" s="7" t="s">
        <v>25</v>
      </c>
      <c r="J382" s="13" t="str">
        <f>HYPERLINK("https://www.airitibooks.com/Detail/Detail?PublicationID=P20200703079", "https://www.airitibooks.com/Detail/Detail?PublicationID=P20200703079")</f>
        <v>https://www.airitibooks.com/Detail/Detail?PublicationID=P20200703079</v>
      </c>
      <c r="K382" s="13" t="str">
        <f>HYPERLINK("https://ntsu.idm.oclc.org/login?url=https://www.airitibooks.com/Detail/Detail?PublicationID=P20200703079", "https://ntsu.idm.oclc.org/login?url=https://www.airitibooks.com/Detail/Detail?PublicationID=P20200703079")</f>
        <v>https://ntsu.idm.oclc.org/login?url=https://www.airitibooks.com/Detail/Detail?PublicationID=P20200703079</v>
      </c>
    </row>
    <row r="383" spans="1:11" ht="51" x14ac:dyDescent="0.4">
      <c r="A383" s="10" t="s">
        <v>14423</v>
      </c>
      <c r="B383" s="10" t="s">
        <v>14424</v>
      </c>
      <c r="C383" s="10" t="s">
        <v>7294</v>
      </c>
      <c r="D383" s="10" t="s">
        <v>14422</v>
      </c>
      <c r="E383" s="10" t="s">
        <v>5998</v>
      </c>
      <c r="F383" s="10" t="s">
        <v>696</v>
      </c>
      <c r="G383" s="10" t="s">
        <v>23</v>
      </c>
      <c r="H383" s="7" t="s">
        <v>2593</v>
      </c>
      <c r="I383" s="7" t="s">
        <v>25</v>
      </c>
      <c r="J383" s="13" t="str">
        <f>HYPERLINK("https://www.airitibooks.com/Detail/Detail?PublicationID=P20200703080", "https://www.airitibooks.com/Detail/Detail?PublicationID=P20200703080")</f>
        <v>https://www.airitibooks.com/Detail/Detail?PublicationID=P20200703080</v>
      </c>
      <c r="K383" s="13" t="str">
        <f>HYPERLINK("https://ntsu.idm.oclc.org/login?url=https://www.airitibooks.com/Detail/Detail?PublicationID=P20200703080", "https://ntsu.idm.oclc.org/login?url=https://www.airitibooks.com/Detail/Detail?PublicationID=P20200703080")</f>
        <v>https://ntsu.idm.oclc.org/login?url=https://www.airitibooks.com/Detail/Detail?PublicationID=P20200703080</v>
      </c>
    </row>
    <row r="384" spans="1:11" ht="51" x14ac:dyDescent="0.4">
      <c r="A384" s="10" t="s">
        <v>14425</v>
      </c>
      <c r="B384" s="10" t="s">
        <v>14426</v>
      </c>
      <c r="C384" s="10" t="s">
        <v>14427</v>
      </c>
      <c r="D384" s="10" t="s">
        <v>11011</v>
      </c>
      <c r="E384" s="10" t="s">
        <v>5998</v>
      </c>
      <c r="F384" s="10" t="s">
        <v>12347</v>
      </c>
      <c r="G384" s="10" t="s">
        <v>23</v>
      </c>
      <c r="H384" s="7" t="s">
        <v>24</v>
      </c>
      <c r="I384" s="7" t="s">
        <v>25</v>
      </c>
      <c r="J384" s="13" t="str">
        <f>HYPERLINK("https://www.airitibooks.com/Detail/Detail?PublicationID=P20200703085", "https://www.airitibooks.com/Detail/Detail?PublicationID=P20200703085")</f>
        <v>https://www.airitibooks.com/Detail/Detail?PublicationID=P20200703085</v>
      </c>
      <c r="K384" s="13" t="str">
        <f>HYPERLINK("https://ntsu.idm.oclc.org/login?url=https://www.airitibooks.com/Detail/Detail?PublicationID=P20200703085", "https://ntsu.idm.oclc.org/login?url=https://www.airitibooks.com/Detail/Detail?PublicationID=P20200703085")</f>
        <v>https://ntsu.idm.oclc.org/login?url=https://www.airitibooks.com/Detail/Detail?PublicationID=P20200703085</v>
      </c>
    </row>
    <row r="385" spans="1:11" ht="68" x14ac:dyDescent="0.4">
      <c r="A385" s="10" t="s">
        <v>14438</v>
      </c>
      <c r="B385" s="10" t="s">
        <v>14439</v>
      </c>
      <c r="C385" s="10" t="s">
        <v>12241</v>
      </c>
      <c r="D385" s="10" t="s">
        <v>14440</v>
      </c>
      <c r="E385" s="10" t="s">
        <v>5998</v>
      </c>
      <c r="F385" s="10" t="s">
        <v>565</v>
      </c>
      <c r="G385" s="10" t="s">
        <v>23</v>
      </c>
      <c r="H385" s="7" t="s">
        <v>24</v>
      </c>
      <c r="I385" s="7" t="s">
        <v>25</v>
      </c>
      <c r="J385" s="13" t="str">
        <f>HYPERLINK("https://www.airitibooks.com/Detail/Detail?PublicationID=P20200703145", "https://www.airitibooks.com/Detail/Detail?PublicationID=P20200703145")</f>
        <v>https://www.airitibooks.com/Detail/Detail?PublicationID=P20200703145</v>
      </c>
      <c r="K385" s="13" t="str">
        <f>HYPERLINK("https://ntsu.idm.oclc.org/login?url=https://www.airitibooks.com/Detail/Detail?PublicationID=P20200703145", "https://ntsu.idm.oclc.org/login?url=https://www.airitibooks.com/Detail/Detail?PublicationID=P20200703145")</f>
        <v>https://ntsu.idm.oclc.org/login?url=https://www.airitibooks.com/Detail/Detail?PublicationID=P20200703145</v>
      </c>
    </row>
    <row r="386" spans="1:11" ht="51" x14ac:dyDescent="0.4">
      <c r="A386" s="10" t="s">
        <v>14493</v>
      </c>
      <c r="B386" s="10" t="s">
        <v>14494</v>
      </c>
      <c r="C386" s="10" t="s">
        <v>3473</v>
      </c>
      <c r="D386" s="10" t="s">
        <v>3474</v>
      </c>
      <c r="E386" s="10" t="s">
        <v>5998</v>
      </c>
      <c r="F386" s="10" t="s">
        <v>1122</v>
      </c>
      <c r="G386" s="10" t="s">
        <v>23</v>
      </c>
      <c r="H386" s="7" t="s">
        <v>2593</v>
      </c>
      <c r="I386" s="7" t="s">
        <v>25</v>
      </c>
      <c r="J386" s="13" t="str">
        <f>HYPERLINK("https://www.airitibooks.com/Detail/Detail?PublicationID=P20200717191", "https://www.airitibooks.com/Detail/Detail?PublicationID=P20200717191")</f>
        <v>https://www.airitibooks.com/Detail/Detail?PublicationID=P20200717191</v>
      </c>
      <c r="K386" s="13" t="str">
        <f>HYPERLINK("https://ntsu.idm.oclc.org/login?url=https://www.airitibooks.com/Detail/Detail?PublicationID=P20200717191", "https://ntsu.idm.oclc.org/login?url=https://www.airitibooks.com/Detail/Detail?PublicationID=P20200717191")</f>
        <v>https://ntsu.idm.oclc.org/login?url=https://www.airitibooks.com/Detail/Detail?PublicationID=P20200717191</v>
      </c>
    </row>
    <row r="387" spans="1:11" ht="51" x14ac:dyDescent="0.4">
      <c r="A387" s="10" t="s">
        <v>14495</v>
      </c>
      <c r="B387" s="10" t="s">
        <v>14496</v>
      </c>
      <c r="C387" s="10" t="s">
        <v>3473</v>
      </c>
      <c r="D387" s="10" t="s">
        <v>3516</v>
      </c>
      <c r="E387" s="10" t="s">
        <v>5998</v>
      </c>
      <c r="F387" s="10" t="s">
        <v>720</v>
      </c>
      <c r="G387" s="10" t="s">
        <v>23</v>
      </c>
      <c r="H387" s="7" t="s">
        <v>7839</v>
      </c>
      <c r="I387" s="7" t="s">
        <v>25</v>
      </c>
      <c r="J387" s="13" t="str">
        <f>HYPERLINK("https://www.airitibooks.com/Detail/Detail?PublicationID=P20200717192", "https://www.airitibooks.com/Detail/Detail?PublicationID=P20200717192")</f>
        <v>https://www.airitibooks.com/Detail/Detail?PublicationID=P20200717192</v>
      </c>
      <c r="K387" s="13" t="str">
        <f>HYPERLINK("https://ntsu.idm.oclc.org/login?url=https://www.airitibooks.com/Detail/Detail?PublicationID=P20200717192", "https://ntsu.idm.oclc.org/login?url=https://www.airitibooks.com/Detail/Detail?PublicationID=P20200717192")</f>
        <v>https://ntsu.idm.oclc.org/login?url=https://www.airitibooks.com/Detail/Detail?PublicationID=P20200717192</v>
      </c>
    </row>
    <row r="388" spans="1:11" ht="51" x14ac:dyDescent="0.4">
      <c r="A388" s="10" t="s">
        <v>14539</v>
      </c>
      <c r="B388" s="10" t="s">
        <v>14540</v>
      </c>
      <c r="C388" s="10" t="s">
        <v>1966</v>
      </c>
      <c r="D388" s="10" t="s">
        <v>14541</v>
      </c>
      <c r="E388" s="10" t="s">
        <v>5998</v>
      </c>
      <c r="F388" s="10" t="s">
        <v>3719</v>
      </c>
      <c r="G388" s="10" t="s">
        <v>23</v>
      </c>
      <c r="H388" s="7" t="s">
        <v>24</v>
      </c>
      <c r="I388" s="7" t="s">
        <v>25</v>
      </c>
      <c r="J388" s="13" t="str">
        <f>HYPERLINK("https://www.airitibooks.com/Detail/Detail?PublicationID=P20200730082", "https://www.airitibooks.com/Detail/Detail?PublicationID=P20200730082")</f>
        <v>https://www.airitibooks.com/Detail/Detail?PublicationID=P20200730082</v>
      </c>
      <c r="K388" s="13" t="str">
        <f>HYPERLINK("https://ntsu.idm.oclc.org/login?url=https://www.airitibooks.com/Detail/Detail?PublicationID=P20200730082", "https://ntsu.idm.oclc.org/login?url=https://www.airitibooks.com/Detail/Detail?PublicationID=P20200730082")</f>
        <v>https://ntsu.idm.oclc.org/login?url=https://www.airitibooks.com/Detail/Detail?PublicationID=P20200730082</v>
      </c>
    </row>
    <row r="389" spans="1:11" ht="51" x14ac:dyDescent="0.4">
      <c r="A389" s="10" t="s">
        <v>14552</v>
      </c>
      <c r="B389" s="10" t="s">
        <v>14553</v>
      </c>
      <c r="C389" s="10" t="s">
        <v>457</v>
      </c>
      <c r="D389" s="10" t="s">
        <v>14554</v>
      </c>
      <c r="E389" s="10" t="s">
        <v>5998</v>
      </c>
      <c r="F389" s="10" t="s">
        <v>1454</v>
      </c>
      <c r="G389" s="10" t="s">
        <v>23</v>
      </c>
      <c r="H389" s="7" t="s">
        <v>7839</v>
      </c>
      <c r="I389" s="7" t="s">
        <v>25</v>
      </c>
      <c r="J389" s="13" t="str">
        <f>HYPERLINK("https://www.airitibooks.com/Detail/Detail?PublicationID=P20200807006", "https://www.airitibooks.com/Detail/Detail?PublicationID=P20200807006")</f>
        <v>https://www.airitibooks.com/Detail/Detail?PublicationID=P20200807006</v>
      </c>
      <c r="K389" s="13" t="str">
        <f>HYPERLINK("https://ntsu.idm.oclc.org/login?url=https://www.airitibooks.com/Detail/Detail?PublicationID=P20200807006", "https://ntsu.idm.oclc.org/login?url=https://www.airitibooks.com/Detail/Detail?PublicationID=P20200807006")</f>
        <v>https://ntsu.idm.oclc.org/login?url=https://www.airitibooks.com/Detail/Detail?PublicationID=P20200807006</v>
      </c>
    </row>
    <row r="390" spans="1:11" ht="51" x14ac:dyDescent="0.4">
      <c r="A390" s="10" t="s">
        <v>14566</v>
      </c>
      <c r="B390" s="10" t="s">
        <v>14567</v>
      </c>
      <c r="C390" s="10" t="s">
        <v>462</v>
      </c>
      <c r="D390" s="10" t="s">
        <v>14568</v>
      </c>
      <c r="E390" s="10" t="s">
        <v>5998</v>
      </c>
      <c r="F390" s="10" t="s">
        <v>3587</v>
      </c>
      <c r="G390" s="10" t="s">
        <v>23</v>
      </c>
      <c r="H390" s="7" t="s">
        <v>24</v>
      </c>
      <c r="I390" s="7" t="s">
        <v>25</v>
      </c>
      <c r="J390" s="13" t="str">
        <f>HYPERLINK("https://www.airitibooks.com/Detail/Detail?PublicationID=P20200807048", "https://www.airitibooks.com/Detail/Detail?PublicationID=P20200807048")</f>
        <v>https://www.airitibooks.com/Detail/Detail?PublicationID=P20200807048</v>
      </c>
      <c r="K390" s="13" t="str">
        <f>HYPERLINK("https://ntsu.idm.oclc.org/login?url=https://www.airitibooks.com/Detail/Detail?PublicationID=P20200807048", "https://ntsu.idm.oclc.org/login?url=https://www.airitibooks.com/Detail/Detail?PublicationID=P20200807048")</f>
        <v>https://ntsu.idm.oclc.org/login?url=https://www.airitibooks.com/Detail/Detail?PublicationID=P20200807048</v>
      </c>
    </row>
    <row r="391" spans="1:11" ht="51" x14ac:dyDescent="0.4">
      <c r="A391" s="10" t="s">
        <v>14663</v>
      </c>
      <c r="B391" s="10" t="s">
        <v>14664</v>
      </c>
      <c r="C391" s="10" t="s">
        <v>14665</v>
      </c>
      <c r="D391" s="10" t="s">
        <v>14665</v>
      </c>
      <c r="E391" s="10" t="s">
        <v>5998</v>
      </c>
      <c r="F391" s="10" t="s">
        <v>1599</v>
      </c>
      <c r="G391" s="10" t="s">
        <v>23</v>
      </c>
      <c r="H391" s="7" t="s">
        <v>2593</v>
      </c>
      <c r="I391" s="7" t="s">
        <v>25</v>
      </c>
      <c r="J391" s="13" t="str">
        <f>HYPERLINK("https://www.airitibooks.com/Detail/Detail?PublicationID=P20200904203", "https://www.airitibooks.com/Detail/Detail?PublicationID=P20200904203")</f>
        <v>https://www.airitibooks.com/Detail/Detail?PublicationID=P20200904203</v>
      </c>
      <c r="K391" s="13" t="str">
        <f>HYPERLINK("https://ntsu.idm.oclc.org/login?url=https://www.airitibooks.com/Detail/Detail?PublicationID=P20200904203", "https://ntsu.idm.oclc.org/login?url=https://www.airitibooks.com/Detail/Detail?PublicationID=P20200904203")</f>
        <v>https://ntsu.idm.oclc.org/login?url=https://www.airitibooks.com/Detail/Detail?PublicationID=P20200904203</v>
      </c>
    </row>
    <row r="392" spans="1:11" ht="51" x14ac:dyDescent="0.4">
      <c r="A392" s="10" t="s">
        <v>14666</v>
      </c>
      <c r="B392" s="10" t="s">
        <v>14667</v>
      </c>
      <c r="C392" s="10" t="s">
        <v>14665</v>
      </c>
      <c r="D392" s="10" t="s">
        <v>14665</v>
      </c>
      <c r="E392" s="10" t="s">
        <v>5998</v>
      </c>
      <c r="F392" s="10" t="s">
        <v>696</v>
      </c>
      <c r="G392" s="10" t="s">
        <v>23</v>
      </c>
      <c r="H392" s="7" t="s">
        <v>2593</v>
      </c>
      <c r="I392" s="7" t="s">
        <v>25</v>
      </c>
      <c r="J392" s="13" t="str">
        <f>HYPERLINK("https://www.airitibooks.com/Detail/Detail?PublicationID=P20200904204", "https://www.airitibooks.com/Detail/Detail?PublicationID=P20200904204")</f>
        <v>https://www.airitibooks.com/Detail/Detail?PublicationID=P20200904204</v>
      </c>
      <c r="K392" s="13" t="str">
        <f>HYPERLINK("https://ntsu.idm.oclc.org/login?url=https://www.airitibooks.com/Detail/Detail?PublicationID=P20200904204", "https://ntsu.idm.oclc.org/login?url=https://www.airitibooks.com/Detail/Detail?PublicationID=P20200904204")</f>
        <v>https://ntsu.idm.oclc.org/login?url=https://www.airitibooks.com/Detail/Detail?PublicationID=P20200904204</v>
      </c>
    </row>
    <row r="393" spans="1:11" ht="51" x14ac:dyDescent="0.4">
      <c r="A393" s="10" t="s">
        <v>14668</v>
      </c>
      <c r="B393" s="10" t="s">
        <v>14669</v>
      </c>
      <c r="C393" s="10" t="s">
        <v>14665</v>
      </c>
      <c r="D393" s="10" t="s">
        <v>14665</v>
      </c>
      <c r="E393" s="10" t="s">
        <v>5998</v>
      </c>
      <c r="F393" s="10" t="s">
        <v>1599</v>
      </c>
      <c r="G393" s="10" t="s">
        <v>23</v>
      </c>
      <c r="H393" s="7" t="s">
        <v>2593</v>
      </c>
      <c r="I393" s="7" t="s">
        <v>25</v>
      </c>
      <c r="J393" s="13" t="str">
        <f>HYPERLINK("https://www.airitibooks.com/Detail/Detail?PublicationID=P20200904205", "https://www.airitibooks.com/Detail/Detail?PublicationID=P20200904205")</f>
        <v>https://www.airitibooks.com/Detail/Detail?PublicationID=P20200904205</v>
      </c>
      <c r="K393" s="13" t="str">
        <f>HYPERLINK("https://ntsu.idm.oclc.org/login?url=https://www.airitibooks.com/Detail/Detail?PublicationID=P20200904205", "https://ntsu.idm.oclc.org/login?url=https://www.airitibooks.com/Detail/Detail?PublicationID=P20200904205")</f>
        <v>https://ntsu.idm.oclc.org/login?url=https://www.airitibooks.com/Detail/Detail?PublicationID=P20200904205</v>
      </c>
    </row>
    <row r="394" spans="1:11" ht="51" x14ac:dyDescent="0.4">
      <c r="A394" s="10" t="s">
        <v>14670</v>
      </c>
      <c r="B394" s="10" t="s">
        <v>14671</v>
      </c>
      <c r="C394" s="10" t="s">
        <v>14665</v>
      </c>
      <c r="D394" s="10" t="s">
        <v>14665</v>
      </c>
      <c r="E394" s="10" t="s">
        <v>5998</v>
      </c>
      <c r="F394" s="10" t="s">
        <v>1599</v>
      </c>
      <c r="G394" s="10" t="s">
        <v>23</v>
      </c>
      <c r="H394" s="7" t="s">
        <v>2593</v>
      </c>
      <c r="I394" s="7" t="s">
        <v>25</v>
      </c>
      <c r="J394" s="13" t="str">
        <f>HYPERLINK("https://www.airitibooks.com/Detail/Detail?PublicationID=P20200904206", "https://www.airitibooks.com/Detail/Detail?PublicationID=P20200904206")</f>
        <v>https://www.airitibooks.com/Detail/Detail?PublicationID=P20200904206</v>
      </c>
      <c r="K394" s="13" t="str">
        <f>HYPERLINK("https://ntsu.idm.oclc.org/login?url=https://www.airitibooks.com/Detail/Detail?PublicationID=P20200904206", "https://ntsu.idm.oclc.org/login?url=https://www.airitibooks.com/Detail/Detail?PublicationID=P20200904206")</f>
        <v>https://ntsu.idm.oclc.org/login?url=https://www.airitibooks.com/Detail/Detail?PublicationID=P20200904206</v>
      </c>
    </row>
    <row r="395" spans="1:11" ht="51" x14ac:dyDescent="0.4">
      <c r="A395" s="10" t="s">
        <v>14672</v>
      </c>
      <c r="B395" s="10" t="s">
        <v>14673</v>
      </c>
      <c r="C395" s="10" t="s">
        <v>14665</v>
      </c>
      <c r="D395" s="10" t="s">
        <v>14665</v>
      </c>
      <c r="E395" s="10" t="s">
        <v>5998</v>
      </c>
      <c r="F395" s="10" t="s">
        <v>1599</v>
      </c>
      <c r="G395" s="10" t="s">
        <v>23</v>
      </c>
      <c r="H395" s="7" t="s">
        <v>2593</v>
      </c>
      <c r="I395" s="7" t="s">
        <v>25</v>
      </c>
      <c r="J395" s="13" t="str">
        <f>HYPERLINK("https://www.airitibooks.com/Detail/Detail?PublicationID=P20200904207", "https://www.airitibooks.com/Detail/Detail?PublicationID=P20200904207")</f>
        <v>https://www.airitibooks.com/Detail/Detail?PublicationID=P20200904207</v>
      </c>
      <c r="K395" s="13" t="str">
        <f>HYPERLINK("https://ntsu.idm.oclc.org/login?url=https://www.airitibooks.com/Detail/Detail?PublicationID=P20200904207", "https://ntsu.idm.oclc.org/login?url=https://www.airitibooks.com/Detail/Detail?PublicationID=P20200904207")</f>
        <v>https://ntsu.idm.oclc.org/login?url=https://www.airitibooks.com/Detail/Detail?PublicationID=P20200904207</v>
      </c>
    </row>
    <row r="396" spans="1:11" ht="51" x14ac:dyDescent="0.4">
      <c r="A396" s="10" t="s">
        <v>14674</v>
      </c>
      <c r="B396" s="10" t="s">
        <v>14675</v>
      </c>
      <c r="C396" s="10" t="s">
        <v>14665</v>
      </c>
      <c r="D396" s="10" t="s">
        <v>14665</v>
      </c>
      <c r="E396" s="10" t="s">
        <v>5998</v>
      </c>
      <c r="F396" s="10" t="s">
        <v>1599</v>
      </c>
      <c r="G396" s="10" t="s">
        <v>23</v>
      </c>
      <c r="H396" s="7" t="s">
        <v>2593</v>
      </c>
      <c r="I396" s="7" t="s">
        <v>25</v>
      </c>
      <c r="J396" s="13" t="str">
        <f>HYPERLINK("https://www.airitibooks.com/Detail/Detail?PublicationID=P20200904208", "https://www.airitibooks.com/Detail/Detail?PublicationID=P20200904208")</f>
        <v>https://www.airitibooks.com/Detail/Detail?PublicationID=P20200904208</v>
      </c>
      <c r="K396" s="13" t="str">
        <f>HYPERLINK("https://ntsu.idm.oclc.org/login?url=https://www.airitibooks.com/Detail/Detail?PublicationID=P20200904208", "https://ntsu.idm.oclc.org/login?url=https://www.airitibooks.com/Detail/Detail?PublicationID=P20200904208")</f>
        <v>https://ntsu.idm.oclc.org/login?url=https://www.airitibooks.com/Detail/Detail?PublicationID=P20200904208</v>
      </c>
    </row>
    <row r="397" spans="1:11" ht="51" x14ac:dyDescent="0.4">
      <c r="A397" s="10" t="s">
        <v>14676</v>
      </c>
      <c r="B397" s="10" t="s">
        <v>14677</v>
      </c>
      <c r="C397" s="10" t="s">
        <v>14665</v>
      </c>
      <c r="D397" s="10" t="s">
        <v>14665</v>
      </c>
      <c r="E397" s="10" t="s">
        <v>5998</v>
      </c>
      <c r="F397" s="10" t="s">
        <v>1599</v>
      </c>
      <c r="G397" s="10" t="s">
        <v>23</v>
      </c>
      <c r="H397" s="7" t="s">
        <v>2593</v>
      </c>
      <c r="I397" s="7" t="s">
        <v>25</v>
      </c>
      <c r="J397" s="13" t="str">
        <f>HYPERLINK("https://www.airitibooks.com/Detail/Detail?PublicationID=P20200904209", "https://www.airitibooks.com/Detail/Detail?PublicationID=P20200904209")</f>
        <v>https://www.airitibooks.com/Detail/Detail?PublicationID=P20200904209</v>
      </c>
      <c r="K397" s="13" t="str">
        <f>HYPERLINK("https://ntsu.idm.oclc.org/login?url=https://www.airitibooks.com/Detail/Detail?PublicationID=P20200904209", "https://ntsu.idm.oclc.org/login?url=https://www.airitibooks.com/Detail/Detail?PublicationID=P20200904209")</f>
        <v>https://ntsu.idm.oclc.org/login?url=https://www.airitibooks.com/Detail/Detail?PublicationID=P20200904209</v>
      </c>
    </row>
    <row r="398" spans="1:11" ht="51" x14ac:dyDescent="0.4">
      <c r="A398" s="10" t="s">
        <v>14678</v>
      </c>
      <c r="B398" s="10" t="s">
        <v>14679</v>
      </c>
      <c r="C398" s="10" t="s">
        <v>14665</v>
      </c>
      <c r="D398" s="10" t="s">
        <v>14665</v>
      </c>
      <c r="E398" s="10" t="s">
        <v>5998</v>
      </c>
      <c r="F398" s="10" t="s">
        <v>1599</v>
      </c>
      <c r="G398" s="10" t="s">
        <v>23</v>
      </c>
      <c r="H398" s="7" t="s">
        <v>2593</v>
      </c>
      <c r="I398" s="7" t="s">
        <v>25</v>
      </c>
      <c r="J398" s="13" t="str">
        <f>HYPERLINK("https://www.airitibooks.com/Detail/Detail?PublicationID=P20200904210", "https://www.airitibooks.com/Detail/Detail?PublicationID=P20200904210")</f>
        <v>https://www.airitibooks.com/Detail/Detail?PublicationID=P20200904210</v>
      </c>
      <c r="K398" s="13" t="str">
        <f>HYPERLINK("https://ntsu.idm.oclc.org/login?url=https://www.airitibooks.com/Detail/Detail?PublicationID=P20200904210", "https://ntsu.idm.oclc.org/login?url=https://www.airitibooks.com/Detail/Detail?PublicationID=P20200904210")</f>
        <v>https://ntsu.idm.oclc.org/login?url=https://www.airitibooks.com/Detail/Detail?PublicationID=P20200904210</v>
      </c>
    </row>
    <row r="399" spans="1:11" ht="51" x14ac:dyDescent="0.4">
      <c r="A399" s="10" t="s">
        <v>14680</v>
      </c>
      <c r="B399" s="10" t="s">
        <v>14681</v>
      </c>
      <c r="C399" s="10" t="s">
        <v>14665</v>
      </c>
      <c r="D399" s="10" t="s">
        <v>14665</v>
      </c>
      <c r="E399" s="10" t="s">
        <v>5998</v>
      </c>
      <c r="F399" s="10" t="s">
        <v>1599</v>
      </c>
      <c r="G399" s="10" t="s">
        <v>23</v>
      </c>
      <c r="H399" s="7" t="s">
        <v>2593</v>
      </c>
      <c r="I399" s="7" t="s">
        <v>25</v>
      </c>
      <c r="J399" s="13" t="str">
        <f>HYPERLINK("https://www.airitibooks.com/Detail/Detail?PublicationID=P20200904211", "https://www.airitibooks.com/Detail/Detail?PublicationID=P20200904211")</f>
        <v>https://www.airitibooks.com/Detail/Detail?PublicationID=P20200904211</v>
      </c>
      <c r="K399" s="13" t="str">
        <f>HYPERLINK("https://ntsu.idm.oclc.org/login?url=https://www.airitibooks.com/Detail/Detail?PublicationID=P20200904211", "https://ntsu.idm.oclc.org/login?url=https://www.airitibooks.com/Detail/Detail?PublicationID=P20200904211")</f>
        <v>https://ntsu.idm.oclc.org/login?url=https://www.airitibooks.com/Detail/Detail?PublicationID=P20200904211</v>
      </c>
    </row>
    <row r="400" spans="1:11" ht="51" x14ac:dyDescent="0.4">
      <c r="A400" s="10" t="s">
        <v>14682</v>
      </c>
      <c r="B400" s="10" t="s">
        <v>14683</v>
      </c>
      <c r="C400" s="10" t="s">
        <v>14665</v>
      </c>
      <c r="D400" s="10" t="s">
        <v>14665</v>
      </c>
      <c r="E400" s="10" t="s">
        <v>5998</v>
      </c>
      <c r="F400" s="10" t="s">
        <v>1599</v>
      </c>
      <c r="G400" s="10" t="s">
        <v>23</v>
      </c>
      <c r="H400" s="7" t="s">
        <v>2593</v>
      </c>
      <c r="I400" s="7" t="s">
        <v>25</v>
      </c>
      <c r="J400" s="13" t="str">
        <f>HYPERLINK("https://www.airitibooks.com/Detail/Detail?PublicationID=P20200904212", "https://www.airitibooks.com/Detail/Detail?PublicationID=P20200904212")</f>
        <v>https://www.airitibooks.com/Detail/Detail?PublicationID=P20200904212</v>
      </c>
      <c r="K400" s="13" t="str">
        <f>HYPERLINK("https://ntsu.idm.oclc.org/login?url=https://www.airitibooks.com/Detail/Detail?PublicationID=P20200904212", "https://ntsu.idm.oclc.org/login?url=https://www.airitibooks.com/Detail/Detail?PublicationID=P20200904212")</f>
        <v>https://ntsu.idm.oclc.org/login?url=https://www.airitibooks.com/Detail/Detail?PublicationID=P20200904212</v>
      </c>
    </row>
    <row r="401" spans="1:11" ht="51" x14ac:dyDescent="0.4">
      <c r="A401" s="10" t="s">
        <v>14694</v>
      </c>
      <c r="B401" s="10" t="s">
        <v>14695</v>
      </c>
      <c r="C401" s="10" t="s">
        <v>12686</v>
      </c>
      <c r="D401" s="10" t="s">
        <v>11553</v>
      </c>
      <c r="E401" s="10" t="s">
        <v>5998</v>
      </c>
      <c r="F401" s="10" t="s">
        <v>3719</v>
      </c>
      <c r="G401" s="10" t="s">
        <v>23</v>
      </c>
      <c r="H401" s="7" t="s">
        <v>24</v>
      </c>
      <c r="I401" s="7" t="s">
        <v>25</v>
      </c>
      <c r="J401" s="13" t="str">
        <f>HYPERLINK("https://www.airitibooks.com/Detail/Detail?PublicationID=P20200914010", "https://www.airitibooks.com/Detail/Detail?PublicationID=P20200914010")</f>
        <v>https://www.airitibooks.com/Detail/Detail?PublicationID=P20200914010</v>
      </c>
      <c r="K401" s="13" t="str">
        <f>HYPERLINK("https://ntsu.idm.oclc.org/login?url=https://www.airitibooks.com/Detail/Detail?PublicationID=P20200914010", "https://ntsu.idm.oclc.org/login?url=https://www.airitibooks.com/Detail/Detail?PublicationID=P20200914010")</f>
        <v>https://ntsu.idm.oclc.org/login?url=https://www.airitibooks.com/Detail/Detail?PublicationID=P20200914010</v>
      </c>
    </row>
    <row r="402" spans="1:11" ht="51" x14ac:dyDescent="0.4">
      <c r="A402" s="10" t="s">
        <v>14698</v>
      </c>
      <c r="B402" s="10" t="s">
        <v>14699</v>
      </c>
      <c r="C402" s="10" t="s">
        <v>3705</v>
      </c>
      <c r="D402" s="10" t="s">
        <v>14700</v>
      </c>
      <c r="E402" s="10" t="s">
        <v>5998</v>
      </c>
      <c r="F402" s="10" t="s">
        <v>14701</v>
      </c>
      <c r="G402" s="10" t="s">
        <v>23</v>
      </c>
      <c r="H402" s="7" t="s">
        <v>24</v>
      </c>
      <c r="I402" s="7" t="s">
        <v>25</v>
      </c>
      <c r="J402" s="13" t="str">
        <f>HYPERLINK("https://www.airitibooks.com/Detail/Detail?PublicationID=P20200914116", "https://www.airitibooks.com/Detail/Detail?PublicationID=P20200914116")</f>
        <v>https://www.airitibooks.com/Detail/Detail?PublicationID=P20200914116</v>
      </c>
      <c r="K402" s="13" t="str">
        <f>HYPERLINK("https://ntsu.idm.oclc.org/login?url=https://www.airitibooks.com/Detail/Detail?PublicationID=P20200914116", "https://ntsu.idm.oclc.org/login?url=https://www.airitibooks.com/Detail/Detail?PublicationID=P20200914116")</f>
        <v>https://ntsu.idm.oclc.org/login?url=https://www.airitibooks.com/Detail/Detail?PublicationID=P20200914116</v>
      </c>
    </row>
    <row r="403" spans="1:11" ht="51" x14ac:dyDescent="0.4">
      <c r="A403" s="10" t="s">
        <v>14702</v>
      </c>
      <c r="B403" s="10" t="s">
        <v>14703</v>
      </c>
      <c r="C403" s="10" t="s">
        <v>14704</v>
      </c>
      <c r="D403" s="10" t="s">
        <v>14705</v>
      </c>
      <c r="E403" s="10" t="s">
        <v>5998</v>
      </c>
      <c r="F403" s="10" t="s">
        <v>565</v>
      </c>
      <c r="G403" s="10" t="s">
        <v>23</v>
      </c>
      <c r="H403" s="7" t="s">
        <v>24</v>
      </c>
      <c r="I403" s="7" t="s">
        <v>25</v>
      </c>
      <c r="J403" s="13" t="str">
        <f>HYPERLINK("https://www.airitibooks.com/Detail/Detail?PublicationID=P20200914119", "https://www.airitibooks.com/Detail/Detail?PublicationID=P20200914119")</f>
        <v>https://www.airitibooks.com/Detail/Detail?PublicationID=P20200914119</v>
      </c>
      <c r="K403" s="13" t="str">
        <f>HYPERLINK("https://ntsu.idm.oclc.org/login?url=https://www.airitibooks.com/Detail/Detail?PublicationID=P20200914119", "https://ntsu.idm.oclc.org/login?url=https://www.airitibooks.com/Detail/Detail?PublicationID=P20200914119")</f>
        <v>https://ntsu.idm.oclc.org/login?url=https://www.airitibooks.com/Detail/Detail?PublicationID=P20200914119</v>
      </c>
    </row>
    <row r="404" spans="1:11" ht="51" x14ac:dyDescent="0.4">
      <c r="A404" s="10" t="s">
        <v>14778</v>
      </c>
      <c r="B404" s="10" t="s">
        <v>14779</v>
      </c>
      <c r="C404" s="10" t="s">
        <v>14780</v>
      </c>
      <c r="D404" s="10" t="s">
        <v>14781</v>
      </c>
      <c r="E404" s="10" t="s">
        <v>5998</v>
      </c>
      <c r="F404" s="10" t="s">
        <v>9519</v>
      </c>
      <c r="G404" s="10" t="s">
        <v>23</v>
      </c>
      <c r="H404" s="7" t="s">
        <v>1031</v>
      </c>
      <c r="I404" s="7" t="s">
        <v>25</v>
      </c>
      <c r="J404" s="13" t="str">
        <f>HYPERLINK("https://www.airitibooks.com/Detail/Detail?PublicationID=P20201012193", "https://www.airitibooks.com/Detail/Detail?PublicationID=P20201012193")</f>
        <v>https://www.airitibooks.com/Detail/Detail?PublicationID=P20201012193</v>
      </c>
      <c r="K404" s="13" t="str">
        <f>HYPERLINK("https://ntsu.idm.oclc.org/login?url=https://www.airitibooks.com/Detail/Detail?PublicationID=P20201012193", "https://ntsu.idm.oclc.org/login?url=https://www.airitibooks.com/Detail/Detail?PublicationID=P20201012193")</f>
        <v>https://ntsu.idm.oclc.org/login?url=https://www.airitibooks.com/Detail/Detail?PublicationID=P20201012193</v>
      </c>
    </row>
    <row r="405" spans="1:11" ht="51" x14ac:dyDescent="0.4">
      <c r="A405" s="10" t="s">
        <v>14782</v>
      </c>
      <c r="B405" s="10" t="s">
        <v>14783</v>
      </c>
      <c r="C405" s="10" t="s">
        <v>240</v>
      </c>
      <c r="D405" s="10" t="s">
        <v>14784</v>
      </c>
      <c r="E405" s="10" t="s">
        <v>5998</v>
      </c>
      <c r="F405" s="10" t="s">
        <v>3719</v>
      </c>
      <c r="G405" s="10" t="s">
        <v>23</v>
      </c>
      <c r="H405" s="7" t="s">
        <v>24</v>
      </c>
      <c r="I405" s="7" t="s">
        <v>25</v>
      </c>
      <c r="J405" s="13" t="str">
        <f>HYPERLINK("https://www.airitibooks.com/Detail/Detail?PublicationID=P20201015080", "https://www.airitibooks.com/Detail/Detail?PublicationID=P20201015080")</f>
        <v>https://www.airitibooks.com/Detail/Detail?PublicationID=P20201015080</v>
      </c>
      <c r="K405" s="13" t="str">
        <f>HYPERLINK("https://ntsu.idm.oclc.org/login?url=https://www.airitibooks.com/Detail/Detail?PublicationID=P20201015080", "https://ntsu.idm.oclc.org/login?url=https://www.airitibooks.com/Detail/Detail?PublicationID=P20201015080")</f>
        <v>https://ntsu.idm.oclc.org/login?url=https://www.airitibooks.com/Detail/Detail?PublicationID=P20201015080</v>
      </c>
    </row>
    <row r="406" spans="1:11" ht="51" x14ac:dyDescent="0.4">
      <c r="A406" s="10" t="s">
        <v>14876</v>
      </c>
      <c r="B406" s="10" t="s">
        <v>14877</v>
      </c>
      <c r="C406" s="10" t="s">
        <v>791</v>
      </c>
      <c r="D406" s="10" t="s">
        <v>14878</v>
      </c>
      <c r="E406" s="10" t="s">
        <v>5998</v>
      </c>
      <c r="F406" s="10" t="s">
        <v>5154</v>
      </c>
      <c r="G406" s="10" t="s">
        <v>23</v>
      </c>
      <c r="H406" s="7" t="s">
        <v>2593</v>
      </c>
      <c r="I406" s="7" t="s">
        <v>25</v>
      </c>
      <c r="J406" s="13" t="str">
        <f>HYPERLINK("https://www.airitibooks.com/Detail/Detail?PublicationID=P20201116033", "https://www.airitibooks.com/Detail/Detail?PublicationID=P20201116033")</f>
        <v>https://www.airitibooks.com/Detail/Detail?PublicationID=P20201116033</v>
      </c>
      <c r="K406" s="13" t="str">
        <f>HYPERLINK("https://ntsu.idm.oclc.org/login?url=https://www.airitibooks.com/Detail/Detail?PublicationID=P20201116033", "https://ntsu.idm.oclc.org/login?url=https://www.airitibooks.com/Detail/Detail?PublicationID=P20201116033")</f>
        <v>https://ntsu.idm.oclc.org/login?url=https://www.airitibooks.com/Detail/Detail?PublicationID=P20201116033</v>
      </c>
    </row>
    <row r="407" spans="1:11" ht="51" x14ac:dyDescent="0.4">
      <c r="A407" s="10" t="s">
        <v>14919</v>
      </c>
      <c r="B407" s="10" t="s">
        <v>14920</v>
      </c>
      <c r="C407" s="10" t="s">
        <v>3473</v>
      </c>
      <c r="D407" s="10" t="s">
        <v>7861</v>
      </c>
      <c r="E407" s="10" t="s">
        <v>5998</v>
      </c>
      <c r="F407" s="10" t="s">
        <v>14921</v>
      </c>
      <c r="G407" s="10" t="s">
        <v>23</v>
      </c>
      <c r="H407" s="7" t="s">
        <v>24</v>
      </c>
      <c r="I407" s="7" t="s">
        <v>25</v>
      </c>
      <c r="J407" s="13" t="str">
        <f>HYPERLINK("https://www.airitibooks.com/Detail/Detail?PublicationID=P20201120074", "https://www.airitibooks.com/Detail/Detail?PublicationID=P20201120074")</f>
        <v>https://www.airitibooks.com/Detail/Detail?PublicationID=P20201120074</v>
      </c>
      <c r="K407" s="13" t="str">
        <f>HYPERLINK("https://ntsu.idm.oclc.org/login?url=https://www.airitibooks.com/Detail/Detail?PublicationID=P20201120074", "https://ntsu.idm.oclc.org/login?url=https://www.airitibooks.com/Detail/Detail?PublicationID=P20201120074")</f>
        <v>https://ntsu.idm.oclc.org/login?url=https://www.airitibooks.com/Detail/Detail?PublicationID=P20201120074</v>
      </c>
    </row>
    <row r="408" spans="1:11" ht="51" x14ac:dyDescent="0.4">
      <c r="A408" s="10" t="s">
        <v>14977</v>
      </c>
      <c r="B408" s="10" t="s">
        <v>14978</v>
      </c>
      <c r="C408" s="10" t="s">
        <v>791</v>
      </c>
      <c r="D408" s="10" t="s">
        <v>14979</v>
      </c>
      <c r="E408" s="10" t="s">
        <v>5998</v>
      </c>
      <c r="F408" s="10" t="s">
        <v>1599</v>
      </c>
      <c r="G408" s="10" t="s">
        <v>23</v>
      </c>
      <c r="H408" s="7" t="s">
        <v>2593</v>
      </c>
      <c r="I408" s="7" t="s">
        <v>25</v>
      </c>
      <c r="J408" s="13" t="str">
        <f>HYPERLINK("https://www.airitibooks.com/Detail/Detail?PublicationID=P20201127126", "https://www.airitibooks.com/Detail/Detail?PublicationID=P20201127126")</f>
        <v>https://www.airitibooks.com/Detail/Detail?PublicationID=P20201127126</v>
      </c>
      <c r="K408" s="13" t="str">
        <f>HYPERLINK("https://ntsu.idm.oclc.org/login?url=https://www.airitibooks.com/Detail/Detail?PublicationID=P20201127126", "https://ntsu.idm.oclc.org/login?url=https://www.airitibooks.com/Detail/Detail?PublicationID=P20201127126")</f>
        <v>https://ntsu.idm.oclc.org/login?url=https://www.airitibooks.com/Detail/Detail?PublicationID=P20201127126</v>
      </c>
    </row>
    <row r="409" spans="1:11" ht="51" x14ac:dyDescent="0.4">
      <c r="A409" s="10" t="s">
        <v>14994</v>
      </c>
      <c r="B409" s="10" t="s">
        <v>14995</v>
      </c>
      <c r="C409" s="10" t="s">
        <v>14996</v>
      </c>
      <c r="D409" s="10" t="s">
        <v>14997</v>
      </c>
      <c r="E409" s="10" t="s">
        <v>5998</v>
      </c>
      <c r="F409" s="10" t="s">
        <v>12347</v>
      </c>
      <c r="G409" s="10" t="s">
        <v>23</v>
      </c>
      <c r="H409" s="7" t="s">
        <v>24</v>
      </c>
      <c r="I409" s="7" t="s">
        <v>25</v>
      </c>
      <c r="J409" s="13" t="str">
        <f>HYPERLINK("https://www.airitibooks.com/Detail/Detail?PublicationID=P20201127307", "https://www.airitibooks.com/Detail/Detail?PublicationID=P20201127307")</f>
        <v>https://www.airitibooks.com/Detail/Detail?PublicationID=P20201127307</v>
      </c>
      <c r="K409" s="13" t="str">
        <f>HYPERLINK("https://ntsu.idm.oclc.org/login?url=https://www.airitibooks.com/Detail/Detail?PublicationID=P20201127307", "https://ntsu.idm.oclc.org/login?url=https://www.airitibooks.com/Detail/Detail?PublicationID=P20201127307")</f>
        <v>https://ntsu.idm.oclc.org/login?url=https://www.airitibooks.com/Detail/Detail?PublicationID=P20201127307</v>
      </c>
    </row>
    <row r="410" spans="1:11" ht="51" x14ac:dyDescent="0.4">
      <c r="A410" s="10" t="s">
        <v>14998</v>
      </c>
      <c r="B410" s="10" t="s">
        <v>14999</v>
      </c>
      <c r="C410" s="10" t="s">
        <v>14996</v>
      </c>
      <c r="D410" s="10" t="s">
        <v>15000</v>
      </c>
      <c r="E410" s="10" t="s">
        <v>5998</v>
      </c>
      <c r="F410" s="10" t="s">
        <v>12347</v>
      </c>
      <c r="G410" s="10" t="s">
        <v>23</v>
      </c>
      <c r="H410" s="7" t="s">
        <v>24</v>
      </c>
      <c r="I410" s="7" t="s">
        <v>25</v>
      </c>
      <c r="J410" s="13" t="str">
        <f>HYPERLINK("https://www.airitibooks.com/Detail/Detail?PublicationID=P20201127324", "https://www.airitibooks.com/Detail/Detail?PublicationID=P20201127324")</f>
        <v>https://www.airitibooks.com/Detail/Detail?PublicationID=P20201127324</v>
      </c>
      <c r="K410" s="13" t="str">
        <f>HYPERLINK("https://ntsu.idm.oclc.org/login?url=https://www.airitibooks.com/Detail/Detail?PublicationID=P20201127324", "https://ntsu.idm.oclc.org/login?url=https://www.airitibooks.com/Detail/Detail?PublicationID=P20201127324")</f>
        <v>https://ntsu.idm.oclc.org/login?url=https://www.airitibooks.com/Detail/Detail?PublicationID=P20201127324</v>
      </c>
    </row>
    <row r="411" spans="1:11" ht="51" x14ac:dyDescent="0.4">
      <c r="A411" s="10" t="s">
        <v>15024</v>
      </c>
      <c r="B411" s="10" t="s">
        <v>15025</v>
      </c>
      <c r="C411" s="10" t="s">
        <v>938</v>
      </c>
      <c r="D411" s="10" t="s">
        <v>2491</v>
      </c>
      <c r="E411" s="10" t="s">
        <v>5998</v>
      </c>
      <c r="F411" s="10" t="s">
        <v>720</v>
      </c>
      <c r="G411" s="10" t="s">
        <v>23</v>
      </c>
      <c r="H411" s="7" t="s">
        <v>7839</v>
      </c>
      <c r="I411" s="7" t="s">
        <v>25</v>
      </c>
      <c r="J411" s="13" t="str">
        <f>HYPERLINK("https://www.airitibooks.com/Detail/Detail?PublicationID=P20201204041", "https://www.airitibooks.com/Detail/Detail?PublicationID=P20201204041")</f>
        <v>https://www.airitibooks.com/Detail/Detail?PublicationID=P20201204041</v>
      </c>
      <c r="K411" s="13" t="str">
        <f>HYPERLINK("https://ntsu.idm.oclc.org/login?url=https://www.airitibooks.com/Detail/Detail?PublicationID=P20201204041", "https://ntsu.idm.oclc.org/login?url=https://www.airitibooks.com/Detail/Detail?PublicationID=P20201204041")</f>
        <v>https://ntsu.idm.oclc.org/login?url=https://www.airitibooks.com/Detail/Detail?PublicationID=P20201204041</v>
      </c>
    </row>
    <row r="412" spans="1:11" ht="102" x14ac:dyDescent="0.4">
      <c r="A412" s="10" t="s">
        <v>15062</v>
      </c>
      <c r="B412" s="10" t="s">
        <v>15063</v>
      </c>
      <c r="C412" s="10" t="s">
        <v>544</v>
      </c>
      <c r="D412" s="10" t="s">
        <v>15064</v>
      </c>
      <c r="E412" s="10" t="s">
        <v>5998</v>
      </c>
      <c r="F412" s="10" t="s">
        <v>9519</v>
      </c>
      <c r="G412" s="10" t="s">
        <v>23</v>
      </c>
      <c r="H412" s="7" t="s">
        <v>1467</v>
      </c>
      <c r="I412" s="7" t="s">
        <v>25</v>
      </c>
      <c r="J412" s="13" t="str">
        <f>HYPERLINK("https://www.airitibooks.com/Detail/Detail?PublicationID=P20201211007", "https://www.airitibooks.com/Detail/Detail?PublicationID=P20201211007")</f>
        <v>https://www.airitibooks.com/Detail/Detail?PublicationID=P20201211007</v>
      </c>
      <c r="K412" s="13" t="str">
        <f>HYPERLINK("https://ntsu.idm.oclc.org/login?url=https://www.airitibooks.com/Detail/Detail?PublicationID=P20201211007", "https://ntsu.idm.oclc.org/login?url=https://www.airitibooks.com/Detail/Detail?PublicationID=P20201211007")</f>
        <v>https://ntsu.idm.oclc.org/login?url=https://www.airitibooks.com/Detail/Detail?PublicationID=P20201211007</v>
      </c>
    </row>
    <row r="413" spans="1:11" ht="51" x14ac:dyDescent="0.4">
      <c r="A413" s="10" t="s">
        <v>15071</v>
      </c>
      <c r="B413" s="10" t="s">
        <v>15072</v>
      </c>
      <c r="C413" s="10" t="s">
        <v>544</v>
      </c>
      <c r="D413" s="10" t="s">
        <v>15073</v>
      </c>
      <c r="E413" s="10" t="s">
        <v>5998</v>
      </c>
      <c r="F413" s="10" t="s">
        <v>15074</v>
      </c>
      <c r="G413" s="10" t="s">
        <v>23</v>
      </c>
      <c r="H413" s="7" t="s">
        <v>24</v>
      </c>
      <c r="I413" s="7" t="s">
        <v>25</v>
      </c>
      <c r="J413" s="13" t="str">
        <f>HYPERLINK("https://www.airitibooks.com/Detail/Detail?PublicationID=P20201211012", "https://www.airitibooks.com/Detail/Detail?PublicationID=P20201211012")</f>
        <v>https://www.airitibooks.com/Detail/Detail?PublicationID=P20201211012</v>
      </c>
      <c r="K413" s="13" t="str">
        <f>HYPERLINK("https://ntsu.idm.oclc.org/login?url=https://www.airitibooks.com/Detail/Detail?PublicationID=P20201211012", "https://ntsu.idm.oclc.org/login?url=https://www.airitibooks.com/Detail/Detail?PublicationID=P20201211012")</f>
        <v>https://ntsu.idm.oclc.org/login?url=https://www.airitibooks.com/Detail/Detail?PublicationID=P20201211012</v>
      </c>
    </row>
    <row r="414" spans="1:11" ht="51" x14ac:dyDescent="0.4">
      <c r="A414" s="10" t="s">
        <v>15075</v>
      </c>
      <c r="B414" s="10" t="s">
        <v>15076</v>
      </c>
      <c r="C414" s="10" t="s">
        <v>544</v>
      </c>
      <c r="D414" s="10" t="s">
        <v>15077</v>
      </c>
      <c r="E414" s="10" t="s">
        <v>5998</v>
      </c>
      <c r="F414" s="10" t="s">
        <v>8814</v>
      </c>
      <c r="G414" s="10" t="s">
        <v>23</v>
      </c>
      <c r="H414" s="7" t="s">
        <v>24</v>
      </c>
      <c r="I414" s="7" t="s">
        <v>25</v>
      </c>
      <c r="J414" s="13" t="str">
        <f>HYPERLINK("https://www.airitibooks.com/Detail/Detail?PublicationID=P20201211018", "https://www.airitibooks.com/Detail/Detail?PublicationID=P20201211018")</f>
        <v>https://www.airitibooks.com/Detail/Detail?PublicationID=P20201211018</v>
      </c>
      <c r="K414" s="13" t="str">
        <f>HYPERLINK("https://ntsu.idm.oclc.org/login?url=https://www.airitibooks.com/Detail/Detail?PublicationID=P20201211018", "https://ntsu.idm.oclc.org/login?url=https://www.airitibooks.com/Detail/Detail?PublicationID=P20201211018")</f>
        <v>https://ntsu.idm.oclc.org/login?url=https://www.airitibooks.com/Detail/Detail?PublicationID=P20201211018</v>
      </c>
    </row>
    <row r="415" spans="1:11" ht="51" x14ac:dyDescent="0.4">
      <c r="A415" s="10" t="s">
        <v>15089</v>
      </c>
      <c r="B415" s="10" t="s">
        <v>15090</v>
      </c>
      <c r="C415" s="10" t="s">
        <v>544</v>
      </c>
      <c r="D415" s="10" t="s">
        <v>15091</v>
      </c>
      <c r="E415" s="10" t="s">
        <v>5998</v>
      </c>
      <c r="F415" s="10" t="s">
        <v>2536</v>
      </c>
      <c r="G415" s="10" t="s">
        <v>23</v>
      </c>
      <c r="H415" s="7" t="s">
        <v>24</v>
      </c>
      <c r="I415" s="7" t="s">
        <v>25</v>
      </c>
      <c r="J415" s="13" t="str">
        <f>HYPERLINK("https://www.airitibooks.com/Detail/Detail?PublicationID=P20201211028", "https://www.airitibooks.com/Detail/Detail?PublicationID=P20201211028")</f>
        <v>https://www.airitibooks.com/Detail/Detail?PublicationID=P20201211028</v>
      </c>
      <c r="K415" s="13" t="str">
        <f>HYPERLINK("https://ntsu.idm.oclc.org/login?url=https://www.airitibooks.com/Detail/Detail?PublicationID=P20201211028", "https://ntsu.idm.oclc.org/login?url=https://www.airitibooks.com/Detail/Detail?PublicationID=P20201211028")</f>
        <v>https://ntsu.idm.oclc.org/login?url=https://www.airitibooks.com/Detail/Detail?PublicationID=P20201211028</v>
      </c>
    </row>
    <row r="416" spans="1:11" ht="51" x14ac:dyDescent="0.4">
      <c r="A416" s="10" t="s">
        <v>15092</v>
      </c>
      <c r="B416" s="10" t="s">
        <v>15093</v>
      </c>
      <c r="C416" s="10" t="s">
        <v>544</v>
      </c>
      <c r="D416" s="10" t="s">
        <v>15094</v>
      </c>
      <c r="E416" s="10" t="s">
        <v>5998</v>
      </c>
      <c r="F416" s="10" t="s">
        <v>11547</v>
      </c>
      <c r="G416" s="10" t="s">
        <v>23</v>
      </c>
      <c r="H416" s="7" t="s">
        <v>24</v>
      </c>
      <c r="I416" s="7" t="s">
        <v>25</v>
      </c>
      <c r="J416" s="13" t="str">
        <f>HYPERLINK("https://www.airitibooks.com/Detail/Detail?PublicationID=P20201211030", "https://www.airitibooks.com/Detail/Detail?PublicationID=P20201211030")</f>
        <v>https://www.airitibooks.com/Detail/Detail?PublicationID=P20201211030</v>
      </c>
      <c r="K416" s="13" t="str">
        <f>HYPERLINK("https://ntsu.idm.oclc.org/login?url=https://www.airitibooks.com/Detail/Detail?PublicationID=P20201211030", "https://ntsu.idm.oclc.org/login?url=https://www.airitibooks.com/Detail/Detail?PublicationID=P20201211030")</f>
        <v>https://ntsu.idm.oclc.org/login?url=https://www.airitibooks.com/Detail/Detail?PublicationID=P20201211030</v>
      </c>
    </row>
    <row r="417" spans="1:11" ht="51" x14ac:dyDescent="0.4">
      <c r="A417" s="10" t="s">
        <v>15095</v>
      </c>
      <c r="B417" s="10" t="s">
        <v>15096</v>
      </c>
      <c r="C417" s="10" t="s">
        <v>544</v>
      </c>
      <c r="D417" s="10" t="s">
        <v>15097</v>
      </c>
      <c r="E417" s="10" t="s">
        <v>5998</v>
      </c>
      <c r="F417" s="10" t="s">
        <v>2484</v>
      </c>
      <c r="G417" s="10" t="s">
        <v>23</v>
      </c>
      <c r="H417" s="7" t="s">
        <v>24</v>
      </c>
      <c r="I417" s="7" t="s">
        <v>25</v>
      </c>
      <c r="J417" s="13" t="str">
        <f>HYPERLINK("https://www.airitibooks.com/Detail/Detail?PublicationID=P20201211031", "https://www.airitibooks.com/Detail/Detail?PublicationID=P20201211031")</f>
        <v>https://www.airitibooks.com/Detail/Detail?PublicationID=P20201211031</v>
      </c>
      <c r="K417" s="13" t="str">
        <f>HYPERLINK("https://ntsu.idm.oclc.org/login?url=https://www.airitibooks.com/Detail/Detail?PublicationID=P20201211031", "https://ntsu.idm.oclc.org/login?url=https://www.airitibooks.com/Detail/Detail?PublicationID=P20201211031")</f>
        <v>https://ntsu.idm.oclc.org/login?url=https://www.airitibooks.com/Detail/Detail?PublicationID=P20201211031</v>
      </c>
    </row>
    <row r="418" spans="1:11" ht="68" x14ac:dyDescent="0.4">
      <c r="A418" s="10" t="s">
        <v>15098</v>
      </c>
      <c r="B418" s="10" t="s">
        <v>15099</v>
      </c>
      <c r="C418" s="10" t="s">
        <v>544</v>
      </c>
      <c r="D418" s="10" t="s">
        <v>15100</v>
      </c>
      <c r="E418" s="10" t="s">
        <v>5998</v>
      </c>
      <c r="F418" s="10" t="s">
        <v>6609</v>
      </c>
      <c r="G418" s="10" t="s">
        <v>23</v>
      </c>
      <c r="H418" s="7" t="s">
        <v>24</v>
      </c>
      <c r="I418" s="7" t="s">
        <v>25</v>
      </c>
      <c r="J418" s="13" t="str">
        <f>HYPERLINK("https://www.airitibooks.com/Detail/Detail?PublicationID=P20201211032", "https://www.airitibooks.com/Detail/Detail?PublicationID=P20201211032")</f>
        <v>https://www.airitibooks.com/Detail/Detail?PublicationID=P20201211032</v>
      </c>
      <c r="K418" s="13" t="str">
        <f>HYPERLINK("https://ntsu.idm.oclc.org/login?url=https://www.airitibooks.com/Detail/Detail?PublicationID=P20201211032", "https://ntsu.idm.oclc.org/login?url=https://www.airitibooks.com/Detail/Detail?PublicationID=P20201211032")</f>
        <v>https://ntsu.idm.oclc.org/login?url=https://www.airitibooks.com/Detail/Detail?PublicationID=P20201211032</v>
      </c>
    </row>
    <row r="419" spans="1:11" ht="51" x14ac:dyDescent="0.4">
      <c r="A419" s="10" t="s">
        <v>15101</v>
      </c>
      <c r="B419" s="10" t="s">
        <v>15102</v>
      </c>
      <c r="C419" s="10" t="s">
        <v>544</v>
      </c>
      <c r="D419" s="10" t="s">
        <v>15103</v>
      </c>
      <c r="E419" s="10" t="s">
        <v>5998</v>
      </c>
      <c r="F419" s="10" t="s">
        <v>4507</v>
      </c>
      <c r="G419" s="10" t="s">
        <v>23</v>
      </c>
      <c r="H419" s="7" t="s">
        <v>24</v>
      </c>
      <c r="I419" s="7" t="s">
        <v>25</v>
      </c>
      <c r="J419" s="13" t="str">
        <f>HYPERLINK("https://www.airitibooks.com/Detail/Detail?PublicationID=P20201211033", "https://www.airitibooks.com/Detail/Detail?PublicationID=P20201211033")</f>
        <v>https://www.airitibooks.com/Detail/Detail?PublicationID=P20201211033</v>
      </c>
      <c r="K419" s="13" t="str">
        <f>HYPERLINK("https://ntsu.idm.oclc.org/login?url=https://www.airitibooks.com/Detail/Detail?PublicationID=P20201211033", "https://ntsu.idm.oclc.org/login?url=https://www.airitibooks.com/Detail/Detail?PublicationID=P20201211033")</f>
        <v>https://ntsu.idm.oclc.org/login?url=https://www.airitibooks.com/Detail/Detail?PublicationID=P20201211033</v>
      </c>
    </row>
    <row r="420" spans="1:11" ht="51" x14ac:dyDescent="0.4">
      <c r="A420" s="10" t="s">
        <v>15104</v>
      </c>
      <c r="B420" s="10" t="s">
        <v>15105</v>
      </c>
      <c r="C420" s="10" t="s">
        <v>544</v>
      </c>
      <c r="D420" s="10" t="s">
        <v>11724</v>
      </c>
      <c r="E420" s="10" t="s">
        <v>5998</v>
      </c>
      <c r="F420" s="10" t="s">
        <v>15106</v>
      </c>
      <c r="G420" s="10" t="s">
        <v>23</v>
      </c>
      <c r="H420" s="7" t="s">
        <v>24</v>
      </c>
      <c r="I420" s="7" t="s">
        <v>25</v>
      </c>
      <c r="J420" s="13" t="str">
        <f>HYPERLINK("https://www.airitibooks.com/Detail/Detail?PublicationID=P20201211034", "https://www.airitibooks.com/Detail/Detail?PublicationID=P20201211034")</f>
        <v>https://www.airitibooks.com/Detail/Detail?PublicationID=P20201211034</v>
      </c>
      <c r="K420" s="13" t="str">
        <f>HYPERLINK("https://ntsu.idm.oclc.org/login?url=https://www.airitibooks.com/Detail/Detail?PublicationID=P20201211034", "https://ntsu.idm.oclc.org/login?url=https://www.airitibooks.com/Detail/Detail?PublicationID=P20201211034")</f>
        <v>https://ntsu.idm.oclc.org/login?url=https://www.airitibooks.com/Detail/Detail?PublicationID=P20201211034</v>
      </c>
    </row>
    <row r="421" spans="1:11" ht="51" x14ac:dyDescent="0.4">
      <c r="A421" s="10" t="s">
        <v>15146</v>
      </c>
      <c r="B421" s="10" t="s">
        <v>15147</v>
      </c>
      <c r="C421" s="10" t="s">
        <v>7294</v>
      </c>
      <c r="D421" s="10" t="s">
        <v>7979</v>
      </c>
      <c r="E421" s="10" t="s">
        <v>5998</v>
      </c>
      <c r="F421" s="10" t="s">
        <v>1599</v>
      </c>
      <c r="G421" s="10" t="s">
        <v>23</v>
      </c>
      <c r="H421" s="7" t="s">
        <v>2593</v>
      </c>
      <c r="I421" s="7" t="s">
        <v>25</v>
      </c>
      <c r="J421" s="13" t="str">
        <f>HYPERLINK("https://www.airitibooks.com/Detail/Detail?PublicationID=P20201231236", "https://www.airitibooks.com/Detail/Detail?PublicationID=P20201231236")</f>
        <v>https://www.airitibooks.com/Detail/Detail?PublicationID=P20201231236</v>
      </c>
      <c r="K421" s="13" t="str">
        <f>HYPERLINK("https://ntsu.idm.oclc.org/login?url=https://www.airitibooks.com/Detail/Detail?PublicationID=P20201231236", "https://ntsu.idm.oclc.org/login?url=https://www.airitibooks.com/Detail/Detail?PublicationID=P20201231236")</f>
        <v>https://ntsu.idm.oclc.org/login?url=https://www.airitibooks.com/Detail/Detail?PublicationID=P20201231236</v>
      </c>
    </row>
    <row r="422" spans="1:11" ht="51" x14ac:dyDescent="0.4">
      <c r="A422" s="10" t="s">
        <v>15148</v>
      </c>
      <c r="B422" s="10" t="s">
        <v>15149</v>
      </c>
      <c r="C422" s="10" t="s">
        <v>15150</v>
      </c>
      <c r="D422" s="10" t="s">
        <v>15151</v>
      </c>
      <c r="E422" s="10" t="s">
        <v>5998</v>
      </c>
      <c r="F422" s="10" t="s">
        <v>762</v>
      </c>
      <c r="G422" s="10" t="s">
        <v>23</v>
      </c>
      <c r="H422" s="7" t="s">
        <v>24</v>
      </c>
      <c r="I422" s="7" t="s">
        <v>25</v>
      </c>
      <c r="J422" s="13" t="str">
        <f>HYPERLINK("https://www.airitibooks.com/Detail/Detail?PublicationID=P20201231402", "https://www.airitibooks.com/Detail/Detail?PublicationID=P20201231402")</f>
        <v>https://www.airitibooks.com/Detail/Detail?PublicationID=P20201231402</v>
      </c>
      <c r="K422" s="13" t="str">
        <f>HYPERLINK("https://ntsu.idm.oclc.org/login?url=https://www.airitibooks.com/Detail/Detail?PublicationID=P20201231402", "https://ntsu.idm.oclc.org/login?url=https://www.airitibooks.com/Detail/Detail?PublicationID=P20201231402")</f>
        <v>https://ntsu.idm.oclc.org/login?url=https://www.airitibooks.com/Detail/Detail?PublicationID=P20201231402</v>
      </c>
    </row>
    <row r="423" spans="1:11" ht="51" x14ac:dyDescent="0.4">
      <c r="A423" s="10" t="s">
        <v>15203</v>
      </c>
      <c r="B423" s="10" t="s">
        <v>15204</v>
      </c>
      <c r="C423" s="10" t="s">
        <v>3473</v>
      </c>
      <c r="D423" s="10" t="s">
        <v>15205</v>
      </c>
      <c r="E423" s="10" t="s">
        <v>5998</v>
      </c>
      <c r="F423" s="10" t="s">
        <v>214</v>
      </c>
      <c r="G423" s="10" t="s">
        <v>23</v>
      </c>
      <c r="H423" s="7" t="s">
        <v>24</v>
      </c>
      <c r="I423" s="7" t="s">
        <v>25</v>
      </c>
      <c r="J423" s="13" t="str">
        <f>HYPERLINK("https://www.airitibooks.com/Detail/Detail?PublicationID=P20210129029", "https://www.airitibooks.com/Detail/Detail?PublicationID=P20210129029")</f>
        <v>https://www.airitibooks.com/Detail/Detail?PublicationID=P20210129029</v>
      </c>
      <c r="K423" s="13" t="str">
        <f>HYPERLINK("https://ntsu.idm.oclc.org/login?url=https://www.airitibooks.com/Detail/Detail?PublicationID=P20210129029", "https://ntsu.idm.oclc.org/login?url=https://www.airitibooks.com/Detail/Detail?PublicationID=P20210129029")</f>
        <v>https://ntsu.idm.oclc.org/login?url=https://www.airitibooks.com/Detail/Detail?PublicationID=P20210129029</v>
      </c>
    </row>
    <row r="424" spans="1:11" ht="51" x14ac:dyDescent="0.4">
      <c r="A424" s="10" t="s">
        <v>15206</v>
      </c>
      <c r="B424" s="10" t="s">
        <v>15207</v>
      </c>
      <c r="C424" s="10" t="s">
        <v>12510</v>
      </c>
      <c r="D424" s="10" t="s">
        <v>12563</v>
      </c>
      <c r="E424" s="10" t="s">
        <v>5998</v>
      </c>
      <c r="F424" s="10" t="s">
        <v>15208</v>
      </c>
      <c r="G424" s="10" t="s">
        <v>23</v>
      </c>
      <c r="H424" s="7" t="s">
        <v>7839</v>
      </c>
      <c r="I424" s="7" t="s">
        <v>25</v>
      </c>
      <c r="J424" s="13" t="str">
        <f>HYPERLINK("https://www.airitibooks.com/Detail/Detail?PublicationID=P20210129102", "https://www.airitibooks.com/Detail/Detail?PublicationID=P20210129102")</f>
        <v>https://www.airitibooks.com/Detail/Detail?PublicationID=P20210129102</v>
      </c>
      <c r="K424" s="13" t="str">
        <f>HYPERLINK("https://ntsu.idm.oclc.org/login?url=https://www.airitibooks.com/Detail/Detail?PublicationID=P20210129102", "https://ntsu.idm.oclc.org/login?url=https://www.airitibooks.com/Detail/Detail?PublicationID=P20210129102")</f>
        <v>https://ntsu.idm.oclc.org/login?url=https://www.airitibooks.com/Detail/Detail?PublicationID=P20210129102</v>
      </c>
    </row>
    <row r="425" spans="1:11" ht="51" x14ac:dyDescent="0.4">
      <c r="A425" s="10" t="s">
        <v>15217</v>
      </c>
      <c r="B425" s="10" t="s">
        <v>15218</v>
      </c>
      <c r="C425" s="10" t="s">
        <v>738</v>
      </c>
      <c r="D425" s="10" t="s">
        <v>742</v>
      </c>
      <c r="E425" s="10" t="s">
        <v>5998</v>
      </c>
      <c r="F425" s="10" t="s">
        <v>12347</v>
      </c>
      <c r="G425" s="10" t="s">
        <v>23</v>
      </c>
      <c r="H425" s="7" t="s">
        <v>24</v>
      </c>
      <c r="I425" s="7" t="s">
        <v>25</v>
      </c>
      <c r="J425" s="13" t="str">
        <f>HYPERLINK("https://www.airitibooks.com/Detail/Detail?PublicationID=P20210220009", "https://www.airitibooks.com/Detail/Detail?PublicationID=P20210220009")</f>
        <v>https://www.airitibooks.com/Detail/Detail?PublicationID=P20210220009</v>
      </c>
      <c r="K425" s="13" t="str">
        <f>HYPERLINK("https://ntsu.idm.oclc.org/login?url=https://www.airitibooks.com/Detail/Detail?PublicationID=P20210220009", "https://ntsu.idm.oclc.org/login?url=https://www.airitibooks.com/Detail/Detail?PublicationID=P20210220009")</f>
        <v>https://ntsu.idm.oclc.org/login?url=https://www.airitibooks.com/Detail/Detail?PublicationID=P20210220009</v>
      </c>
    </row>
    <row r="426" spans="1:11" ht="51" x14ac:dyDescent="0.4">
      <c r="A426" s="10" t="s">
        <v>15245</v>
      </c>
      <c r="B426" s="10" t="s">
        <v>15246</v>
      </c>
      <c r="C426" s="10" t="s">
        <v>297</v>
      </c>
      <c r="D426" s="10" t="s">
        <v>15247</v>
      </c>
      <c r="E426" s="10" t="s">
        <v>5998</v>
      </c>
      <c r="F426" s="10" t="s">
        <v>15248</v>
      </c>
      <c r="G426" s="10" t="s">
        <v>23</v>
      </c>
      <c r="H426" s="7" t="s">
        <v>24</v>
      </c>
      <c r="I426" s="7" t="s">
        <v>25</v>
      </c>
      <c r="J426" s="13" t="str">
        <f>HYPERLINK("https://www.airitibooks.com/Detail/Detail?PublicationID=P20210225029", "https://www.airitibooks.com/Detail/Detail?PublicationID=P20210225029")</f>
        <v>https://www.airitibooks.com/Detail/Detail?PublicationID=P20210225029</v>
      </c>
      <c r="K426" s="13" t="str">
        <f>HYPERLINK("https://ntsu.idm.oclc.org/login?url=https://www.airitibooks.com/Detail/Detail?PublicationID=P20210225029", "https://ntsu.idm.oclc.org/login?url=https://www.airitibooks.com/Detail/Detail?PublicationID=P20210225029")</f>
        <v>https://ntsu.idm.oclc.org/login?url=https://www.airitibooks.com/Detail/Detail?PublicationID=P20210225029</v>
      </c>
    </row>
    <row r="427" spans="1:11" ht="51" x14ac:dyDescent="0.4">
      <c r="A427" s="10" t="s">
        <v>15249</v>
      </c>
      <c r="B427" s="10" t="s">
        <v>15250</v>
      </c>
      <c r="C427" s="10" t="s">
        <v>297</v>
      </c>
      <c r="D427" s="10" t="s">
        <v>15251</v>
      </c>
      <c r="E427" s="10" t="s">
        <v>5998</v>
      </c>
      <c r="F427" s="10" t="s">
        <v>3719</v>
      </c>
      <c r="G427" s="10" t="s">
        <v>23</v>
      </c>
      <c r="H427" s="7" t="s">
        <v>24</v>
      </c>
      <c r="I427" s="7" t="s">
        <v>25</v>
      </c>
      <c r="J427" s="13" t="str">
        <f>HYPERLINK("https://www.airitibooks.com/Detail/Detail?PublicationID=P20210225030", "https://www.airitibooks.com/Detail/Detail?PublicationID=P20210225030")</f>
        <v>https://www.airitibooks.com/Detail/Detail?PublicationID=P20210225030</v>
      </c>
      <c r="K427" s="13" t="str">
        <f>HYPERLINK("https://ntsu.idm.oclc.org/login?url=https://www.airitibooks.com/Detail/Detail?PublicationID=P20210225030", "https://ntsu.idm.oclc.org/login?url=https://www.airitibooks.com/Detail/Detail?PublicationID=P20210225030")</f>
        <v>https://ntsu.idm.oclc.org/login?url=https://www.airitibooks.com/Detail/Detail?PublicationID=P20210225030</v>
      </c>
    </row>
    <row r="428" spans="1:11" ht="51" x14ac:dyDescent="0.4">
      <c r="A428" s="10" t="s">
        <v>15252</v>
      </c>
      <c r="B428" s="10" t="s">
        <v>15253</v>
      </c>
      <c r="C428" s="10" t="s">
        <v>297</v>
      </c>
      <c r="D428" s="10" t="s">
        <v>4519</v>
      </c>
      <c r="E428" s="10" t="s">
        <v>5998</v>
      </c>
      <c r="F428" s="10" t="s">
        <v>3719</v>
      </c>
      <c r="G428" s="10" t="s">
        <v>23</v>
      </c>
      <c r="H428" s="7" t="s">
        <v>24</v>
      </c>
      <c r="I428" s="7" t="s">
        <v>25</v>
      </c>
      <c r="J428" s="13" t="str">
        <f>HYPERLINK("https://www.airitibooks.com/Detail/Detail?PublicationID=P20210225031", "https://www.airitibooks.com/Detail/Detail?PublicationID=P20210225031")</f>
        <v>https://www.airitibooks.com/Detail/Detail?PublicationID=P20210225031</v>
      </c>
      <c r="K428" s="13" t="str">
        <f>HYPERLINK("https://ntsu.idm.oclc.org/login?url=https://www.airitibooks.com/Detail/Detail?PublicationID=P20210225031", "https://ntsu.idm.oclc.org/login?url=https://www.airitibooks.com/Detail/Detail?PublicationID=P20210225031")</f>
        <v>https://ntsu.idm.oclc.org/login?url=https://www.airitibooks.com/Detail/Detail?PublicationID=P20210225031</v>
      </c>
    </row>
    <row r="429" spans="1:11" ht="51" x14ac:dyDescent="0.4">
      <c r="A429" s="10" t="s">
        <v>15259</v>
      </c>
      <c r="B429" s="10" t="s">
        <v>15260</v>
      </c>
      <c r="C429" s="10" t="s">
        <v>297</v>
      </c>
      <c r="D429" s="10" t="s">
        <v>15261</v>
      </c>
      <c r="E429" s="10" t="s">
        <v>5998</v>
      </c>
      <c r="F429" s="10" t="s">
        <v>15262</v>
      </c>
      <c r="G429" s="10" t="s">
        <v>23</v>
      </c>
      <c r="H429" s="7" t="s">
        <v>24</v>
      </c>
      <c r="I429" s="7" t="s">
        <v>25</v>
      </c>
      <c r="J429" s="13" t="str">
        <f>HYPERLINK("https://www.airitibooks.com/Detail/Detail?PublicationID=P20210225034", "https://www.airitibooks.com/Detail/Detail?PublicationID=P20210225034")</f>
        <v>https://www.airitibooks.com/Detail/Detail?PublicationID=P20210225034</v>
      </c>
      <c r="K429" s="13" t="str">
        <f>HYPERLINK("https://ntsu.idm.oclc.org/login?url=https://www.airitibooks.com/Detail/Detail?PublicationID=P20210225034", "https://ntsu.idm.oclc.org/login?url=https://www.airitibooks.com/Detail/Detail?PublicationID=P20210225034")</f>
        <v>https://ntsu.idm.oclc.org/login?url=https://www.airitibooks.com/Detail/Detail?PublicationID=P20210225034</v>
      </c>
    </row>
    <row r="430" spans="1:11" ht="51" x14ac:dyDescent="0.4">
      <c r="A430" s="10" t="s">
        <v>15265</v>
      </c>
      <c r="B430" s="10" t="s">
        <v>15266</v>
      </c>
      <c r="C430" s="10" t="s">
        <v>297</v>
      </c>
      <c r="D430" s="10" t="s">
        <v>15261</v>
      </c>
      <c r="E430" s="10" t="s">
        <v>5998</v>
      </c>
      <c r="F430" s="10" t="s">
        <v>15262</v>
      </c>
      <c r="G430" s="10" t="s">
        <v>23</v>
      </c>
      <c r="H430" s="7" t="s">
        <v>24</v>
      </c>
      <c r="I430" s="7" t="s">
        <v>25</v>
      </c>
      <c r="J430" s="13" t="str">
        <f>HYPERLINK("https://www.airitibooks.com/Detail/Detail?PublicationID=P20210225036", "https://www.airitibooks.com/Detail/Detail?PublicationID=P20210225036")</f>
        <v>https://www.airitibooks.com/Detail/Detail?PublicationID=P20210225036</v>
      </c>
      <c r="K430" s="13" t="str">
        <f>HYPERLINK("https://ntsu.idm.oclc.org/login?url=https://www.airitibooks.com/Detail/Detail?PublicationID=P20210225036", "https://ntsu.idm.oclc.org/login?url=https://www.airitibooks.com/Detail/Detail?PublicationID=P20210225036")</f>
        <v>https://ntsu.idm.oclc.org/login?url=https://www.airitibooks.com/Detail/Detail?PublicationID=P20210225036</v>
      </c>
    </row>
    <row r="431" spans="1:11" ht="51" x14ac:dyDescent="0.4">
      <c r="A431" s="10" t="s">
        <v>15362</v>
      </c>
      <c r="B431" s="10" t="s">
        <v>15363</v>
      </c>
      <c r="C431" s="10" t="s">
        <v>791</v>
      </c>
      <c r="D431" s="10" t="s">
        <v>5678</v>
      </c>
      <c r="E431" s="10" t="s">
        <v>5998</v>
      </c>
      <c r="F431" s="10" t="s">
        <v>1389</v>
      </c>
      <c r="G431" s="10" t="s">
        <v>23</v>
      </c>
      <c r="H431" s="7" t="s">
        <v>2593</v>
      </c>
      <c r="I431" s="7" t="s">
        <v>25</v>
      </c>
      <c r="J431" s="13" t="str">
        <f>HYPERLINK("https://www.airitibooks.com/Detail/Detail?PublicationID=P20210426039", "https://www.airitibooks.com/Detail/Detail?PublicationID=P20210426039")</f>
        <v>https://www.airitibooks.com/Detail/Detail?PublicationID=P20210426039</v>
      </c>
      <c r="K431" s="13" t="str">
        <f>HYPERLINK("https://ntsu.idm.oclc.org/login?url=https://www.airitibooks.com/Detail/Detail?PublicationID=P20210426039", "https://ntsu.idm.oclc.org/login?url=https://www.airitibooks.com/Detail/Detail?PublicationID=P20210426039")</f>
        <v>https://ntsu.idm.oclc.org/login?url=https://www.airitibooks.com/Detail/Detail?PublicationID=P20210426039</v>
      </c>
    </row>
    <row r="432" spans="1:11" ht="51" x14ac:dyDescent="0.4">
      <c r="A432" s="10" t="s">
        <v>15364</v>
      </c>
      <c r="B432" s="10" t="s">
        <v>15365</v>
      </c>
      <c r="C432" s="10" t="s">
        <v>3473</v>
      </c>
      <c r="D432" s="10" t="s">
        <v>15366</v>
      </c>
      <c r="E432" s="10" t="s">
        <v>5998</v>
      </c>
      <c r="F432" s="10" t="s">
        <v>720</v>
      </c>
      <c r="G432" s="10" t="s">
        <v>23</v>
      </c>
      <c r="H432" s="7" t="s">
        <v>7839</v>
      </c>
      <c r="I432" s="7" t="s">
        <v>25</v>
      </c>
      <c r="J432" s="13" t="str">
        <f>HYPERLINK("https://www.airitibooks.com/Detail/Detail?PublicationID=P20210428026", "https://www.airitibooks.com/Detail/Detail?PublicationID=P20210428026")</f>
        <v>https://www.airitibooks.com/Detail/Detail?PublicationID=P20210428026</v>
      </c>
      <c r="K432" s="13" t="str">
        <f>HYPERLINK("https://ntsu.idm.oclc.org/login?url=https://www.airitibooks.com/Detail/Detail?PublicationID=P20210428026", "https://ntsu.idm.oclc.org/login?url=https://www.airitibooks.com/Detail/Detail?PublicationID=P20210428026")</f>
        <v>https://ntsu.idm.oclc.org/login?url=https://www.airitibooks.com/Detail/Detail?PublicationID=P20210428026</v>
      </c>
    </row>
    <row r="433" spans="1:11" ht="51" x14ac:dyDescent="0.4">
      <c r="A433" s="10" t="s">
        <v>15367</v>
      </c>
      <c r="B433" s="10" t="s">
        <v>15368</v>
      </c>
      <c r="C433" s="10" t="s">
        <v>7294</v>
      </c>
      <c r="D433" s="10" t="s">
        <v>15369</v>
      </c>
      <c r="E433" s="10" t="s">
        <v>5998</v>
      </c>
      <c r="F433" s="10" t="s">
        <v>1599</v>
      </c>
      <c r="G433" s="10" t="s">
        <v>23</v>
      </c>
      <c r="H433" s="7" t="s">
        <v>2593</v>
      </c>
      <c r="I433" s="7" t="s">
        <v>25</v>
      </c>
      <c r="J433" s="13" t="str">
        <f>HYPERLINK("https://www.airitibooks.com/Detail/Detail?PublicationID=P20210428029", "https://www.airitibooks.com/Detail/Detail?PublicationID=P20210428029")</f>
        <v>https://www.airitibooks.com/Detail/Detail?PublicationID=P20210428029</v>
      </c>
      <c r="K433" s="13" t="str">
        <f>HYPERLINK("https://ntsu.idm.oclc.org/login?url=https://www.airitibooks.com/Detail/Detail?PublicationID=P20210428029", "https://ntsu.idm.oclc.org/login?url=https://www.airitibooks.com/Detail/Detail?PublicationID=P20210428029")</f>
        <v>https://ntsu.idm.oclc.org/login?url=https://www.airitibooks.com/Detail/Detail?PublicationID=P20210428029</v>
      </c>
    </row>
    <row r="434" spans="1:11" ht="51" x14ac:dyDescent="0.4">
      <c r="A434" s="10" t="s">
        <v>15510</v>
      </c>
      <c r="B434" s="10" t="s">
        <v>15511</v>
      </c>
      <c r="C434" s="10" t="s">
        <v>707</v>
      </c>
      <c r="D434" s="10" t="s">
        <v>15512</v>
      </c>
      <c r="E434" s="10" t="s">
        <v>5998</v>
      </c>
      <c r="F434" s="10" t="s">
        <v>720</v>
      </c>
      <c r="G434" s="10" t="s">
        <v>23</v>
      </c>
      <c r="H434" s="7" t="s">
        <v>7839</v>
      </c>
      <c r="I434" s="7" t="s">
        <v>25</v>
      </c>
      <c r="J434" s="13" t="str">
        <f>HYPERLINK("https://www.airitibooks.com/Detail/Detail?PublicationID=P20210521007", "https://www.airitibooks.com/Detail/Detail?PublicationID=P20210521007")</f>
        <v>https://www.airitibooks.com/Detail/Detail?PublicationID=P20210521007</v>
      </c>
      <c r="K434" s="13" t="str">
        <f>HYPERLINK("https://ntsu.idm.oclc.org/login?url=https://www.airitibooks.com/Detail/Detail?PublicationID=P20210521007", "https://ntsu.idm.oclc.org/login?url=https://www.airitibooks.com/Detail/Detail?PublicationID=P20210521007")</f>
        <v>https://ntsu.idm.oclc.org/login?url=https://www.airitibooks.com/Detail/Detail?PublicationID=P20210521007</v>
      </c>
    </row>
    <row r="435" spans="1:11" ht="85" x14ac:dyDescent="0.4">
      <c r="A435" s="10" t="s">
        <v>9516</v>
      </c>
      <c r="B435" s="10" t="s">
        <v>9517</v>
      </c>
      <c r="C435" s="10" t="s">
        <v>9514</v>
      </c>
      <c r="D435" s="10" t="s">
        <v>9518</v>
      </c>
      <c r="E435" s="10" t="s">
        <v>5998</v>
      </c>
      <c r="F435" s="10" t="s">
        <v>9520</v>
      </c>
      <c r="G435" s="10" t="s">
        <v>32</v>
      </c>
      <c r="H435" s="7" t="s">
        <v>24</v>
      </c>
      <c r="I435" s="7" t="s">
        <v>25</v>
      </c>
      <c r="J435" s="13" t="str">
        <f>HYPERLINK("https://www.airitibooks.com/Detail/Detail?PublicationID=P20180628005", "https://www.airitibooks.com/Detail/Detail?PublicationID=P20180628005")</f>
        <v>https://www.airitibooks.com/Detail/Detail?PublicationID=P20180628005</v>
      </c>
      <c r="K435" s="13" t="str">
        <f>HYPERLINK("https://ntsu.idm.oclc.org/login?url=https://www.airitibooks.com/Detail/Detail?PublicationID=P20180628005", "https://ntsu.idm.oclc.org/login?url=https://www.airitibooks.com/Detail/Detail?PublicationID=P20180628005")</f>
        <v>https://ntsu.idm.oclc.org/login?url=https://www.airitibooks.com/Detail/Detail?PublicationID=P20180628005</v>
      </c>
    </row>
    <row r="436" spans="1:11" ht="68" x14ac:dyDescent="0.4">
      <c r="A436" s="10" t="s">
        <v>13396</v>
      </c>
      <c r="B436" s="10" t="s">
        <v>13397</v>
      </c>
      <c r="C436" s="10" t="s">
        <v>108</v>
      </c>
      <c r="D436" s="10" t="s">
        <v>13398</v>
      </c>
      <c r="E436" s="10" t="s">
        <v>5998</v>
      </c>
      <c r="F436" s="10" t="s">
        <v>1653</v>
      </c>
      <c r="G436" s="10" t="s">
        <v>32</v>
      </c>
      <c r="H436" s="7" t="s">
        <v>24</v>
      </c>
      <c r="I436" s="7" t="s">
        <v>25</v>
      </c>
      <c r="J436" s="13" t="str">
        <f>HYPERLINK("https://www.airitibooks.com/Detail/Detail?PublicationID=P20200215003", "https://www.airitibooks.com/Detail/Detail?PublicationID=P20200215003")</f>
        <v>https://www.airitibooks.com/Detail/Detail?PublicationID=P20200215003</v>
      </c>
      <c r="K436" s="13" t="str">
        <f>HYPERLINK("https://ntsu.idm.oclc.org/login?url=https://www.airitibooks.com/Detail/Detail?PublicationID=P20200215003", "https://ntsu.idm.oclc.org/login?url=https://www.airitibooks.com/Detail/Detail?PublicationID=P20200215003")</f>
        <v>https://ntsu.idm.oclc.org/login?url=https://www.airitibooks.com/Detail/Detail?PublicationID=P20200215003</v>
      </c>
    </row>
    <row r="437" spans="1:11" ht="51" x14ac:dyDescent="0.4">
      <c r="A437" s="10" t="s">
        <v>13399</v>
      </c>
      <c r="B437" s="10" t="s">
        <v>13400</v>
      </c>
      <c r="C437" s="10" t="s">
        <v>756</v>
      </c>
      <c r="D437" s="10" t="s">
        <v>13401</v>
      </c>
      <c r="E437" s="10" t="s">
        <v>5998</v>
      </c>
      <c r="F437" s="10" t="s">
        <v>13402</v>
      </c>
      <c r="G437" s="10" t="s">
        <v>32</v>
      </c>
      <c r="H437" s="7" t="s">
        <v>24</v>
      </c>
      <c r="I437" s="7" t="s">
        <v>25</v>
      </c>
      <c r="J437" s="13" t="str">
        <f>HYPERLINK("https://www.airitibooks.com/Detail/Detail?PublicationID=P20200215007", "https://www.airitibooks.com/Detail/Detail?PublicationID=P20200215007")</f>
        <v>https://www.airitibooks.com/Detail/Detail?PublicationID=P20200215007</v>
      </c>
      <c r="K437" s="13" t="str">
        <f>HYPERLINK("https://ntsu.idm.oclc.org/login?url=https://www.airitibooks.com/Detail/Detail?PublicationID=P20200215007", "https://ntsu.idm.oclc.org/login?url=https://www.airitibooks.com/Detail/Detail?PublicationID=P20200215007")</f>
        <v>https://ntsu.idm.oclc.org/login?url=https://www.airitibooks.com/Detail/Detail?PublicationID=P20200215007</v>
      </c>
    </row>
    <row r="438" spans="1:11" ht="85" x14ac:dyDescent="0.4">
      <c r="A438" s="10" t="s">
        <v>13681</v>
      </c>
      <c r="B438" s="10" t="s">
        <v>13682</v>
      </c>
      <c r="C438" s="10" t="s">
        <v>791</v>
      </c>
      <c r="D438" s="10" t="s">
        <v>13683</v>
      </c>
      <c r="E438" s="10" t="s">
        <v>5998</v>
      </c>
      <c r="F438" s="10" t="s">
        <v>11167</v>
      </c>
      <c r="G438" s="10" t="s">
        <v>32</v>
      </c>
      <c r="H438" s="7" t="s">
        <v>24</v>
      </c>
      <c r="I438" s="7" t="s">
        <v>25</v>
      </c>
      <c r="J438" s="13" t="str">
        <f>HYPERLINK("https://www.airitibooks.com/Detail/Detail?PublicationID=P20200321129", "https://www.airitibooks.com/Detail/Detail?PublicationID=P20200321129")</f>
        <v>https://www.airitibooks.com/Detail/Detail?PublicationID=P20200321129</v>
      </c>
      <c r="K438" s="13" t="str">
        <f>HYPERLINK("https://ntsu.idm.oclc.org/login?url=https://www.airitibooks.com/Detail/Detail?PublicationID=P20200321129", "https://ntsu.idm.oclc.org/login?url=https://www.airitibooks.com/Detail/Detail?PublicationID=P20200321129")</f>
        <v>https://ntsu.idm.oclc.org/login?url=https://www.airitibooks.com/Detail/Detail?PublicationID=P20200321129</v>
      </c>
    </row>
    <row r="439" spans="1:11" ht="68" x14ac:dyDescent="0.4">
      <c r="A439" s="10" t="s">
        <v>13699</v>
      </c>
      <c r="B439" s="10" t="s">
        <v>13700</v>
      </c>
      <c r="C439" s="10" t="s">
        <v>791</v>
      </c>
      <c r="D439" s="10" t="s">
        <v>13701</v>
      </c>
      <c r="E439" s="10" t="s">
        <v>5998</v>
      </c>
      <c r="F439" s="10" t="s">
        <v>9099</v>
      </c>
      <c r="G439" s="10" t="s">
        <v>32</v>
      </c>
      <c r="H439" s="7" t="s">
        <v>24</v>
      </c>
      <c r="I439" s="7" t="s">
        <v>25</v>
      </c>
      <c r="J439" s="13" t="str">
        <f>HYPERLINK("https://www.airitibooks.com/Detail/Detail?PublicationID=P20200321135", "https://www.airitibooks.com/Detail/Detail?PublicationID=P20200321135")</f>
        <v>https://www.airitibooks.com/Detail/Detail?PublicationID=P20200321135</v>
      </c>
      <c r="K439" s="13" t="str">
        <f>HYPERLINK("https://ntsu.idm.oclc.org/login?url=https://www.airitibooks.com/Detail/Detail?PublicationID=P20200321135", "https://ntsu.idm.oclc.org/login?url=https://www.airitibooks.com/Detail/Detail?PublicationID=P20200321135")</f>
        <v>https://ntsu.idm.oclc.org/login?url=https://www.airitibooks.com/Detail/Detail?PublicationID=P20200321135</v>
      </c>
    </row>
    <row r="440" spans="1:11" ht="68" x14ac:dyDescent="0.4">
      <c r="A440" s="10" t="s">
        <v>13707</v>
      </c>
      <c r="B440" s="10" t="s">
        <v>13708</v>
      </c>
      <c r="C440" s="10" t="s">
        <v>791</v>
      </c>
      <c r="D440" s="10" t="s">
        <v>13709</v>
      </c>
      <c r="E440" s="10" t="s">
        <v>5998</v>
      </c>
      <c r="F440" s="10" t="s">
        <v>1135</v>
      </c>
      <c r="G440" s="10" t="s">
        <v>32</v>
      </c>
      <c r="H440" s="7" t="s">
        <v>24</v>
      </c>
      <c r="I440" s="7" t="s">
        <v>25</v>
      </c>
      <c r="J440" s="13" t="str">
        <f>HYPERLINK("https://www.airitibooks.com/Detail/Detail?PublicationID=P20200321138", "https://www.airitibooks.com/Detail/Detail?PublicationID=P20200321138")</f>
        <v>https://www.airitibooks.com/Detail/Detail?PublicationID=P20200321138</v>
      </c>
      <c r="K440" s="13" t="str">
        <f>HYPERLINK("https://ntsu.idm.oclc.org/login?url=https://www.airitibooks.com/Detail/Detail?PublicationID=P20200321138", "https://ntsu.idm.oclc.org/login?url=https://www.airitibooks.com/Detail/Detail?PublicationID=P20200321138")</f>
        <v>https://ntsu.idm.oclc.org/login?url=https://www.airitibooks.com/Detail/Detail?PublicationID=P20200321138</v>
      </c>
    </row>
    <row r="441" spans="1:11" ht="85" x14ac:dyDescent="0.4">
      <c r="A441" s="10" t="s">
        <v>13717</v>
      </c>
      <c r="B441" s="10" t="s">
        <v>13718</v>
      </c>
      <c r="C441" s="10" t="s">
        <v>12154</v>
      </c>
      <c r="D441" s="10" t="s">
        <v>13719</v>
      </c>
      <c r="E441" s="10" t="s">
        <v>5998</v>
      </c>
      <c r="F441" s="10" t="s">
        <v>597</v>
      </c>
      <c r="G441" s="10" t="s">
        <v>32</v>
      </c>
      <c r="H441" s="7" t="s">
        <v>24</v>
      </c>
      <c r="I441" s="7" t="s">
        <v>25</v>
      </c>
      <c r="J441" s="13" t="str">
        <f>HYPERLINK("https://www.airitibooks.com/Detail/Detail?PublicationID=P20200321464", "https://www.airitibooks.com/Detail/Detail?PublicationID=P20200321464")</f>
        <v>https://www.airitibooks.com/Detail/Detail?PublicationID=P20200321464</v>
      </c>
      <c r="K441" s="13" t="str">
        <f>HYPERLINK("https://ntsu.idm.oclc.org/login?url=https://www.airitibooks.com/Detail/Detail?PublicationID=P20200321464", "https://ntsu.idm.oclc.org/login?url=https://www.airitibooks.com/Detail/Detail?PublicationID=P20200321464")</f>
        <v>https://ntsu.idm.oclc.org/login?url=https://www.airitibooks.com/Detail/Detail?PublicationID=P20200321464</v>
      </c>
    </row>
    <row r="442" spans="1:11" ht="51" x14ac:dyDescent="0.4">
      <c r="A442" s="10" t="s">
        <v>13760</v>
      </c>
      <c r="B442" s="10" t="s">
        <v>13761</v>
      </c>
      <c r="C442" s="10" t="s">
        <v>938</v>
      </c>
      <c r="D442" s="10" t="s">
        <v>13762</v>
      </c>
      <c r="E442" s="10" t="s">
        <v>5998</v>
      </c>
      <c r="F442" s="10" t="s">
        <v>1774</v>
      </c>
      <c r="G442" s="10" t="s">
        <v>32</v>
      </c>
      <c r="H442" s="7" t="s">
        <v>24</v>
      </c>
      <c r="I442" s="7" t="s">
        <v>25</v>
      </c>
      <c r="J442" s="13" t="str">
        <f>HYPERLINK("https://www.airitibooks.com/Detail/Detail?PublicationID=P20200402005", "https://www.airitibooks.com/Detail/Detail?PublicationID=P20200402005")</f>
        <v>https://www.airitibooks.com/Detail/Detail?PublicationID=P20200402005</v>
      </c>
      <c r="K442" s="13" t="str">
        <f>HYPERLINK("https://ntsu.idm.oclc.org/login?url=https://www.airitibooks.com/Detail/Detail?PublicationID=P20200402005", "https://ntsu.idm.oclc.org/login?url=https://www.airitibooks.com/Detail/Detail?PublicationID=P20200402005")</f>
        <v>https://ntsu.idm.oclc.org/login?url=https://www.airitibooks.com/Detail/Detail?PublicationID=P20200402005</v>
      </c>
    </row>
    <row r="443" spans="1:11" ht="51" x14ac:dyDescent="0.4">
      <c r="A443" s="10" t="s">
        <v>13773</v>
      </c>
      <c r="B443" s="10" t="s">
        <v>13774</v>
      </c>
      <c r="C443" s="10" t="s">
        <v>938</v>
      </c>
      <c r="D443" s="10" t="s">
        <v>5251</v>
      </c>
      <c r="E443" s="10" t="s">
        <v>5998</v>
      </c>
      <c r="F443" s="10" t="s">
        <v>3901</v>
      </c>
      <c r="G443" s="10" t="s">
        <v>32</v>
      </c>
      <c r="H443" s="7" t="s">
        <v>24</v>
      </c>
      <c r="I443" s="7" t="s">
        <v>25</v>
      </c>
      <c r="J443" s="13" t="str">
        <f>HYPERLINK("https://www.airitibooks.com/Detail/Detail?PublicationID=P20200402023", "https://www.airitibooks.com/Detail/Detail?PublicationID=P20200402023")</f>
        <v>https://www.airitibooks.com/Detail/Detail?PublicationID=P20200402023</v>
      </c>
      <c r="K443" s="13" t="str">
        <f>HYPERLINK("https://ntsu.idm.oclc.org/login?url=https://www.airitibooks.com/Detail/Detail?PublicationID=P20200402023", "https://ntsu.idm.oclc.org/login?url=https://www.airitibooks.com/Detail/Detail?PublicationID=P20200402023")</f>
        <v>https://ntsu.idm.oclc.org/login?url=https://www.airitibooks.com/Detail/Detail?PublicationID=P20200402023</v>
      </c>
    </row>
    <row r="444" spans="1:11" ht="68" x14ac:dyDescent="0.4">
      <c r="A444" s="10" t="s">
        <v>13775</v>
      </c>
      <c r="B444" s="10" t="s">
        <v>13776</v>
      </c>
      <c r="C444" s="10" t="s">
        <v>938</v>
      </c>
      <c r="D444" s="10" t="s">
        <v>13777</v>
      </c>
      <c r="E444" s="10" t="s">
        <v>5998</v>
      </c>
      <c r="F444" s="10" t="s">
        <v>3901</v>
      </c>
      <c r="G444" s="10" t="s">
        <v>32</v>
      </c>
      <c r="H444" s="7" t="s">
        <v>24</v>
      </c>
      <c r="I444" s="7" t="s">
        <v>25</v>
      </c>
      <c r="J444" s="13" t="str">
        <f>HYPERLINK("https://www.airitibooks.com/Detail/Detail?PublicationID=P20200402025", "https://www.airitibooks.com/Detail/Detail?PublicationID=P20200402025")</f>
        <v>https://www.airitibooks.com/Detail/Detail?PublicationID=P20200402025</v>
      </c>
      <c r="K444" s="13" t="str">
        <f>HYPERLINK("https://ntsu.idm.oclc.org/login?url=https://www.airitibooks.com/Detail/Detail?PublicationID=P20200402025", "https://ntsu.idm.oclc.org/login?url=https://www.airitibooks.com/Detail/Detail?PublicationID=P20200402025")</f>
        <v>https://ntsu.idm.oclc.org/login?url=https://www.airitibooks.com/Detail/Detail?PublicationID=P20200402025</v>
      </c>
    </row>
    <row r="445" spans="1:11" ht="68" x14ac:dyDescent="0.4">
      <c r="A445" s="10" t="s">
        <v>13778</v>
      </c>
      <c r="B445" s="10" t="s">
        <v>13779</v>
      </c>
      <c r="C445" s="10" t="s">
        <v>938</v>
      </c>
      <c r="D445" s="10" t="s">
        <v>13777</v>
      </c>
      <c r="E445" s="10" t="s">
        <v>5998</v>
      </c>
      <c r="F445" s="10" t="s">
        <v>3901</v>
      </c>
      <c r="G445" s="10" t="s">
        <v>32</v>
      </c>
      <c r="H445" s="7" t="s">
        <v>24</v>
      </c>
      <c r="I445" s="7" t="s">
        <v>25</v>
      </c>
      <c r="J445" s="13" t="str">
        <f>HYPERLINK("https://www.airitibooks.com/Detail/Detail?PublicationID=P20200402026", "https://www.airitibooks.com/Detail/Detail?PublicationID=P20200402026")</f>
        <v>https://www.airitibooks.com/Detail/Detail?PublicationID=P20200402026</v>
      </c>
      <c r="K445" s="13" t="str">
        <f>HYPERLINK("https://ntsu.idm.oclc.org/login?url=https://www.airitibooks.com/Detail/Detail?PublicationID=P20200402026", "https://ntsu.idm.oclc.org/login?url=https://www.airitibooks.com/Detail/Detail?PublicationID=P20200402026")</f>
        <v>https://ntsu.idm.oclc.org/login?url=https://www.airitibooks.com/Detail/Detail?PublicationID=P20200402026</v>
      </c>
    </row>
    <row r="446" spans="1:11" ht="51" x14ac:dyDescent="0.4">
      <c r="A446" s="10" t="s">
        <v>10904</v>
      </c>
      <c r="B446" s="10" t="s">
        <v>13798</v>
      </c>
      <c r="C446" s="10" t="s">
        <v>1034</v>
      </c>
      <c r="D446" s="10" t="s">
        <v>10906</v>
      </c>
      <c r="E446" s="10" t="s">
        <v>5998</v>
      </c>
      <c r="F446" s="10" t="s">
        <v>3901</v>
      </c>
      <c r="G446" s="10" t="s">
        <v>32</v>
      </c>
      <c r="H446" s="7" t="s">
        <v>24</v>
      </c>
      <c r="I446" s="7" t="s">
        <v>25</v>
      </c>
      <c r="J446" s="13" t="str">
        <f>HYPERLINK("https://www.airitibooks.com/Detail/Detail?PublicationID=P20200402374", "https://www.airitibooks.com/Detail/Detail?PublicationID=P20200402374")</f>
        <v>https://www.airitibooks.com/Detail/Detail?PublicationID=P20200402374</v>
      </c>
      <c r="K446" s="13" t="str">
        <f>HYPERLINK("https://ntsu.idm.oclc.org/login?url=https://www.airitibooks.com/Detail/Detail?PublicationID=P20200402374", "https://ntsu.idm.oclc.org/login?url=https://www.airitibooks.com/Detail/Detail?PublicationID=P20200402374")</f>
        <v>https://ntsu.idm.oclc.org/login?url=https://www.airitibooks.com/Detail/Detail?PublicationID=P20200402374</v>
      </c>
    </row>
    <row r="447" spans="1:11" ht="51" x14ac:dyDescent="0.4">
      <c r="A447" s="10" t="s">
        <v>13800</v>
      </c>
      <c r="B447" s="10" t="s">
        <v>13801</v>
      </c>
      <c r="C447" s="10" t="s">
        <v>1034</v>
      </c>
      <c r="D447" s="10" t="s">
        <v>13802</v>
      </c>
      <c r="E447" s="10" t="s">
        <v>5998</v>
      </c>
      <c r="F447" s="10" t="s">
        <v>4038</v>
      </c>
      <c r="G447" s="10" t="s">
        <v>32</v>
      </c>
      <c r="H447" s="7" t="s">
        <v>24</v>
      </c>
      <c r="I447" s="7" t="s">
        <v>25</v>
      </c>
      <c r="J447" s="13" t="str">
        <f>HYPERLINK("https://www.airitibooks.com/Detail/Detail?PublicationID=P20200402376", "https://www.airitibooks.com/Detail/Detail?PublicationID=P20200402376")</f>
        <v>https://www.airitibooks.com/Detail/Detail?PublicationID=P20200402376</v>
      </c>
      <c r="K447" s="13" t="str">
        <f>HYPERLINK("https://ntsu.idm.oclc.org/login?url=https://www.airitibooks.com/Detail/Detail?PublicationID=P20200402376", "https://ntsu.idm.oclc.org/login?url=https://www.airitibooks.com/Detail/Detail?PublicationID=P20200402376")</f>
        <v>https://ntsu.idm.oclc.org/login?url=https://www.airitibooks.com/Detail/Detail?PublicationID=P20200402376</v>
      </c>
    </row>
    <row r="448" spans="1:11" ht="51" x14ac:dyDescent="0.4">
      <c r="A448" s="10" t="s">
        <v>13805</v>
      </c>
      <c r="B448" s="10" t="s">
        <v>13806</v>
      </c>
      <c r="C448" s="10" t="s">
        <v>1034</v>
      </c>
      <c r="D448" s="10" t="s">
        <v>10345</v>
      </c>
      <c r="E448" s="10" t="s">
        <v>5998</v>
      </c>
      <c r="F448" s="10" t="s">
        <v>181</v>
      </c>
      <c r="G448" s="10" t="s">
        <v>32</v>
      </c>
      <c r="H448" s="7" t="s">
        <v>24</v>
      </c>
      <c r="I448" s="7" t="s">
        <v>25</v>
      </c>
      <c r="J448" s="13" t="str">
        <f>HYPERLINK("https://www.airitibooks.com/Detail/Detail?PublicationID=P20200402381", "https://www.airitibooks.com/Detail/Detail?PublicationID=P20200402381")</f>
        <v>https://www.airitibooks.com/Detail/Detail?PublicationID=P20200402381</v>
      </c>
      <c r="K448" s="13" t="str">
        <f>HYPERLINK("https://ntsu.idm.oclc.org/login?url=https://www.airitibooks.com/Detail/Detail?PublicationID=P20200402381", "https://ntsu.idm.oclc.org/login?url=https://www.airitibooks.com/Detail/Detail?PublicationID=P20200402381")</f>
        <v>https://ntsu.idm.oclc.org/login?url=https://www.airitibooks.com/Detail/Detail?PublicationID=P20200402381</v>
      </c>
    </row>
    <row r="449" spans="1:11" ht="51" x14ac:dyDescent="0.4">
      <c r="A449" s="10" t="s">
        <v>13819</v>
      </c>
      <c r="B449" s="10" t="s">
        <v>13820</v>
      </c>
      <c r="C449" s="10" t="s">
        <v>1034</v>
      </c>
      <c r="D449" s="10" t="s">
        <v>13802</v>
      </c>
      <c r="E449" s="10" t="s">
        <v>5998</v>
      </c>
      <c r="F449" s="10" t="s">
        <v>4038</v>
      </c>
      <c r="G449" s="10" t="s">
        <v>32</v>
      </c>
      <c r="H449" s="7" t="s">
        <v>24</v>
      </c>
      <c r="I449" s="7" t="s">
        <v>25</v>
      </c>
      <c r="J449" s="13" t="str">
        <f>HYPERLINK("https://www.airitibooks.com/Detail/Detail?PublicationID=P20200402395", "https://www.airitibooks.com/Detail/Detail?PublicationID=P20200402395")</f>
        <v>https://www.airitibooks.com/Detail/Detail?PublicationID=P20200402395</v>
      </c>
      <c r="K449" s="13" t="str">
        <f>HYPERLINK("https://ntsu.idm.oclc.org/login?url=https://www.airitibooks.com/Detail/Detail?PublicationID=P20200402395", "https://ntsu.idm.oclc.org/login?url=https://www.airitibooks.com/Detail/Detail?PublicationID=P20200402395")</f>
        <v>https://ntsu.idm.oclc.org/login?url=https://www.airitibooks.com/Detail/Detail?PublicationID=P20200402395</v>
      </c>
    </row>
    <row r="450" spans="1:11" ht="68" x14ac:dyDescent="0.4">
      <c r="A450" s="10" t="s">
        <v>13824</v>
      </c>
      <c r="B450" s="10" t="s">
        <v>13825</v>
      </c>
      <c r="C450" s="10" t="s">
        <v>240</v>
      </c>
      <c r="D450" s="10" t="s">
        <v>13826</v>
      </c>
      <c r="E450" s="10" t="s">
        <v>5998</v>
      </c>
      <c r="F450" s="10" t="s">
        <v>4226</v>
      </c>
      <c r="G450" s="10" t="s">
        <v>32</v>
      </c>
      <c r="H450" s="7" t="s">
        <v>24</v>
      </c>
      <c r="I450" s="7" t="s">
        <v>25</v>
      </c>
      <c r="J450" s="13" t="str">
        <f>HYPERLINK("https://www.airitibooks.com/Detail/Detail?PublicationID=P20200402402", "https://www.airitibooks.com/Detail/Detail?PublicationID=P20200402402")</f>
        <v>https://www.airitibooks.com/Detail/Detail?PublicationID=P20200402402</v>
      </c>
      <c r="K450" s="13" t="str">
        <f>HYPERLINK("https://ntsu.idm.oclc.org/login?url=https://www.airitibooks.com/Detail/Detail?PublicationID=P20200402402", "https://ntsu.idm.oclc.org/login?url=https://www.airitibooks.com/Detail/Detail?PublicationID=P20200402402")</f>
        <v>https://ntsu.idm.oclc.org/login?url=https://www.airitibooks.com/Detail/Detail?PublicationID=P20200402402</v>
      </c>
    </row>
    <row r="451" spans="1:11" ht="51" x14ac:dyDescent="0.4">
      <c r="A451" s="10" t="s">
        <v>9360</v>
      </c>
      <c r="B451" s="10" t="s">
        <v>13840</v>
      </c>
      <c r="C451" s="10" t="s">
        <v>938</v>
      </c>
      <c r="D451" s="10" t="s">
        <v>2487</v>
      </c>
      <c r="E451" s="10" t="s">
        <v>5998</v>
      </c>
      <c r="F451" s="10" t="s">
        <v>3901</v>
      </c>
      <c r="G451" s="10" t="s">
        <v>32</v>
      </c>
      <c r="H451" s="7" t="s">
        <v>24</v>
      </c>
      <c r="I451" s="7" t="s">
        <v>25</v>
      </c>
      <c r="J451" s="13" t="str">
        <f>HYPERLINK("https://www.airitibooks.com/Detail/Detail?PublicationID=P20200413011", "https://www.airitibooks.com/Detail/Detail?PublicationID=P20200413011")</f>
        <v>https://www.airitibooks.com/Detail/Detail?PublicationID=P20200413011</v>
      </c>
      <c r="K451" s="13" t="str">
        <f>HYPERLINK("https://ntsu.idm.oclc.org/login?url=https://www.airitibooks.com/Detail/Detail?PublicationID=P20200413011", "https://ntsu.idm.oclc.org/login?url=https://www.airitibooks.com/Detail/Detail?PublicationID=P20200413011")</f>
        <v>https://ntsu.idm.oclc.org/login?url=https://www.airitibooks.com/Detail/Detail?PublicationID=P20200413011</v>
      </c>
    </row>
    <row r="452" spans="1:11" ht="119" x14ac:dyDescent="0.4">
      <c r="A452" s="10" t="s">
        <v>13894</v>
      </c>
      <c r="B452" s="10" t="s">
        <v>13895</v>
      </c>
      <c r="C452" s="10" t="s">
        <v>12154</v>
      </c>
      <c r="D452" s="10" t="s">
        <v>13360</v>
      </c>
      <c r="E452" s="10" t="s">
        <v>5998</v>
      </c>
      <c r="F452" s="10" t="s">
        <v>1135</v>
      </c>
      <c r="G452" s="10" t="s">
        <v>32</v>
      </c>
      <c r="H452" s="7" t="s">
        <v>24</v>
      </c>
      <c r="I452" s="7" t="s">
        <v>25</v>
      </c>
      <c r="J452" s="13" t="str">
        <f>HYPERLINK("https://www.airitibooks.com/Detail/Detail?PublicationID=P20200417379", "https://www.airitibooks.com/Detail/Detail?PublicationID=P20200417379")</f>
        <v>https://www.airitibooks.com/Detail/Detail?PublicationID=P20200417379</v>
      </c>
      <c r="K452" s="13" t="str">
        <f>HYPERLINK("https://ntsu.idm.oclc.org/login?url=https://www.airitibooks.com/Detail/Detail?PublicationID=P20200417379", "https://ntsu.idm.oclc.org/login?url=https://www.airitibooks.com/Detail/Detail?PublicationID=P20200417379")</f>
        <v>https://ntsu.idm.oclc.org/login?url=https://www.airitibooks.com/Detail/Detail?PublicationID=P20200417379</v>
      </c>
    </row>
    <row r="453" spans="1:11" ht="51" x14ac:dyDescent="0.4">
      <c r="A453" s="10" t="s">
        <v>14249</v>
      </c>
      <c r="B453" s="10" t="s">
        <v>14250</v>
      </c>
      <c r="C453" s="10" t="s">
        <v>11995</v>
      </c>
      <c r="D453" s="10" t="s">
        <v>14251</v>
      </c>
      <c r="E453" s="10" t="s">
        <v>5998</v>
      </c>
      <c r="F453" s="10" t="s">
        <v>575</v>
      </c>
      <c r="G453" s="10" t="s">
        <v>32</v>
      </c>
      <c r="H453" s="7" t="s">
        <v>24</v>
      </c>
      <c r="I453" s="7" t="s">
        <v>25</v>
      </c>
      <c r="J453" s="13" t="str">
        <f>HYPERLINK("https://www.airitibooks.com/Detail/Detail?PublicationID=P20200521224", "https://www.airitibooks.com/Detail/Detail?PublicationID=P20200521224")</f>
        <v>https://www.airitibooks.com/Detail/Detail?PublicationID=P20200521224</v>
      </c>
      <c r="K453" s="13" t="str">
        <f>HYPERLINK("https://ntsu.idm.oclc.org/login?url=https://www.airitibooks.com/Detail/Detail?PublicationID=P20200521224", "https://ntsu.idm.oclc.org/login?url=https://www.airitibooks.com/Detail/Detail?PublicationID=P20200521224")</f>
        <v>https://ntsu.idm.oclc.org/login?url=https://www.airitibooks.com/Detail/Detail?PublicationID=P20200521224</v>
      </c>
    </row>
    <row r="454" spans="1:11" ht="51" x14ac:dyDescent="0.4">
      <c r="A454" s="10" t="s">
        <v>14255</v>
      </c>
      <c r="B454" s="10" t="s">
        <v>14256</v>
      </c>
      <c r="C454" s="10" t="s">
        <v>11995</v>
      </c>
      <c r="D454" s="10" t="s">
        <v>14251</v>
      </c>
      <c r="E454" s="10" t="s">
        <v>5998</v>
      </c>
      <c r="F454" s="10" t="s">
        <v>575</v>
      </c>
      <c r="G454" s="10" t="s">
        <v>32</v>
      </c>
      <c r="H454" s="7" t="s">
        <v>24</v>
      </c>
      <c r="I454" s="7" t="s">
        <v>25</v>
      </c>
      <c r="J454" s="13" t="str">
        <f>HYPERLINK("https://www.airitibooks.com/Detail/Detail?PublicationID=P20200521226", "https://www.airitibooks.com/Detail/Detail?PublicationID=P20200521226")</f>
        <v>https://www.airitibooks.com/Detail/Detail?PublicationID=P20200521226</v>
      </c>
      <c r="K454" s="13" t="str">
        <f>HYPERLINK("https://ntsu.idm.oclc.org/login?url=https://www.airitibooks.com/Detail/Detail?PublicationID=P20200521226", "https://ntsu.idm.oclc.org/login?url=https://www.airitibooks.com/Detail/Detail?PublicationID=P20200521226")</f>
        <v>https://ntsu.idm.oclc.org/login?url=https://www.airitibooks.com/Detail/Detail?PublicationID=P20200521226</v>
      </c>
    </row>
    <row r="455" spans="1:11" ht="68" x14ac:dyDescent="0.4">
      <c r="A455" s="10" t="s">
        <v>14268</v>
      </c>
      <c r="B455" s="10" t="s">
        <v>14269</v>
      </c>
      <c r="C455" s="10" t="s">
        <v>791</v>
      </c>
      <c r="D455" s="10" t="s">
        <v>14270</v>
      </c>
      <c r="E455" s="10" t="s">
        <v>5998</v>
      </c>
      <c r="F455" s="10" t="s">
        <v>587</v>
      </c>
      <c r="G455" s="10" t="s">
        <v>32</v>
      </c>
      <c r="H455" s="7" t="s">
        <v>24</v>
      </c>
      <c r="I455" s="7" t="s">
        <v>25</v>
      </c>
      <c r="J455" s="13" t="str">
        <f>HYPERLINK("https://www.airitibooks.com/Detail/Detail?PublicationID=P20200605005", "https://www.airitibooks.com/Detail/Detail?PublicationID=P20200605005")</f>
        <v>https://www.airitibooks.com/Detail/Detail?PublicationID=P20200605005</v>
      </c>
      <c r="K455" s="13" t="str">
        <f>HYPERLINK("https://ntsu.idm.oclc.org/login?url=https://www.airitibooks.com/Detail/Detail?PublicationID=P20200605005", "https://ntsu.idm.oclc.org/login?url=https://www.airitibooks.com/Detail/Detail?PublicationID=P20200605005")</f>
        <v>https://ntsu.idm.oclc.org/login?url=https://www.airitibooks.com/Detail/Detail?PublicationID=P20200605005</v>
      </c>
    </row>
    <row r="456" spans="1:11" ht="85" x14ac:dyDescent="0.4">
      <c r="A456" s="10" t="s">
        <v>14280</v>
      </c>
      <c r="B456" s="10" t="s">
        <v>14281</v>
      </c>
      <c r="C456" s="10" t="s">
        <v>791</v>
      </c>
      <c r="D456" s="10" t="s">
        <v>14282</v>
      </c>
      <c r="E456" s="10" t="s">
        <v>5998</v>
      </c>
      <c r="F456" s="10" t="s">
        <v>14283</v>
      </c>
      <c r="G456" s="10" t="s">
        <v>32</v>
      </c>
      <c r="H456" s="7" t="s">
        <v>24</v>
      </c>
      <c r="I456" s="7" t="s">
        <v>25</v>
      </c>
      <c r="J456" s="13" t="str">
        <f>HYPERLINK("https://www.airitibooks.com/Detail/Detail?PublicationID=P20200605010", "https://www.airitibooks.com/Detail/Detail?PublicationID=P20200605010")</f>
        <v>https://www.airitibooks.com/Detail/Detail?PublicationID=P20200605010</v>
      </c>
      <c r="K456" s="13" t="str">
        <f>HYPERLINK("https://ntsu.idm.oclc.org/login?url=https://www.airitibooks.com/Detail/Detail?PublicationID=P20200605010", "https://ntsu.idm.oclc.org/login?url=https://www.airitibooks.com/Detail/Detail?PublicationID=P20200605010")</f>
        <v>https://ntsu.idm.oclc.org/login?url=https://www.airitibooks.com/Detail/Detail?PublicationID=P20200605010</v>
      </c>
    </row>
    <row r="457" spans="1:11" ht="51" x14ac:dyDescent="0.4">
      <c r="A457" s="10" t="s">
        <v>14292</v>
      </c>
      <c r="B457" s="10" t="s">
        <v>14293</v>
      </c>
      <c r="C457" s="10" t="s">
        <v>4616</v>
      </c>
      <c r="D457" s="10" t="s">
        <v>14294</v>
      </c>
      <c r="E457" s="10" t="s">
        <v>5998</v>
      </c>
      <c r="F457" s="10" t="s">
        <v>7123</v>
      </c>
      <c r="G457" s="10" t="s">
        <v>32</v>
      </c>
      <c r="H457" s="7" t="s">
        <v>24</v>
      </c>
      <c r="I457" s="7" t="s">
        <v>25</v>
      </c>
      <c r="J457" s="13" t="str">
        <f>HYPERLINK("https://www.airitibooks.com/Detail/Detail?PublicationID=P20200605013", "https://www.airitibooks.com/Detail/Detail?PublicationID=P20200605013")</f>
        <v>https://www.airitibooks.com/Detail/Detail?PublicationID=P20200605013</v>
      </c>
      <c r="K457" s="13" t="str">
        <f>HYPERLINK("https://ntsu.idm.oclc.org/login?url=https://www.airitibooks.com/Detail/Detail?PublicationID=P20200605013", "https://ntsu.idm.oclc.org/login?url=https://www.airitibooks.com/Detail/Detail?PublicationID=P20200605013")</f>
        <v>https://ntsu.idm.oclc.org/login?url=https://www.airitibooks.com/Detail/Detail?PublicationID=P20200605013</v>
      </c>
    </row>
    <row r="458" spans="1:11" ht="68" x14ac:dyDescent="0.4">
      <c r="A458" s="10" t="s">
        <v>14298</v>
      </c>
      <c r="B458" s="10" t="s">
        <v>14299</v>
      </c>
      <c r="C458" s="10" t="s">
        <v>12154</v>
      </c>
      <c r="D458" s="10" t="s">
        <v>14300</v>
      </c>
      <c r="E458" s="10" t="s">
        <v>5998</v>
      </c>
      <c r="F458" s="10" t="s">
        <v>14301</v>
      </c>
      <c r="G458" s="10" t="s">
        <v>32</v>
      </c>
      <c r="H458" s="7" t="s">
        <v>24</v>
      </c>
      <c r="I458" s="7" t="s">
        <v>25</v>
      </c>
      <c r="J458" s="13" t="str">
        <f>HYPERLINK("https://www.airitibooks.com/Detail/Detail?PublicationID=P20200605024", "https://www.airitibooks.com/Detail/Detail?PublicationID=P20200605024")</f>
        <v>https://www.airitibooks.com/Detail/Detail?PublicationID=P20200605024</v>
      </c>
      <c r="K458" s="13" t="str">
        <f>HYPERLINK("https://ntsu.idm.oclc.org/login?url=https://www.airitibooks.com/Detail/Detail?PublicationID=P20200605024", "https://ntsu.idm.oclc.org/login?url=https://www.airitibooks.com/Detail/Detail?PublicationID=P20200605024")</f>
        <v>https://ntsu.idm.oclc.org/login?url=https://www.airitibooks.com/Detail/Detail?PublicationID=P20200605024</v>
      </c>
    </row>
    <row r="459" spans="1:11" ht="119" x14ac:dyDescent="0.4">
      <c r="A459" s="10" t="s">
        <v>14318</v>
      </c>
      <c r="B459" s="10" t="s">
        <v>14319</v>
      </c>
      <c r="C459" s="10" t="s">
        <v>12154</v>
      </c>
      <c r="D459" s="10" t="s">
        <v>14320</v>
      </c>
      <c r="E459" s="10" t="s">
        <v>5998</v>
      </c>
      <c r="F459" s="10" t="s">
        <v>14321</v>
      </c>
      <c r="G459" s="10" t="s">
        <v>32</v>
      </c>
      <c r="H459" s="7" t="s">
        <v>24</v>
      </c>
      <c r="I459" s="7" t="s">
        <v>25</v>
      </c>
      <c r="J459" s="13" t="str">
        <f>HYPERLINK("https://www.airitibooks.com/Detail/Detail?PublicationID=P20200605030", "https://www.airitibooks.com/Detail/Detail?PublicationID=P20200605030")</f>
        <v>https://www.airitibooks.com/Detail/Detail?PublicationID=P20200605030</v>
      </c>
      <c r="K459" s="13" t="str">
        <f>HYPERLINK("https://ntsu.idm.oclc.org/login?url=https://www.airitibooks.com/Detail/Detail?PublicationID=P20200605030", "https://ntsu.idm.oclc.org/login?url=https://www.airitibooks.com/Detail/Detail?PublicationID=P20200605030")</f>
        <v>https://ntsu.idm.oclc.org/login?url=https://www.airitibooks.com/Detail/Detail?PublicationID=P20200605030</v>
      </c>
    </row>
    <row r="460" spans="1:11" ht="51" x14ac:dyDescent="0.4">
      <c r="A460" s="10" t="s">
        <v>14339</v>
      </c>
      <c r="B460" s="10" t="s">
        <v>14340</v>
      </c>
      <c r="C460" s="10" t="s">
        <v>11995</v>
      </c>
      <c r="D460" s="10" t="s">
        <v>14251</v>
      </c>
      <c r="E460" s="10" t="s">
        <v>5998</v>
      </c>
      <c r="F460" s="10" t="s">
        <v>575</v>
      </c>
      <c r="G460" s="10" t="s">
        <v>32</v>
      </c>
      <c r="H460" s="7" t="s">
        <v>24</v>
      </c>
      <c r="I460" s="7" t="s">
        <v>25</v>
      </c>
      <c r="J460" s="13" t="str">
        <f>HYPERLINK("https://www.airitibooks.com/Detail/Detail?PublicationID=P20200612089", "https://www.airitibooks.com/Detail/Detail?PublicationID=P20200612089")</f>
        <v>https://www.airitibooks.com/Detail/Detail?PublicationID=P20200612089</v>
      </c>
      <c r="K460" s="13" t="str">
        <f>HYPERLINK("https://ntsu.idm.oclc.org/login?url=https://www.airitibooks.com/Detail/Detail?PublicationID=P20200612089", "https://ntsu.idm.oclc.org/login?url=https://www.airitibooks.com/Detail/Detail?PublicationID=P20200612089")</f>
        <v>https://ntsu.idm.oclc.org/login?url=https://www.airitibooks.com/Detail/Detail?PublicationID=P20200612089</v>
      </c>
    </row>
    <row r="461" spans="1:11" ht="51" x14ac:dyDescent="0.4">
      <c r="A461" s="10" t="s">
        <v>14406</v>
      </c>
      <c r="B461" s="10" t="s">
        <v>14407</v>
      </c>
      <c r="C461" s="10" t="s">
        <v>14403</v>
      </c>
      <c r="D461" s="10" t="s">
        <v>14408</v>
      </c>
      <c r="E461" s="10" t="s">
        <v>5998</v>
      </c>
      <c r="F461" s="10" t="s">
        <v>42</v>
      </c>
      <c r="G461" s="10" t="s">
        <v>32</v>
      </c>
      <c r="H461" s="7" t="s">
        <v>24</v>
      </c>
      <c r="I461" s="7" t="s">
        <v>25</v>
      </c>
      <c r="J461" s="13" t="str">
        <f>HYPERLINK("https://www.airitibooks.com/Detail/Detail?PublicationID=P20200703020", "https://www.airitibooks.com/Detail/Detail?PublicationID=P20200703020")</f>
        <v>https://www.airitibooks.com/Detail/Detail?PublicationID=P20200703020</v>
      </c>
      <c r="K461" s="13" t="str">
        <f>HYPERLINK("https://ntsu.idm.oclc.org/login?url=https://www.airitibooks.com/Detail/Detail?PublicationID=P20200703020", "https://ntsu.idm.oclc.org/login?url=https://www.airitibooks.com/Detail/Detail?PublicationID=P20200703020")</f>
        <v>https://ntsu.idm.oclc.org/login?url=https://www.airitibooks.com/Detail/Detail?PublicationID=P20200703020</v>
      </c>
    </row>
    <row r="462" spans="1:11" ht="85" x14ac:dyDescent="0.4">
      <c r="A462" s="10" t="s">
        <v>14432</v>
      </c>
      <c r="B462" s="10" t="s">
        <v>14433</v>
      </c>
      <c r="C462" s="10" t="s">
        <v>12154</v>
      </c>
      <c r="D462" s="10" t="s">
        <v>14434</v>
      </c>
      <c r="E462" s="10" t="s">
        <v>5998</v>
      </c>
      <c r="F462" s="10" t="s">
        <v>1941</v>
      </c>
      <c r="G462" s="10" t="s">
        <v>32</v>
      </c>
      <c r="H462" s="7" t="s">
        <v>24</v>
      </c>
      <c r="I462" s="7" t="s">
        <v>25</v>
      </c>
      <c r="J462" s="13" t="str">
        <f>HYPERLINK("https://www.airitibooks.com/Detail/Detail?PublicationID=P20200703142", "https://www.airitibooks.com/Detail/Detail?PublicationID=P20200703142")</f>
        <v>https://www.airitibooks.com/Detail/Detail?PublicationID=P20200703142</v>
      </c>
      <c r="K462" s="13" t="str">
        <f>HYPERLINK("https://ntsu.idm.oclc.org/login?url=https://www.airitibooks.com/Detail/Detail?PublicationID=P20200703142", "https://ntsu.idm.oclc.org/login?url=https://www.airitibooks.com/Detail/Detail?PublicationID=P20200703142")</f>
        <v>https://ntsu.idm.oclc.org/login?url=https://www.airitibooks.com/Detail/Detail?PublicationID=P20200703142</v>
      </c>
    </row>
    <row r="463" spans="1:11" ht="68" x14ac:dyDescent="0.4">
      <c r="A463" s="10" t="s">
        <v>14449</v>
      </c>
      <c r="B463" s="10" t="s">
        <v>14450</v>
      </c>
      <c r="C463" s="10" t="s">
        <v>462</v>
      </c>
      <c r="D463" s="10" t="s">
        <v>14451</v>
      </c>
      <c r="E463" s="10" t="s">
        <v>5998</v>
      </c>
      <c r="F463" s="10" t="s">
        <v>176</v>
      </c>
      <c r="G463" s="10" t="s">
        <v>32</v>
      </c>
      <c r="H463" s="7" t="s">
        <v>24</v>
      </c>
      <c r="I463" s="7" t="s">
        <v>25</v>
      </c>
      <c r="J463" s="13" t="str">
        <f>HYPERLINK("https://www.airitibooks.com/Detail/Detail?PublicationID=P20200709079", "https://www.airitibooks.com/Detail/Detail?PublicationID=P20200709079")</f>
        <v>https://www.airitibooks.com/Detail/Detail?PublicationID=P20200709079</v>
      </c>
      <c r="K463" s="13" t="str">
        <f>HYPERLINK("https://ntsu.idm.oclc.org/login?url=https://www.airitibooks.com/Detail/Detail?PublicationID=P20200709079", "https://ntsu.idm.oclc.org/login?url=https://www.airitibooks.com/Detail/Detail?PublicationID=P20200709079")</f>
        <v>https://ntsu.idm.oclc.org/login?url=https://www.airitibooks.com/Detail/Detail?PublicationID=P20200709079</v>
      </c>
    </row>
    <row r="464" spans="1:11" ht="51" x14ac:dyDescent="0.4">
      <c r="A464" s="10" t="s">
        <v>14452</v>
      </c>
      <c r="B464" s="10" t="s">
        <v>14453</v>
      </c>
      <c r="C464" s="10" t="s">
        <v>462</v>
      </c>
      <c r="D464" s="10" t="s">
        <v>14454</v>
      </c>
      <c r="E464" s="10" t="s">
        <v>5998</v>
      </c>
      <c r="F464" s="10" t="s">
        <v>6311</v>
      </c>
      <c r="G464" s="10" t="s">
        <v>32</v>
      </c>
      <c r="H464" s="7" t="s">
        <v>24</v>
      </c>
      <c r="I464" s="7" t="s">
        <v>25</v>
      </c>
      <c r="J464" s="13" t="str">
        <f>HYPERLINK("https://www.airitibooks.com/Detail/Detail?PublicationID=P20200709081", "https://www.airitibooks.com/Detail/Detail?PublicationID=P20200709081")</f>
        <v>https://www.airitibooks.com/Detail/Detail?PublicationID=P20200709081</v>
      </c>
      <c r="K464" s="13" t="str">
        <f>HYPERLINK("https://ntsu.idm.oclc.org/login?url=https://www.airitibooks.com/Detail/Detail?PublicationID=P20200709081", "https://ntsu.idm.oclc.org/login?url=https://www.airitibooks.com/Detail/Detail?PublicationID=P20200709081")</f>
        <v>https://ntsu.idm.oclc.org/login?url=https://www.airitibooks.com/Detail/Detail?PublicationID=P20200709081</v>
      </c>
    </row>
    <row r="465" spans="1:11" ht="51" x14ac:dyDescent="0.4">
      <c r="A465" s="10" t="s">
        <v>14467</v>
      </c>
      <c r="B465" s="10" t="s">
        <v>14468</v>
      </c>
      <c r="C465" s="10" t="s">
        <v>746</v>
      </c>
      <c r="D465" s="10" t="s">
        <v>14469</v>
      </c>
      <c r="E465" s="10" t="s">
        <v>5998</v>
      </c>
      <c r="F465" s="10" t="s">
        <v>6081</v>
      </c>
      <c r="G465" s="10" t="s">
        <v>32</v>
      </c>
      <c r="H465" s="7" t="s">
        <v>24</v>
      </c>
      <c r="I465" s="7" t="s">
        <v>25</v>
      </c>
      <c r="J465" s="13" t="str">
        <f>HYPERLINK("https://www.airitibooks.com/Detail/Detail?PublicationID=P20200709198", "https://www.airitibooks.com/Detail/Detail?PublicationID=P20200709198")</f>
        <v>https://www.airitibooks.com/Detail/Detail?PublicationID=P20200709198</v>
      </c>
      <c r="K465" s="13" t="str">
        <f>HYPERLINK("https://ntsu.idm.oclc.org/login?url=https://www.airitibooks.com/Detail/Detail?PublicationID=P20200709198", "https://ntsu.idm.oclc.org/login?url=https://www.airitibooks.com/Detail/Detail?PublicationID=P20200709198")</f>
        <v>https://ntsu.idm.oclc.org/login?url=https://www.airitibooks.com/Detail/Detail?PublicationID=P20200709198</v>
      </c>
    </row>
    <row r="466" spans="1:11" ht="51" x14ac:dyDescent="0.4">
      <c r="A466" s="10" t="s">
        <v>14473</v>
      </c>
      <c r="B466" s="10" t="s">
        <v>14474</v>
      </c>
      <c r="C466" s="10" t="s">
        <v>240</v>
      </c>
      <c r="D466" s="10" t="s">
        <v>14475</v>
      </c>
      <c r="E466" s="10" t="s">
        <v>5998</v>
      </c>
      <c r="F466" s="10" t="s">
        <v>1903</v>
      </c>
      <c r="G466" s="10" t="s">
        <v>32</v>
      </c>
      <c r="H466" s="7" t="s">
        <v>24</v>
      </c>
      <c r="I466" s="7" t="s">
        <v>25</v>
      </c>
      <c r="J466" s="13" t="str">
        <f>HYPERLINK("https://www.airitibooks.com/Detail/Detail?PublicationID=P20200717025", "https://www.airitibooks.com/Detail/Detail?PublicationID=P20200717025")</f>
        <v>https://www.airitibooks.com/Detail/Detail?PublicationID=P20200717025</v>
      </c>
      <c r="K466" s="13" t="str">
        <f>HYPERLINK("https://ntsu.idm.oclc.org/login?url=https://www.airitibooks.com/Detail/Detail?PublicationID=P20200717025", "https://ntsu.idm.oclc.org/login?url=https://www.airitibooks.com/Detail/Detail?PublicationID=P20200717025")</f>
        <v>https://ntsu.idm.oclc.org/login?url=https://www.airitibooks.com/Detail/Detail?PublicationID=P20200717025</v>
      </c>
    </row>
    <row r="467" spans="1:11" ht="85" x14ac:dyDescent="0.4">
      <c r="A467" s="10" t="s">
        <v>14484</v>
      </c>
      <c r="B467" s="10" t="s">
        <v>14485</v>
      </c>
      <c r="C467" s="10" t="s">
        <v>1504</v>
      </c>
      <c r="D467" s="10" t="s">
        <v>2197</v>
      </c>
      <c r="E467" s="10" t="s">
        <v>5998</v>
      </c>
      <c r="F467" s="10" t="s">
        <v>575</v>
      </c>
      <c r="G467" s="10" t="s">
        <v>32</v>
      </c>
      <c r="H467" s="7" t="s">
        <v>24</v>
      </c>
      <c r="I467" s="7" t="s">
        <v>25</v>
      </c>
      <c r="J467" s="13" t="str">
        <f>HYPERLINK("https://www.airitibooks.com/Detail/Detail?PublicationID=P20200717083", "https://www.airitibooks.com/Detail/Detail?PublicationID=P20200717083")</f>
        <v>https://www.airitibooks.com/Detail/Detail?PublicationID=P20200717083</v>
      </c>
      <c r="K467" s="13" t="str">
        <f>HYPERLINK("https://ntsu.idm.oclc.org/login?url=https://www.airitibooks.com/Detail/Detail?PublicationID=P20200717083", "https://ntsu.idm.oclc.org/login?url=https://www.airitibooks.com/Detail/Detail?PublicationID=P20200717083")</f>
        <v>https://ntsu.idm.oclc.org/login?url=https://www.airitibooks.com/Detail/Detail?PublicationID=P20200717083</v>
      </c>
    </row>
    <row r="468" spans="1:11" ht="51" x14ac:dyDescent="0.4">
      <c r="A468" s="10" t="s">
        <v>14486</v>
      </c>
      <c r="B468" s="10" t="s">
        <v>14487</v>
      </c>
      <c r="C468" s="10" t="s">
        <v>1504</v>
      </c>
      <c r="D468" s="10" t="s">
        <v>14488</v>
      </c>
      <c r="E468" s="10" t="s">
        <v>5998</v>
      </c>
      <c r="F468" s="10" t="s">
        <v>14283</v>
      </c>
      <c r="G468" s="10" t="s">
        <v>32</v>
      </c>
      <c r="H468" s="7" t="s">
        <v>24</v>
      </c>
      <c r="I468" s="7" t="s">
        <v>25</v>
      </c>
      <c r="J468" s="13" t="str">
        <f>HYPERLINK("https://www.airitibooks.com/Detail/Detail?PublicationID=P20200717085", "https://www.airitibooks.com/Detail/Detail?PublicationID=P20200717085")</f>
        <v>https://www.airitibooks.com/Detail/Detail?PublicationID=P20200717085</v>
      </c>
      <c r="K468" s="13" t="str">
        <f>HYPERLINK("https://ntsu.idm.oclc.org/login?url=https://www.airitibooks.com/Detail/Detail?PublicationID=P20200717085", "https://ntsu.idm.oclc.org/login?url=https://www.airitibooks.com/Detail/Detail?PublicationID=P20200717085")</f>
        <v>https://ntsu.idm.oclc.org/login?url=https://www.airitibooks.com/Detail/Detail?PublicationID=P20200717085</v>
      </c>
    </row>
    <row r="469" spans="1:11" ht="102" x14ac:dyDescent="0.4">
      <c r="A469" s="10" t="s">
        <v>14489</v>
      </c>
      <c r="B469" s="10" t="s">
        <v>14490</v>
      </c>
      <c r="C469" s="10" t="s">
        <v>1504</v>
      </c>
      <c r="D469" s="10" t="s">
        <v>2197</v>
      </c>
      <c r="E469" s="10" t="s">
        <v>5998</v>
      </c>
      <c r="F469" s="10" t="s">
        <v>575</v>
      </c>
      <c r="G469" s="10" t="s">
        <v>32</v>
      </c>
      <c r="H469" s="7" t="s">
        <v>24</v>
      </c>
      <c r="I469" s="7" t="s">
        <v>25</v>
      </c>
      <c r="J469" s="13" t="str">
        <f>HYPERLINK("https://www.airitibooks.com/Detail/Detail?PublicationID=P20200717088", "https://www.airitibooks.com/Detail/Detail?PublicationID=P20200717088")</f>
        <v>https://www.airitibooks.com/Detail/Detail?PublicationID=P20200717088</v>
      </c>
      <c r="K469" s="13" t="str">
        <f>HYPERLINK("https://ntsu.idm.oclc.org/login?url=https://www.airitibooks.com/Detail/Detail?PublicationID=P20200717088", "https://ntsu.idm.oclc.org/login?url=https://www.airitibooks.com/Detail/Detail?PublicationID=P20200717088")</f>
        <v>https://ntsu.idm.oclc.org/login?url=https://www.airitibooks.com/Detail/Detail?PublicationID=P20200717088</v>
      </c>
    </row>
    <row r="470" spans="1:11" ht="51" x14ac:dyDescent="0.4">
      <c r="A470" s="10" t="s">
        <v>14491</v>
      </c>
      <c r="B470" s="10" t="s">
        <v>14492</v>
      </c>
      <c r="C470" s="10" t="s">
        <v>1504</v>
      </c>
      <c r="D470" s="10" t="s">
        <v>6848</v>
      </c>
      <c r="E470" s="10" t="s">
        <v>5998</v>
      </c>
      <c r="F470" s="10" t="s">
        <v>575</v>
      </c>
      <c r="G470" s="10" t="s">
        <v>32</v>
      </c>
      <c r="H470" s="7" t="s">
        <v>24</v>
      </c>
      <c r="I470" s="7" t="s">
        <v>25</v>
      </c>
      <c r="J470" s="13" t="str">
        <f>HYPERLINK("https://www.airitibooks.com/Detail/Detail?PublicationID=P20200717089", "https://www.airitibooks.com/Detail/Detail?PublicationID=P20200717089")</f>
        <v>https://www.airitibooks.com/Detail/Detail?PublicationID=P20200717089</v>
      </c>
      <c r="K470" s="13" t="str">
        <f>HYPERLINK("https://ntsu.idm.oclc.org/login?url=https://www.airitibooks.com/Detail/Detail?PublicationID=P20200717089", "https://ntsu.idm.oclc.org/login?url=https://www.airitibooks.com/Detail/Detail?PublicationID=P20200717089")</f>
        <v>https://ntsu.idm.oclc.org/login?url=https://www.airitibooks.com/Detail/Detail?PublicationID=P20200717089</v>
      </c>
    </row>
    <row r="471" spans="1:11" ht="51" x14ac:dyDescent="0.4">
      <c r="A471" s="10" t="s">
        <v>14517</v>
      </c>
      <c r="B471" s="10" t="s">
        <v>14518</v>
      </c>
      <c r="C471" s="10" t="s">
        <v>2616</v>
      </c>
      <c r="D471" s="10" t="s">
        <v>14519</v>
      </c>
      <c r="E471" s="10" t="s">
        <v>5998</v>
      </c>
      <c r="F471" s="10" t="s">
        <v>14520</v>
      </c>
      <c r="G471" s="10" t="s">
        <v>32</v>
      </c>
      <c r="H471" s="7" t="s">
        <v>24</v>
      </c>
      <c r="I471" s="7" t="s">
        <v>25</v>
      </c>
      <c r="J471" s="13" t="str">
        <f>HYPERLINK("https://www.airitibooks.com/Detail/Detail?PublicationID=P20200728002", "https://www.airitibooks.com/Detail/Detail?PublicationID=P20200728002")</f>
        <v>https://www.airitibooks.com/Detail/Detail?PublicationID=P20200728002</v>
      </c>
      <c r="K471" s="13" t="str">
        <f>HYPERLINK("https://ntsu.idm.oclc.org/login?url=https://www.airitibooks.com/Detail/Detail?PublicationID=P20200728002", "https://ntsu.idm.oclc.org/login?url=https://www.airitibooks.com/Detail/Detail?PublicationID=P20200728002")</f>
        <v>https://ntsu.idm.oclc.org/login?url=https://www.airitibooks.com/Detail/Detail?PublicationID=P20200728002</v>
      </c>
    </row>
    <row r="472" spans="1:11" ht="51" x14ac:dyDescent="0.4">
      <c r="A472" s="10" t="s">
        <v>14521</v>
      </c>
      <c r="B472" s="10" t="s">
        <v>14522</v>
      </c>
      <c r="C472" s="10" t="s">
        <v>3705</v>
      </c>
      <c r="D472" s="10" t="s">
        <v>14523</v>
      </c>
      <c r="E472" s="10" t="s">
        <v>5998</v>
      </c>
      <c r="F472" s="10" t="s">
        <v>5088</v>
      </c>
      <c r="G472" s="10" t="s">
        <v>32</v>
      </c>
      <c r="H472" s="7" t="s">
        <v>24</v>
      </c>
      <c r="I472" s="7" t="s">
        <v>25</v>
      </c>
      <c r="J472" s="13" t="str">
        <f>HYPERLINK("https://www.airitibooks.com/Detail/Detail?PublicationID=P20200728003", "https://www.airitibooks.com/Detail/Detail?PublicationID=P20200728003")</f>
        <v>https://www.airitibooks.com/Detail/Detail?PublicationID=P20200728003</v>
      </c>
      <c r="K472" s="13" t="str">
        <f>HYPERLINK("https://ntsu.idm.oclc.org/login?url=https://www.airitibooks.com/Detail/Detail?PublicationID=P20200728003", "https://ntsu.idm.oclc.org/login?url=https://www.airitibooks.com/Detail/Detail?PublicationID=P20200728003")</f>
        <v>https://ntsu.idm.oclc.org/login?url=https://www.airitibooks.com/Detail/Detail?PublicationID=P20200728003</v>
      </c>
    </row>
    <row r="473" spans="1:11" ht="51" x14ac:dyDescent="0.4">
      <c r="A473" s="10" t="s">
        <v>14536</v>
      </c>
      <c r="B473" s="10" t="s">
        <v>14537</v>
      </c>
      <c r="C473" s="10" t="s">
        <v>1034</v>
      </c>
      <c r="D473" s="10" t="s">
        <v>14538</v>
      </c>
      <c r="E473" s="10" t="s">
        <v>5998</v>
      </c>
      <c r="F473" s="10" t="s">
        <v>181</v>
      </c>
      <c r="G473" s="10" t="s">
        <v>32</v>
      </c>
      <c r="H473" s="7" t="s">
        <v>24</v>
      </c>
      <c r="I473" s="7" t="s">
        <v>25</v>
      </c>
      <c r="J473" s="13" t="str">
        <f>HYPERLINK("https://www.airitibooks.com/Detail/Detail?PublicationID=P20200730062", "https://www.airitibooks.com/Detail/Detail?PublicationID=P20200730062")</f>
        <v>https://www.airitibooks.com/Detail/Detail?PublicationID=P20200730062</v>
      </c>
      <c r="K473" s="13" t="str">
        <f>HYPERLINK("https://ntsu.idm.oclc.org/login?url=https://www.airitibooks.com/Detail/Detail?PublicationID=P20200730062", "https://ntsu.idm.oclc.org/login?url=https://www.airitibooks.com/Detail/Detail?PublicationID=P20200730062")</f>
        <v>https://ntsu.idm.oclc.org/login?url=https://www.airitibooks.com/Detail/Detail?PublicationID=P20200730062</v>
      </c>
    </row>
    <row r="474" spans="1:11" ht="51" x14ac:dyDescent="0.4">
      <c r="A474" s="10" t="s">
        <v>14542</v>
      </c>
      <c r="B474" s="10" t="s">
        <v>14543</v>
      </c>
      <c r="C474" s="10" t="s">
        <v>11037</v>
      </c>
      <c r="D474" s="10" t="s">
        <v>14544</v>
      </c>
      <c r="E474" s="10" t="s">
        <v>5998</v>
      </c>
      <c r="F474" s="10" t="s">
        <v>14545</v>
      </c>
      <c r="G474" s="10" t="s">
        <v>32</v>
      </c>
      <c r="H474" s="7" t="s">
        <v>1031</v>
      </c>
      <c r="I474" s="7" t="s">
        <v>25</v>
      </c>
      <c r="J474" s="13" t="str">
        <f>HYPERLINK("https://www.airitibooks.com/Detail/Detail?PublicationID=P20200730124", "https://www.airitibooks.com/Detail/Detail?PublicationID=P20200730124")</f>
        <v>https://www.airitibooks.com/Detail/Detail?PublicationID=P20200730124</v>
      </c>
      <c r="K474" s="13" t="str">
        <f>HYPERLINK("https://ntsu.idm.oclc.org/login?url=https://www.airitibooks.com/Detail/Detail?PublicationID=P20200730124", "https://ntsu.idm.oclc.org/login?url=https://www.airitibooks.com/Detail/Detail?PublicationID=P20200730124")</f>
        <v>https://ntsu.idm.oclc.org/login?url=https://www.airitibooks.com/Detail/Detail?PublicationID=P20200730124</v>
      </c>
    </row>
    <row r="475" spans="1:11" ht="51" x14ac:dyDescent="0.4">
      <c r="A475" s="10" t="s">
        <v>14562</v>
      </c>
      <c r="B475" s="10" t="s">
        <v>14563</v>
      </c>
      <c r="C475" s="10" t="s">
        <v>462</v>
      </c>
      <c r="D475" s="10" t="s">
        <v>14564</v>
      </c>
      <c r="E475" s="10" t="s">
        <v>5998</v>
      </c>
      <c r="F475" s="10" t="s">
        <v>14565</v>
      </c>
      <c r="G475" s="10" t="s">
        <v>32</v>
      </c>
      <c r="H475" s="7" t="s">
        <v>24</v>
      </c>
      <c r="I475" s="7" t="s">
        <v>25</v>
      </c>
      <c r="J475" s="13" t="str">
        <f>HYPERLINK("https://www.airitibooks.com/Detail/Detail?PublicationID=P20200807047", "https://www.airitibooks.com/Detail/Detail?PublicationID=P20200807047")</f>
        <v>https://www.airitibooks.com/Detail/Detail?PublicationID=P20200807047</v>
      </c>
      <c r="K475" s="13" t="str">
        <f>HYPERLINK("https://ntsu.idm.oclc.org/login?url=https://www.airitibooks.com/Detail/Detail?PublicationID=P20200807047", "https://ntsu.idm.oclc.org/login?url=https://www.airitibooks.com/Detail/Detail?PublicationID=P20200807047")</f>
        <v>https://ntsu.idm.oclc.org/login?url=https://www.airitibooks.com/Detail/Detail?PublicationID=P20200807047</v>
      </c>
    </row>
    <row r="476" spans="1:11" ht="85" x14ac:dyDescent="0.4">
      <c r="A476" s="10" t="s">
        <v>14580</v>
      </c>
      <c r="B476" s="10" t="s">
        <v>14581</v>
      </c>
      <c r="C476" s="10" t="s">
        <v>12154</v>
      </c>
      <c r="D476" s="10" t="s">
        <v>14582</v>
      </c>
      <c r="E476" s="10" t="s">
        <v>5998</v>
      </c>
      <c r="F476" s="10" t="s">
        <v>274</v>
      </c>
      <c r="G476" s="10" t="s">
        <v>32</v>
      </c>
      <c r="H476" s="7" t="s">
        <v>24</v>
      </c>
      <c r="I476" s="7" t="s">
        <v>25</v>
      </c>
      <c r="J476" s="13" t="str">
        <f>HYPERLINK("https://www.airitibooks.com/Detail/Detail?PublicationID=P20200813083", "https://www.airitibooks.com/Detail/Detail?PublicationID=P20200813083")</f>
        <v>https://www.airitibooks.com/Detail/Detail?PublicationID=P20200813083</v>
      </c>
      <c r="K476" s="13" t="str">
        <f>HYPERLINK("https://ntsu.idm.oclc.org/login?url=https://www.airitibooks.com/Detail/Detail?PublicationID=P20200813083", "https://ntsu.idm.oclc.org/login?url=https://www.airitibooks.com/Detail/Detail?PublicationID=P20200813083")</f>
        <v>https://ntsu.idm.oclc.org/login?url=https://www.airitibooks.com/Detail/Detail?PublicationID=P20200813083</v>
      </c>
    </row>
    <row r="477" spans="1:11" ht="51" x14ac:dyDescent="0.4">
      <c r="A477" s="10" t="s">
        <v>14589</v>
      </c>
      <c r="B477" s="10" t="s">
        <v>14590</v>
      </c>
      <c r="C477" s="10" t="s">
        <v>11037</v>
      </c>
      <c r="D477" s="10" t="s">
        <v>14591</v>
      </c>
      <c r="E477" s="10" t="s">
        <v>5998</v>
      </c>
      <c r="F477" s="10" t="s">
        <v>2937</v>
      </c>
      <c r="G477" s="10" t="s">
        <v>32</v>
      </c>
      <c r="H477" s="7" t="s">
        <v>1031</v>
      </c>
      <c r="I477" s="7" t="s">
        <v>25</v>
      </c>
      <c r="J477" s="13" t="str">
        <f>HYPERLINK("https://www.airitibooks.com/Detail/Detail?PublicationID=P20200813184", "https://www.airitibooks.com/Detail/Detail?PublicationID=P20200813184")</f>
        <v>https://www.airitibooks.com/Detail/Detail?PublicationID=P20200813184</v>
      </c>
      <c r="K477" s="13" t="str">
        <f>HYPERLINK("https://ntsu.idm.oclc.org/login?url=https://www.airitibooks.com/Detail/Detail?PublicationID=P20200813184", "https://ntsu.idm.oclc.org/login?url=https://www.airitibooks.com/Detail/Detail?PublicationID=P20200813184")</f>
        <v>https://ntsu.idm.oclc.org/login?url=https://www.airitibooks.com/Detail/Detail?PublicationID=P20200813184</v>
      </c>
    </row>
    <row r="478" spans="1:11" ht="51" x14ac:dyDescent="0.4">
      <c r="A478" s="10" t="s">
        <v>14592</v>
      </c>
      <c r="B478" s="10" t="s">
        <v>14593</v>
      </c>
      <c r="C478" s="10" t="s">
        <v>11037</v>
      </c>
      <c r="D478" s="10" t="s">
        <v>14594</v>
      </c>
      <c r="E478" s="10" t="s">
        <v>5998</v>
      </c>
      <c r="F478" s="10" t="s">
        <v>2870</v>
      </c>
      <c r="G478" s="10" t="s">
        <v>32</v>
      </c>
      <c r="H478" s="7" t="s">
        <v>1031</v>
      </c>
      <c r="I478" s="7" t="s">
        <v>25</v>
      </c>
      <c r="J478" s="13" t="str">
        <f>HYPERLINK("https://www.airitibooks.com/Detail/Detail?PublicationID=P20200813194", "https://www.airitibooks.com/Detail/Detail?PublicationID=P20200813194")</f>
        <v>https://www.airitibooks.com/Detail/Detail?PublicationID=P20200813194</v>
      </c>
      <c r="K478" s="13" t="str">
        <f>HYPERLINK("https://ntsu.idm.oclc.org/login?url=https://www.airitibooks.com/Detail/Detail?PublicationID=P20200813194", "https://ntsu.idm.oclc.org/login?url=https://www.airitibooks.com/Detail/Detail?PublicationID=P20200813194")</f>
        <v>https://ntsu.idm.oclc.org/login?url=https://www.airitibooks.com/Detail/Detail?PublicationID=P20200813194</v>
      </c>
    </row>
    <row r="479" spans="1:11" ht="51" x14ac:dyDescent="0.4">
      <c r="A479" s="10" t="s">
        <v>14595</v>
      </c>
      <c r="B479" s="10" t="s">
        <v>14596</v>
      </c>
      <c r="C479" s="10" t="s">
        <v>11037</v>
      </c>
      <c r="D479" s="10" t="s">
        <v>14597</v>
      </c>
      <c r="E479" s="10" t="s">
        <v>5998</v>
      </c>
      <c r="F479" s="10" t="s">
        <v>2937</v>
      </c>
      <c r="G479" s="10" t="s">
        <v>32</v>
      </c>
      <c r="H479" s="7" t="s">
        <v>1031</v>
      </c>
      <c r="I479" s="7" t="s">
        <v>25</v>
      </c>
      <c r="J479" s="13" t="str">
        <f>HYPERLINK("https://www.airitibooks.com/Detail/Detail?PublicationID=P20200813195", "https://www.airitibooks.com/Detail/Detail?PublicationID=P20200813195")</f>
        <v>https://www.airitibooks.com/Detail/Detail?PublicationID=P20200813195</v>
      </c>
      <c r="K479" s="13" t="str">
        <f>HYPERLINK("https://ntsu.idm.oclc.org/login?url=https://www.airitibooks.com/Detail/Detail?PublicationID=P20200813195", "https://ntsu.idm.oclc.org/login?url=https://www.airitibooks.com/Detail/Detail?PublicationID=P20200813195")</f>
        <v>https://ntsu.idm.oclc.org/login?url=https://www.airitibooks.com/Detail/Detail?PublicationID=P20200813195</v>
      </c>
    </row>
    <row r="480" spans="1:11" ht="68" x14ac:dyDescent="0.4">
      <c r="A480" s="10" t="s">
        <v>14613</v>
      </c>
      <c r="B480" s="10" t="s">
        <v>14614</v>
      </c>
      <c r="C480" s="10" t="s">
        <v>14615</v>
      </c>
      <c r="D480" s="10" t="s">
        <v>14616</v>
      </c>
      <c r="E480" s="10" t="s">
        <v>5998</v>
      </c>
      <c r="F480" s="10" t="s">
        <v>14617</v>
      </c>
      <c r="G480" s="10" t="s">
        <v>32</v>
      </c>
      <c r="H480" s="7" t="s">
        <v>24</v>
      </c>
      <c r="I480" s="7" t="s">
        <v>25</v>
      </c>
      <c r="J480" s="13" t="str">
        <f>HYPERLINK("https://www.airitibooks.com/Detail/Detail?PublicationID=P20200820022", "https://www.airitibooks.com/Detail/Detail?PublicationID=P20200820022")</f>
        <v>https://www.airitibooks.com/Detail/Detail?PublicationID=P20200820022</v>
      </c>
      <c r="K480" s="13" t="str">
        <f>HYPERLINK("https://ntsu.idm.oclc.org/login?url=https://www.airitibooks.com/Detail/Detail?PublicationID=P20200820022", "https://ntsu.idm.oclc.org/login?url=https://www.airitibooks.com/Detail/Detail?PublicationID=P20200820022")</f>
        <v>https://ntsu.idm.oclc.org/login?url=https://www.airitibooks.com/Detail/Detail?PublicationID=P20200820022</v>
      </c>
    </row>
    <row r="481" spans="1:11" ht="68" x14ac:dyDescent="0.4">
      <c r="A481" s="10" t="s">
        <v>14618</v>
      </c>
      <c r="B481" s="10" t="s">
        <v>14619</v>
      </c>
      <c r="C481" s="10" t="s">
        <v>14615</v>
      </c>
      <c r="D481" s="10" t="s">
        <v>14620</v>
      </c>
      <c r="E481" s="10" t="s">
        <v>5998</v>
      </c>
      <c r="F481" s="10" t="s">
        <v>14617</v>
      </c>
      <c r="G481" s="10" t="s">
        <v>32</v>
      </c>
      <c r="H481" s="7" t="s">
        <v>24</v>
      </c>
      <c r="I481" s="7" t="s">
        <v>25</v>
      </c>
      <c r="J481" s="13" t="str">
        <f>HYPERLINK("https://www.airitibooks.com/Detail/Detail?PublicationID=P20200820025", "https://www.airitibooks.com/Detail/Detail?PublicationID=P20200820025")</f>
        <v>https://www.airitibooks.com/Detail/Detail?PublicationID=P20200820025</v>
      </c>
      <c r="K481" s="13" t="str">
        <f>HYPERLINK("https://ntsu.idm.oclc.org/login?url=https://www.airitibooks.com/Detail/Detail?PublicationID=P20200820025", "https://ntsu.idm.oclc.org/login?url=https://www.airitibooks.com/Detail/Detail?PublicationID=P20200820025")</f>
        <v>https://ntsu.idm.oclc.org/login?url=https://www.airitibooks.com/Detail/Detail?PublicationID=P20200820025</v>
      </c>
    </row>
    <row r="482" spans="1:11" ht="68" x14ac:dyDescent="0.4">
      <c r="A482" s="10" t="s">
        <v>14621</v>
      </c>
      <c r="B482" s="10" t="s">
        <v>14622</v>
      </c>
      <c r="C482" s="10" t="s">
        <v>14615</v>
      </c>
      <c r="D482" s="10" t="s">
        <v>14623</v>
      </c>
      <c r="E482" s="10" t="s">
        <v>5998</v>
      </c>
      <c r="F482" s="10" t="s">
        <v>14617</v>
      </c>
      <c r="G482" s="10" t="s">
        <v>32</v>
      </c>
      <c r="H482" s="7" t="s">
        <v>24</v>
      </c>
      <c r="I482" s="7" t="s">
        <v>25</v>
      </c>
      <c r="J482" s="13" t="str">
        <f>HYPERLINK("https://www.airitibooks.com/Detail/Detail?PublicationID=P20200820030", "https://www.airitibooks.com/Detail/Detail?PublicationID=P20200820030")</f>
        <v>https://www.airitibooks.com/Detail/Detail?PublicationID=P20200820030</v>
      </c>
      <c r="K482" s="13" t="str">
        <f>HYPERLINK("https://ntsu.idm.oclc.org/login?url=https://www.airitibooks.com/Detail/Detail?PublicationID=P20200820030", "https://ntsu.idm.oclc.org/login?url=https://www.airitibooks.com/Detail/Detail?PublicationID=P20200820030")</f>
        <v>https://ntsu.idm.oclc.org/login?url=https://www.airitibooks.com/Detail/Detail?PublicationID=P20200820030</v>
      </c>
    </row>
    <row r="483" spans="1:11" ht="51" x14ac:dyDescent="0.4">
      <c r="A483" s="10" t="s">
        <v>14630</v>
      </c>
      <c r="B483" s="10" t="s">
        <v>14631</v>
      </c>
      <c r="C483" s="10" t="s">
        <v>11037</v>
      </c>
      <c r="D483" s="10" t="s">
        <v>14632</v>
      </c>
      <c r="E483" s="10" t="s">
        <v>5998</v>
      </c>
      <c r="F483" s="10" t="s">
        <v>2870</v>
      </c>
      <c r="G483" s="10" t="s">
        <v>32</v>
      </c>
      <c r="H483" s="7" t="s">
        <v>1031</v>
      </c>
      <c r="I483" s="7" t="s">
        <v>25</v>
      </c>
      <c r="J483" s="13" t="str">
        <f>HYPERLINK("https://www.airitibooks.com/Detail/Detail?PublicationID=P20200820232", "https://www.airitibooks.com/Detail/Detail?PublicationID=P20200820232")</f>
        <v>https://www.airitibooks.com/Detail/Detail?PublicationID=P20200820232</v>
      </c>
      <c r="K483" s="13" t="str">
        <f>HYPERLINK("https://ntsu.idm.oclc.org/login?url=https://www.airitibooks.com/Detail/Detail?PublicationID=P20200820232", "https://ntsu.idm.oclc.org/login?url=https://www.airitibooks.com/Detail/Detail?PublicationID=P20200820232")</f>
        <v>https://ntsu.idm.oclc.org/login?url=https://www.airitibooks.com/Detail/Detail?PublicationID=P20200820232</v>
      </c>
    </row>
    <row r="484" spans="1:11" ht="68" x14ac:dyDescent="0.4">
      <c r="A484" s="10" t="s">
        <v>14657</v>
      </c>
      <c r="B484" s="10" t="s">
        <v>14658</v>
      </c>
      <c r="C484" s="10" t="s">
        <v>11037</v>
      </c>
      <c r="D484" s="10" t="s">
        <v>14659</v>
      </c>
      <c r="E484" s="10" t="s">
        <v>5998</v>
      </c>
      <c r="F484" s="10" t="s">
        <v>2870</v>
      </c>
      <c r="G484" s="10" t="s">
        <v>32</v>
      </c>
      <c r="H484" s="7" t="s">
        <v>1031</v>
      </c>
      <c r="I484" s="7" t="s">
        <v>25</v>
      </c>
      <c r="J484" s="13" t="str">
        <f>HYPERLINK("https://www.airitibooks.com/Detail/Detail?PublicationID=P20200828184", "https://www.airitibooks.com/Detail/Detail?PublicationID=P20200828184")</f>
        <v>https://www.airitibooks.com/Detail/Detail?PublicationID=P20200828184</v>
      </c>
      <c r="K484" s="13" t="str">
        <f>HYPERLINK("https://ntsu.idm.oclc.org/login?url=https://www.airitibooks.com/Detail/Detail?PublicationID=P20200828184", "https://ntsu.idm.oclc.org/login?url=https://www.airitibooks.com/Detail/Detail?PublicationID=P20200828184")</f>
        <v>https://ntsu.idm.oclc.org/login?url=https://www.airitibooks.com/Detail/Detail?PublicationID=P20200828184</v>
      </c>
    </row>
    <row r="485" spans="1:11" ht="51" x14ac:dyDescent="0.4">
      <c r="A485" s="10" t="s">
        <v>14746</v>
      </c>
      <c r="B485" s="10" t="s">
        <v>14747</v>
      </c>
      <c r="C485" s="10" t="s">
        <v>3705</v>
      </c>
      <c r="D485" s="10" t="s">
        <v>14748</v>
      </c>
      <c r="E485" s="10" t="s">
        <v>5998</v>
      </c>
      <c r="F485" s="10" t="s">
        <v>14749</v>
      </c>
      <c r="G485" s="10" t="s">
        <v>32</v>
      </c>
      <c r="H485" s="7" t="s">
        <v>24</v>
      </c>
      <c r="I485" s="7" t="s">
        <v>25</v>
      </c>
      <c r="J485" s="13" t="str">
        <f>HYPERLINK("https://www.airitibooks.com/Detail/Detail?PublicationID=P20201005049", "https://www.airitibooks.com/Detail/Detail?PublicationID=P20201005049")</f>
        <v>https://www.airitibooks.com/Detail/Detail?PublicationID=P20201005049</v>
      </c>
      <c r="K485" s="13" t="str">
        <f>HYPERLINK("https://ntsu.idm.oclc.org/login?url=https://www.airitibooks.com/Detail/Detail?PublicationID=P20201005049", "https://ntsu.idm.oclc.org/login?url=https://www.airitibooks.com/Detail/Detail?PublicationID=P20201005049")</f>
        <v>https://ntsu.idm.oclc.org/login?url=https://www.airitibooks.com/Detail/Detail?PublicationID=P20201005049</v>
      </c>
    </row>
    <row r="486" spans="1:11" ht="51" x14ac:dyDescent="0.4">
      <c r="A486" s="10" t="s">
        <v>14761</v>
      </c>
      <c r="B486" s="10" t="s">
        <v>14762</v>
      </c>
      <c r="C486" s="10" t="s">
        <v>11995</v>
      </c>
      <c r="D486" s="10" t="s">
        <v>14763</v>
      </c>
      <c r="E486" s="10" t="s">
        <v>5998</v>
      </c>
      <c r="F486" s="10" t="s">
        <v>575</v>
      </c>
      <c r="G486" s="10" t="s">
        <v>32</v>
      </c>
      <c r="H486" s="7" t="s">
        <v>24</v>
      </c>
      <c r="I486" s="7" t="s">
        <v>25</v>
      </c>
      <c r="J486" s="13" t="str">
        <f>HYPERLINK("https://www.airitibooks.com/Detail/Detail?PublicationID=P20201005065", "https://www.airitibooks.com/Detail/Detail?PublicationID=P20201005065")</f>
        <v>https://www.airitibooks.com/Detail/Detail?PublicationID=P20201005065</v>
      </c>
      <c r="K486" s="13" t="str">
        <f>HYPERLINK("https://ntsu.idm.oclc.org/login?url=https://www.airitibooks.com/Detail/Detail?PublicationID=P20201005065", "https://ntsu.idm.oclc.org/login?url=https://www.airitibooks.com/Detail/Detail?PublicationID=P20201005065")</f>
        <v>https://ntsu.idm.oclc.org/login?url=https://www.airitibooks.com/Detail/Detail?PublicationID=P20201005065</v>
      </c>
    </row>
    <row r="487" spans="1:11" ht="51" x14ac:dyDescent="0.4">
      <c r="A487" s="10" t="s">
        <v>14768</v>
      </c>
      <c r="B487" s="10" t="s">
        <v>14769</v>
      </c>
      <c r="C487" s="10" t="s">
        <v>14755</v>
      </c>
      <c r="D487" s="10" t="s">
        <v>14770</v>
      </c>
      <c r="E487" s="10" t="s">
        <v>5998</v>
      </c>
      <c r="F487" s="10" t="s">
        <v>14283</v>
      </c>
      <c r="G487" s="10" t="s">
        <v>32</v>
      </c>
      <c r="H487" s="7" t="s">
        <v>24</v>
      </c>
      <c r="I487" s="7" t="s">
        <v>25</v>
      </c>
      <c r="J487" s="13" t="str">
        <f>HYPERLINK("https://www.airitibooks.com/Detail/Detail?PublicationID=P20201005068", "https://www.airitibooks.com/Detail/Detail?PublicationID=P20201005068")</f>
        <v>https://www.airitibooks.com/Detail/Detail?PublicationID=P20201005068</v>
      </c>
      <c r="K487" s="13" t="str">
        <f>HYPERLINK("https://ntsu.idm.oclc.org/login?url=https://www.airitibooks.com/Detail/Detail?PublicationID=P20201005068", "https://ntsu.idm.oclc.org/login?url=https://www.airitibooks.com/Detail/Detail?PublicationID=P20201005068")</f>
        <v>https://ntsu.idm.oclc.org/login?url=https://www.airitibooks.com/Detail/Detail?PublicationID=P20201005068</v>
      </c>
    </row>
    <row r="488" spans="1:11" ht="51" x14ac:dyDescent="0.4">
      <c r="A488" s="10" t="s">
        <v>14821</v>
      </c>
      <c r="B488" s="10" t="s">
        <v>14822</v>
      </c>
      <c r="C488" s="10" t="s">
        <v>938</v>
      </c>
      <c r="D488" s="10" t="s">
        <v>14823</v>
      </c>
      <c r="E488" s="10" t="s">
        <v>5998</v>
      </c>
      <c r="F488" s="10" t="s">
        <v>4038</v>
      </c>
      <c r="G488" s="10" t="s">
        <v>32</v>
      </c>
      <c r="H488" s="7" t="s">
        <v>24</v>
      </c>
      <c r="I488" s="7" t="s">
        <v>25</v>
      </c>
      <c r="J488" s="13" t="str">
        <f>HYPERLINK("https://www.airitibooks.com/Detail/Detail?PublicationID=P20201105013", "https://www.airitibooks.com/Detail/Detail?PublicationID=P20201105013")</f>
        <v>https://www.airitibooks.com/Detail/Detail?PublicationID=P20201105013</v>
      </c>
      <c r="K488" s="13" t="str">
        <f>HYPERLINK("https://ntsu.idm.oclc.org/login?url=https://www.airitibooks.com/Detail/Detail?PublicationID=P20201105013", "https://ntsu.idm.oclc.org/login?url=https://www.airitibooks.com/Detail/Detail?PublicationID=P20201105013")</f>
        <v>https://ntsu.idm.oclc.org/login?url=https://www.airitibooks.com/Detail/Detail?PublicationID=P20201105013</v>
      </c>
    </row>
    <row r="489" spans="1:11" ht="51" x14ac:dyDescent="0.4">
      <c r="A489" s="10" t="s">
        <v>14840</v>
      </c>
      <c r="B489" s="10" t="s">
        <v>14841</v>
      </c>
      <c r="C489" s="10" t="s">
        <v>130</v>
      </c>
      <c r="D489" s="10" t="s">
        <v>14842</v>
      </c>
      <c r="E489" s="10" t="s">
        <v>5998</v>
      </c>
      <c r="F489" s="10" t="s">
        <v>181</v>
      </c>
      <c r="G489" s="10" t="s">
        <v>32</v>
      </c>
      <c r="H489" s="7" t="s">
        <v>24</v>
      </c>
      <c r="I489" s="7" t="s">
        <v>25</v>
      </c>
      <c r="J489" s="13" t="str">
        <f>HYPERLINK("https://www.airitibooks.com/Detail/Detail?PublicationID=P20201105025", "https://www.airitibooks.com/Detail/Detail?PublicationID=P20201105025")</f>
        <v>https://www.airitibooks.com/Detail/Detail?PublicationID=P20201105025</v>
      </c>
      <c r="K489" s="13" t="str">
        <f>HYPERLINK("https://ntsu.idm.oclc.org/login?url=https://www.airitibooks.com/Detail/Detail?PublicationID=P20201105025", "https://ntsu.idm.oclc.org/login?url=https://www.airitibooks.com/Detail/Detail?PublicationID=P20201105025")</f>
        <v>https://ntsu.idm.oclc.org/login?url=https://www.airitibooks.com/Detail/Detail?PublicationID=P20201105025</v>
      </c>
    </row>
    <row r="490" spans="1:11" ht="51" x14ac:dyDescent="0.4">
      <c r="A490" s="10" t="s">
        <v>14847</v>
      </c>
      <c r="B490" s="10" t="s">
        <v>14848</v>
      </c>
      <c r="C490" s="10" t="s">
        <v>1034</v>
      </c>
      <c r="D490" s="10" t="s">
        <v>14849</v>
      </c>
      <c r="E490" s="10" t="s">
        <v>5998</v>
      </c>
      <c r="F490" s="10" t="s">
        <v>14850</v>
      </c>
      <c r="G490" s="10" t="s">
        <v>32</v>
      </c>
      <c r="H490" s="7" t="s">
        <v>24</v>
      </c>
      <c r="I490" s="7" t="s">
        <v>25</v>
      </c>
      <c r="J490" s="13" t="str">
        <f>HYPERLINK("https://www.airitibooks.com/Detail/Detail?PublicationID=P20201105046", "https://www.airitibooks.com/Detail/Detail?PublicationID=P20201105046")</f>
        <v>https://www.airitibooks.com/Detail/Detail?PublicationID=P20201105046</v>
      </c>
      <c r="K490" s="13" t="str">
        <f>HYPERLINK("https://ntsu.idm.oclc.org/login?url=https://www.airitibooks.com/Detail/Detail?PublicationID=P20201105046", "https://ntsu.idm.oclc.org/login?url=https://www.airitibooks.com/Detail/Detail?PublicationID=P20201105046")</f>
        <v>https://ntsu.idm.oclc.org/login?url=https://www.airitibooks.com/Detail/Detail?PublicationID=P20201105046</v>
      </c>
    </row>
    <row r="491" spans="1:11" ht="51" x14ac:dyDescent="0.4">
      <c r="A491" s="10" t="s">
        <v>10565</v>
      </c>
      <c r="B491" s="10" t="s">
        <v>14851</v>
      </c>
      <c r="C491" s="10" t="s">
        <v>1034</v>
      </c>
      <c r="D491" s="10" t="s">
        <v>10567</v>
      </c>
      <c r="E491" s="10" t="s">
        <v>5998</v>
      </c>
      <c r="F491" s="10" t="s">
        <v>8419</v>
      </c>
      <c r="G491" s="10" t="s">
        <v>32</v>
      </c>
      <c r="H491" s="7" t="s">
        <v>24</v>
      </c>
      <c r="I491" s="7" t="s">
        <v>25</v>
      </c>
      <c r="J491" s="13" t="str">
        <f>HYPERLINK("https://www.airitibooks.com/Detail/Detail?PublicationID=P20201105076", "https://www.airitibooks.com/Detail/Detail?PublicationID=P20201105076")</f>
        <v>https://www.airitibooks.com/Detail/Detail?PublicationID=P20201105076</v>
      </c>
      <c r="K491" s="13" t="str">
        <f>HYPERLINK("https://ntsu.idm.oclc.org/login?url=https://www.airitibooks.com/Detail/Detail?PublicationID=P20201105076", "https://ntsu.idm.oclc.org/login?url=https://www.airitibooks.com/Detail/Detail?PublicationID=P20201105076")</f>
        <v>https://ntsu.idm.oclc.org/login?url=https://www.airitibooks.com/Detail/Detail?PublicationID=P20201105076</v>
      </c>
    </row>
    <row r="492" spans="1:11" ht="51" x14ac:dyDescent="0.4">
      <c r="A492" s="10" t="s">
        <v>14861</v>
      </c>
      <c r="B492" s="10" t="s">
        <v>14862</v>
      </c>
      <c r="C492" s="10" t="s">
        <v>938</v>
      </c>
      <c r="D492" s="10" t="s">
        <v>4037</v>
      </c>
      <c r="E492" s="10" t="s">
        <v>5998</v>
      </c>
      <c r="F492" s="10" t="s">
        <v>14863</v>
      </c>
      <c r="G492" s="10" t="s">
        <v>32</v>
      </c>
      <c r="H492" s="7" t="s">
        <v>24</v>
      </c>
      <c r="I492" s="7" t="s">
        <v>25</v>
      </c>
      <c r="J492" s="13" t="str">
        <f>HYPERLINK("https://www.airitibooks.com/Detail/Detail?PublicationID=P20201116005", "https://www.airitibooks.com/Detail/Detail?PublicationID=P20201116005")</f>
        <v>https://www.airitibooks.com/Detail/Detail?PublicationID=P20201116005</v>
      </c>
      <c r="K492" s="13" t="str">
        <f>HYPERLINK("https://ntsu.idm.oclc.org/login?url=https://www.airitibooks.com/Detail/Detail?PublicationID=P20201116005", "https://ntsu.idm.oclc.org/login?url=https://www.airitibooks.com/Detail/Detail?PublicationID=P20201116005")</f>
        <v>https://ntsu.idm.oclc.org/login?url=https://www.airitibooks.com/Detail/Detail?PublicationID=P20201116005</v>
      </c>
    </row>
    <row r="493" spans="1:11" ht="51" x14ac:dyDescent="0.4">
      <c r="A493" s="10" t="s">
        <v>14867</v>
      </c>
      <c r="B493" s="10" t="s">
        <v>14868</v>
      </c>
      <c r="C493" s="10" t="s">
        <v>938</v>
      </c>
      <c r="D493" s="10" t="s">
        <v>14869</v>
      </c>
      <c r="E493" s="10" t="s">
        <v>5998</v>
      </c>
      <c r="F493" s="10" t="s">
        <v>2496</v>
      </c>
      <c r="G493" s="10" t="s">
        <v>32</v>
      </c>
      <c r="H493" s="7" t="s">
        <v>24</v>
      </c>
      <c r="I493" s="7" t="s">
        <v>25</v>
      </c>
      <c r="J493" s="13" t="str">
        <f>HYPERLINK("https://www.airitibooks.com/Detail/Detail?PublicationID=P20201116014", "https://www.airitibooks.com/Detail/Detail?PublicationID=P20201116014")</f>
        <v>https://www.airitibooks.com/Detail/Detail?PublicationID=P20201116014</v>
      </c>
      <c r="K493" s="13" t="str">
        <f>HYPERLINK("https://ntsu.idm.oclc.org/login?url=https://www.airitibooks.com/Detail/Detail?PublicationID=P20201116014", "https://ntsu.idm.oclc.org/login?url=https://www.airitibooks.com/Detail/Detail?PublicationID=P20201116014")</f>
        <v>https://ntsu.idm.oclc.org/login?url=https://www.airitibooks.com/Detail/Detail?PublicationID=P20201116014</v>
      </c>
    </row>
    <row r="494" spans="1:11" ht="51" x14ac:dyDescent="0.4">
      <c r="A494" s="10" t="s">
        <v>14874</v>
      </c>
      <c r="B494" s="10" t="s">
        <v>14875</v>
      </c>
      <c r="C494" s="10" t="s">
        <v>938</v>
      </c>
      <c r="D494" s="10" t="s">
        <v>5374</v>
      </c>
      <c r="E494" s="10" t="s">
        <v>5998</v>
      </c>
      <c r="F494" s="10" t="s">
        <v>5375</v>
      </c>
      <c r="G494" s="10" t="s">
        <v>32</v>
      </c>
      <c r="H494" s="7" t="s">
        <v>24</v>
      </c>
      <c r="I494" s="7" t="s">
        <v>25</v>
      </c>
      <c r="J494" s="13" t="str">
        <f>HYPERLINK("https://www.airitibooks.com/Detail/Detail?PublicationID=P20201116019", "https://www.airitibooks.com/Detail/Detail?PublicationID=P20201116019")</f>
        <v>https://www.airitibooks.com/Detail/Detail?PublicationID=P20201116019</v>
      </c>
      <c r="K494" s="13" t="str">
        <f>HYPERLINK("https://ntsu.idm.oclc.org/login?url=https://www.airitibooks.com/Detail/Detail?PublicationID=P20201116019", "https://ntsu.idm.oclc.org/login?url=https://www.airitibooks.com/Detail/Detail?PublicationID=P20201116019")</f>
        <v>https://ntsu.idm.oclc.org/login?url=https://www.airitibooks.com/Detail/Detail?PublicationID=P20201116019</v>
      </c>
    </row>
    <row r="495" spans="1:11" ht="68" x14ac:dyDescent="0.4">
      <c r="A495" s="10" t="s">
        <v>14906</v>
      </c>
      <c r="B495" s="10" t="s">
        <v>14907</v>
      </c>
      <c r="C495" s="10" t="s">
        <v>791</v>
      </c>
      <c r="D495" s="10" t="s">
        <v>14908</v>
      </c>
      <c r="E495" s="10" t="s">
        <v>5998</v>
      </c>
      <c r="F495" s="10" t="s">
        <v>172</v>
      </c>
      <c r="G495" s="10" t="s">
        <v>32</v>
      </c>
      <c r="H495" s="7" t="s">
        <v>24</v>
      </c>
      <c r="I495" s="7" t="s">
        <v>25</v>
      </c>
      <c r="J495" s="13" t="str">
        <f>HYPERLINK("https://www.airitibooks.com/Detail/Detail?PublicationID=P20201120040", "https://www.airitibooks.com/Detail/Detail?PublicationID=P20201120040")</f>
        <v>https://www.airitibooks.com/Detail/Detail?PublicationID=P20201120040</v>
      </c>
      <c r="K495" s="13" t="str">
        <f>HYPERLINK("https://ntsu.idm.oclc.org/login?url=https://www.airitibooks.com/Detail/Detail?PublicationID=P20201120040", "https://ntsu.idm.oclc.org/login?url=https://www.airitibooks.com/Detail/Detail?PublicationID=P20201120040")</f>
        <v>https://ntsu.idm.oclc.org/login?url=https://www.airitibooks.com/Detail/Detail?PublicationID=P20201120040</v>
      </c>
    </row>
    <row r="496" spans="1:11" ht="51" x14ac:dyDescent="0.4">
      <c r="A496" s="10" t="s">
        <v>14922</v>
      </c>
      <c r="B496" s="10" t="s">
        <v>14923</v>
      </c>
      <c r="C496" s="10" t="s">
        <v>14924</v>
      </c>
      <c r="D496" s="10" t="s">
        <v>14925</v>
      </c>
      <c r="E496" s="10" t="s">
        <v>5998</v>
      </c>
      <c r="F496" s="10" t="s">
        <v>7387</v>
      </c>
      <c r="G496" s="10" t="s">
        <v>32</v>
      </c>
      <c r="H496" s="7" t="s">
        <v>1031</v>
      </c>
      <c r="I496" s="7" t="s">
        <v>25</v>
      </c>
      <c r="J496" s="13" t="str">
        <f>HYPERLINK("https://www.airitibooks.com/Detail/Detail?PublicationID=P20201120086", "https://www.airitibooks.com/Detail/Detail?PublicationID=P20201120086")</f>
        <v>https://www.airitibooks.com/Detail/Detail?PublicationID=P20201120086</v>
      </c>
      <c r="K496" s="13" t="str">
        <f>HYPERLINK("https://ntsu.idm.oclc.org/login?url=https://www.airitibooks.com/Detail/Detail?PublicationID=P20201120086", "https://ntsu.idm.oclc.org/login?url=https://www.airitibooks.com/Detail/Detail?PublicationID=P20201120086")</f>
        <v>https://ntsu.idm.oclc.org/login?url=https://www.airitibooks.com/Detail/Detail?PublicationID=P20201120086</v>
      </c>
    </row>
    <row r="497" spans="1:11" ht="51" x14ac:dyDescent="0.4">
      <c r="A497" s="10" t="s">
        <v>14926</v>
      </c>
      <c r="B497" s="10" t="s">
        <v>14927</v>
      </c>
      <c r="C497" s="10" t="s">
        <v>14924</v>
      </c>
      <c r="D497" s="10" t="s">
        <v>14928</v>
      </c>
      <c r="E497" s="10" t="s">
        <v>5998</v>
      </c>
      <c r="F497" s="10" t="s">
        <v>8260</v>
      </c>
      <c r="G497" s="10" t="s">
        <v>32</v>
      </c>
      <c r="H497" s="7" t="s">
        <v>1031</v>
      </c>
      <c r="I497" s="7" t="s">
        <v>25</v>
      </c>
      <c r="J497" s="13" t="str">
        <f>HYPERLINK("https://www.airitibooks.com/Detail/Detail?PublicationID=P20201120087", "https://www.airitibooks.com/Detail/Detail?PublicationID=P20201120087")</f>
        <v>https://www.airitibooks.com/Detail/Detail?PublicationID=P20201120087</v>
      </c>
      <c r="K497" s="13" t="str">
        <f>HYPERLINK("https://ntsu.idm.oclc.org/login?url=https://www.airitibooks.com/Detail/Detail?PublicationID=P20201120087", "https://ntsu.idm.oclc.org/login?url=https://www.airitibooks.com/Detail/Detail?PublicationID=P20201120087")</f>
        <v>https://ntsu.idm.oclc.org/login?url=https://www.airitibooks.com/Detail/Detail?PublicationID=P20201120087</v>
      </c>
    </row>
    <row r="498" spans="1:11" ht="51" x14ac:dyDescent="0.4">
      <c r="A498" s="10" t="s">
        <v>14929</v>
      </c>
      <c r="B498" s="10" t="s">
        <v>14930</v>
      </c>
      <c r="C498" s="10" t="s">
        <v>14924</v>
      </c>
      <c r="D498" s="10" t="s">
        <v>14931</v>
      </c>
      <c r="E498" s="10" t="s">
        <v>5998</v>
      </c>
      <c r="F498" s="10" t="s">
        <v>8260</v>
      </c>
      <c r="G498" s="10" t="s">
        <v>32</v>
      </c>
      <c r="H498" s="7" t="s">
        <v>1031</v>
      </c>
      <c r="I498" s="7" t="s">
        <v>25</v>
      </c>
      <c r="J498" s="13" t="str">
        <f>HYPERLINK("https://www.airitibooks.com/Detail/Detail?PublicationID=P20201120088", "https://www.airitibooks.com/Detail/Detail?PublicationID=P20201120088")</f>
        <v>https://www.airitibooks.com/Detail/Detail?PublicationID=P20201120088</v>
      </c>
      <c r="K498" s="13" t="str">
        <f>HYPERLINK("https://ntsu.idm.oclc.org/login?url=https://www.airitibooks.com/Detail/Detail?PublicationID=P20201120088", "https://ntsu.idm.oclc.org/login?url=https://www.airitibooks.com/Detail/Detail?PublicationID=P20201120088")</f>
        <v>https://ntsu.idm.oclc.org/login?url=https://www.airitibooks.com/Detail/Detail?PublicationID=P20201120088</v>
      </c>
    </row>
    <row r="499" spans="1:11" ht="51" x14ac:dyDescent="0.4">
      <c r="A499" s="10" t="s">
        <v>14964</v>
      </c>
      <c r="B499" s="10" t="s">
        <v>14965</v>
      </c>
      <c r="C499" s="10" t="s">
        <v>938</v>
      </c>
      <c r="D499" s="10" t="s">
        <v>14966</v>
      </c>
      <c r="E499" s="10" t="s">
        <v>5998</v>
      </c>
      <c r="F499" s="10" t="s">
        <v>1775</v>
      </c>
      <c r="G499" s="10" t="s">
        <v>32</v>
      </c>
      <c r="H499" s="7" t="s">
        <v>24</v>
      </c>
      <c r="I499" s="7" t="s">
        <v>25</v>
      </c>
      <c r="J499" s="13" t="str">
        <f>HYPERLINK("https://www.airitibooks.com/Detail/Detail?PublicationID=P20201127028", "https://www.airitibooks.com/Detail/Detail?PublicationID=P20201127028")</f>
        <v>https://www.airitibooks.com/Detail/Detail?PublicationID=P20201127028</v>
      </c>
      <c r="K499" s="13" t="str">
        <f>HYPERLINK("https://ntsu.idm.oclc.org/login?url=https://www.airitibooks.com/Detail/Detail?PublicationID=P20201127028", "https://ntsu.idm.oclc.org/login?url=https://www.airitibooks.com/Detail/Detail?PublicationID=P20201127028")</f>
        <v>https://ntsu.idm.oclc.org/login?url=https://www.airitibooks.com/Detail/Detail?PublicationID=P20201127028</v>
      </c>
    </row>
    <row r="500" spans="1:11" ht="68" x14ac:dyDescent="0.4">
      <c r="A500" s="10" t="s">
        <v>13778</v>
      </c>
      <c r="B500" s="10" t="s">
        <v>14967</v>
      </c>
      <c r="C500" s="10" t="s">
        <v>938</v>
      </c>
      <c r="D500" s="10" t="s">
        <v>13777</v>
      </c>
      <c r="E500" s="10" t="s">
        <v>5998</v>
      </c>
      <c r="F500" s="10" t="s">
        <v>3901</v>
      </c>
      <c r="G500" s="10" t="s">
        <v>32</v>
      </c>
      <c r="H500" s="7" t="s">
        <v>24</v>
      </c>
      <c r="I500" s="7" t="s">
        <v>25</v>
      </c>
      <c r="J500" s="13" t="str">
        <f>HYPERLINK("https://www.airitibooks.com/Detail/Detail?PublicationID=P20201127039", "https://www.airitibooks.com/Detail/Detail?PublicationID=P20201127039")</f>
        <v>https://www.airitibooks.com/Detail/Detail?PublicationID=P20201127039</v>
      </c>
      <c r="K500" s="13" t="str">
        <f>HYPERLINK("https://ntsu.idm.oclc.org/login?url=https://www.airitibooks.com/Detail/Detail?PublicationID=P20201127039", "https://ntsu.idm.oclc.org/login?url=https://www.airitibooks.com/Detail/Detail?PublicationID=P20201127039")</f>
        <v>https://ntsu.idm.oclc.org/login?url=https://www.airitibooks.com/Detail/Detail?PublicationID=P20201127039</v>
      </c>
    </row>
    <row r="501" spans="1:11" ht="51" x14ac:dyDescent="0.4">
      <c r="A501" s="10" t="s">
        <v>14970</v>
      </c>
      <c r="B501" s="10" t="s">
        <v>14971</v>
      </c>
      <c r="C501" s="10" t="s">
        <v>938</v>
      </c>
      <c r="D501" s="10" t="s">
        <v>14972</v>
      </c>
      <c r="E501" s="10" t="s">
        <v>5998</v>
      </c>
      <c r="F501" s="10" t="s">
        <v>2496</v>
      </c>
      <c r="G501" s="10" t="s">
        <v>32</v>
      </c>
      <c r="H501" s="7" t="s">
        <v>24</v>
      </c>
      <c r="I501" s="7" t="s">
        <v>25</v>
      </c>
      <c r="J501" s="13" t="str">
        <f>HYPERLINK("https://www.airitibooks.com/Detail/Detail?PublicationID=P20201127041", "https://www.airitibooks.com/Detail/Detail?PublicationID=P20201127041")</f>
        <v>https://www.airitibooks.com/Detail/Detail?PublicationID=P20201127041</v>
      </c>
      <c r="K501" s="13" t="str">
        <f>HYPERLINK("https://ntsu.idm.oclc.org/login?url=https://www.airitibooks.com/Detail/Detail?PublicationID=P20201127041", "https://ntsu.idm.oclc.org/login?url=https://www.airitibooks.com/Detail/Detail?PublicationID=P20201127041")</f>
        <v>https://ntsu.idm.oclc.org/login?url=https://www.airitibooks.com/Detail/Detail?PublicationID=P20201127041</v>
      </c>
    </row>
    <row r="502" spans="1:11" ht="51" x14ac:dyDescent="0.4">
      <c r="A502" s="10" t="s">
        <v>15021</v>
      </c>
      <c r="B502" s="10" t="s">
        <v>15022</v>
      </c>
      <c r="C502" s="10" t="s">
        <v>1262</v>
      </c>
      <c r="D502" s="10" t="s">
        <v>15023</v>
      </c>
      <c r="E502" s="10" t="s">
        <v>5998</v>
      </c>
      <c r="F502" s="10" t="s">
        <v>658</v>
      </c>
      <c r="G502" s="10" t="s">
        <v>32</v>
      </c>
      <c r="H502" s="7" t="s">
        <v>24</v>
      </c>
      <c r="I502" s="7" t="s">
        <v>25</v>
      </c>
      <c r="J502" s="13" t="str">
        <f>HYPERLINK("https://www.airitibooks.com/Detail/Detail?PublicationID=P20201204037", "https://www.airitibooks.com/Detail/Detail?PublicationID=P20201204037")</f>
        <v>https://www.airitibooks.com/Detail/Detail?PublicationID=P20201204037</v>
      </c>
      <c r="K502" s="13" t="str">
        <f>HYPERLINK("https://ntsu.idm.oclc.org/login?url=https://www.airitibooks.com/Detail/Detail?PublicationID=P20201204037", "https://ntsu.idm.oclc.org/login?url=https://www.airitibooks.com/Detail/Detail?PublicationID=P20201204037")</f>
        <v>https://ntsu.idm.oclc.org/login?url=https://www.airitibooks.com/Detail/Detail?PublicationID=P20201204037</v>
      </c>
    </row>
    <row r="503" spans="1:11" ht="51" x14ac:dyDescent="0.4">
      <c r="A503" s="10" t="s">
        <v>15026</v>
      </c>
      <c r="B503" s="10" t="s">
        <v>15027</v>
      </c>
      <c r="C503" s="10" t="s">
        <v>938</v>
      </c>
      <c r="D503" s="10" t="s">
        <v>5260</v>
      </c>
      <c r="E503" s="10" t="s">
        <v>5998</v>
      </c>
      <c r="F503" s="10" t="s">
        <v>181</v>
      </c>
      <c r="G503" s="10" t="s">
        <v>32</v>
      </c>
      <c r="H503" s="7" t="s">
        <v>24</v>
      </c>
      <c r="I503" s="7" t="s">
        <v>25</v>
      </c>
      <c r="J503" s="13" t="str">
        <f>HYPERLINK("https://www.airitibooks.com/Detail/Detail?PublicationID=P20201204043", "https://www.airitibooks.com/Detail/Detail?PublicationID=P20201204043")</f>
        <v>https://www.airitibooks.com/Detail/Detail?PublicationID=P20201204043</v>
      </c>
      <c r="K503" s="13" t="str">
        <f>HYPERLINK("https://ntsu.idm.oclc.org/login?url=https://www.airitibooks.com/Detail/Detail?PublicationID=P20201204043", "https://ntsu.idm.oclc.org/login?url=https://www.airitibooks.com/Detail/Detail?PublicationID=P20201204043")</f>
        <v>https://ntsu.idm.oclc.org/login?url=https://www.airitibooks.com/Detail/Detail?PublicationID=P20201204043</v>
      </c>
    </row>
    <row r="504" spans="1:11" ht="51" x14ac:dyDescent="0.4">
      <c r="A504" s="10" t="s">
        <v>15028</v>
      </c>
      <c r="B504" s="10" t="s">
        <v>15029</v>
      </c>
      <c r="C504" s="10" t="s">
        <v>938</v>
      </c>
      <c r="D504" s="10" t="s">
        <v>5263</v>
      </c>
      <c r="E504" s="10" t="s">
        <v>5998</v>
      </c>
      <c r="F504" s="10" t="s">
        <v>181</v>
      </c>
      <c r="G504" s="10" t="s">
        <v>32</v>
      </c>
      <c r="H504" s="7" t="s">
        <v>24</v>
      </c>
      <c r="I504" s="7" t="s">
        <v>25</v>
      </c>
      <c r="J504" s="13" t="str">
        <f>HYPERLINK("https://www.airitibooks.com/Detail/Detail?PublicationID=P20201204045", "https://www.airitibooks.com/Detail/Detail?PublicationID=P20201204045")</f>
        <v>https://www.airitibooks.com/Detail/Detail?PublicationID=P20201204045</v>
      </c>
      <c r="K504" s="13" t="str">
        <f>HYPERLINK("https://ntsu.idm.oclc.org/login?url=https://www.airitibooks.com/Detail/Detail?PublicationID=P20201204045", "https://ntsu.idm.oclc.org/login?url=https://www.airitibooks.com/Detail/Detail?PublicationID=P20201204045")</f>
        <v>https://ntsu.idm.oclc.org/login?url=https://www.airitibooks.com/Detail/Detail?PublicationID=P20201204045</v>
      </c>
    </row>
    <row r="505" spans="1:11" ht="51" x14ac:dyDescent="0.4">
      <c r="A505" s="10" t="s">
        <v>15034</v>
      </c>
      <c r="B505" s="10" t="s">
        <v>15035</v>
      </c>
      <c r="C505" s="10" t="s">
        <v>938</v>
      </c>
      <c r="D505" s="10" t="s">
        <v>5374</v>
      </c>
      <c r="E505" s="10" t="s">
        <v>5998</v>
      </c>
      <c r="F505" s="10" t="s">
        <v>5375</v>
      </c>
      <c r="G505" s="10" t="s">
        <v>32</v>
      </c>
      <c r="H505" s="7" t="s">
        <v>24</v>
      </c>
      <c r="I505" s="7" t="s">
        <v>25</v>
      </c>
      <c r="J505" s="13" t="str">
        <f>HYPERLINK("https://www.airitibooks.com/Detail/Detail?PublicationID=P20201204057", "https://www.airitibooks.com/Detail/Detail?PublicationID=P20201204057")</f>
        <v>https://www.airitibooks.com/Detail/Detail?PublicationID=P20201204057</v>
      </c>
      <c r="K505" s="13" t="str">
        <f>HYPERLINK("https://ntsu.idm.oclc.org/login?url=https://www.airitibooks.com/Detail/Detail?PublicationID=P20201204057", "https://ntsu.idm.oclc.org/login?url=https://www.airitibooks.com/Detail/Detail?PublicationID=P20201204057")</f>
        <v>https://ntsu.idm.oclc.org/login?url=https://www.airitibooks.com/Detail/Detail?PublicationID=P20201204057</v>
      </c>
    </row>
    <row r="506" spans="1:11" ht="51" x14ac:dyDescent="0.4">
      <c r="A506" s="10" t="s">
        <v>15037</v>
      </c>
      <c r="B506" s="10" t="s">
        <v>15038</v>
      </c>
      <c r="C506" s="10" t="s">
        <v>938</v>
      </c>
      <c r="D506" s="10" t="s">
        <v>5374</v>
      </c>
      <c r="E506" s="10" t="s">
        <v>5998</v>
      </c>
      <c r="F506" s="10" t="s">
        <v>5375</v>
      </c>
      <c r="G506" s="10" t="s">
        <v>32</v>
      </c>
      <c r="H506" s="7" t="s">
        <v>24</v>
      </c>
      <c r="I506" s="7" t="s">
        <v>25</v>
      </c>
      <c r="J506" s="13" t="str">
        <f>HYPERLINK("https://www.airitibooks.com/Detail/Detail?PublicationID=P20201204062", "https://www.airitibooks.com/Detail/Detail?PublicationID=P20201204062")</f>
        <v>https://www.airitibooks.com/Detail/Detail?PublicationID=P20201204062</v>
      </c>
      <c r="K506" s="13" t="str">
        <f>HYPERLINK("https://ntsu.idm.oclc.org/login?url=https://www.airitibooks.com/Detail/Detail?PublicationID=P20201204062", "https://ntsu.idm.oclc.org/login?url=https://www.airitibooks.com/Detail/Detail?PublicationID=P20201204062")</f>
        <v>https://ntsu.idm.oclc.org/login?url=https://www.airitibooks.com/Detail/Detail?PublicationID=P20201204062</v>
      </c>
    </row>
    <row r="507" spans="1:11" ht="102" x14ac:dyDescent="0.4">
      <c r="A507" s="10" t="s">
        <v>15056</v>
      </c>
      <c r="B507" s="10" t="s">
        <v>15057</v>
      </c>
      <c r="C507" s="10" t="s">
        <v>12154</v>
      </c>
      <c r="D507" s="10" t="s">
        <v>15058</v>
      </c>
      <c r="E507" s="10" t="s">
        <v>5998</v>
      </c>
      <c r="F507" s="10" t="s">
        <v>1135</v>
      </c>
      <c r="G507" s="10" t="s">
        <v>32</v>
      </c>
      <c r="H507" s="7" t="s">
        <v>24</v>
      </c>
      <c r="I507" s="7" t="s">
        <v>25</v>
      </c>
      <c r="J507" s="13" t="str">
        <f>HYPERLINK("https://www.airitibooks.com/Detail/Detail?PublicationID=P20201204134", "https://www.airitibooks.com/Detail/Detail?PublicationID=P20201204134")</f>
        <v>https://www.airitibooks.com/Detail/Detail?PublicationID=P20201204134</v>
      </c>
      <c r="K507" s="13" t="str">
        <f>HYPERLINK("https://ntsu.idm.oclc.org/login?url=https://www.airitibooks.com/Detail/Detail?PublicationID=P20201204134", "https://ntsu.idm.oclc.org/login?url=https://www.airitibooks.com/Detail/Detail?PublicationID=P20201204134")</f>
        <v>https://ntsu.idm.oclc.org/login?url=https://www.airitibooks.com/Detail/Detail?PublicationID=P20201204134</v>
      </c>
    </row>
    <row r="508" spans="1:11" ht="85" x14ac:dyDescent="0.4">
      <c r="A508" s="10" t="s">
        <v>15059</v>
      </c>
      <c r="B508" s="10" t="s">
        <v>15060</v>
      </c>
      <c r="C508" s="10" t="s">
        <v>12154</v>
      </c>
      <c r="D508" s="10" t="s">
        <v>15061</v>
      </c>
      <c r="E508" s="10" t="s">
        <v>5998</v>
      </c>
      <c r="F508" s="10" t="s">
        <v>1941</v>
      </c>
      <c r="G508" s="10" t="s">
        <v>32</v>
      </c>
      <c r="H508" s="7" t="s">
        <v>24</v>
      </c>
      <c r="I508" s="7" t="s">
        <v>25</v>
      </c>
      <c r="J508" s="13" t="str">
        <f>HYPERLINK("https://www.airitibooks.com/Detail/Detail?PublicationID=P20201204135", "https://www.airitibooks.com/Detail/Detail?PublicationID=P20201204135")</f>
        <v>https://www.airitibooks.com/Detail/Detail?PublicationID=P20201204135</v>
      </c>
      <c r="K508" s="13" t="str">
        <f>HYPERLINK("https://ntsu.idm.oclc.org/login?url=https://www.airitibooks.com/Detail/Detail?PublicationID=P20201204135", "https://ntsu.idm.oclc.org/login?url=https://www.airitibooks.com/Detail/Detail?PublicationID=P20201204135")</f>
        <v>https://ntsu.idm.oclc.org/login?url=https://www.airitibooks.com/Detail/Detail?PublicationID=P20201204135</v>
      </c>
    </row>
    <row r="509" spans="1:11" ht="51" x14ac:dyDescent="0.4">
      <c r="A509" s="10" t="s">
        <v>15122</v>
      </c>
      <c r="B509" s="10" t="s">
        <v>15123</v>
      </c>
      <c r="C509" s="10" t="s">
        <v>1504</v>
      </c>
      <c r="D509" s="10" t="s">
        <v>6918</v>
      </c>
      <c r="E509" s="10" t="s">
        <v>5998</v>
      </c>
      <c r="F509" s="10" t="s">
        <v>6865</v>
      </c>
      <c r="G509" s="10" t="s">
        <v>32</v>
      </c>
      <c r="H509" s="7" t="s">
        <v>24</v>
      </c>
      <c r="I509" s="7" t="s">
        <v>25</v>
      </c>
      <c r="J509" s="13" t="str">
        <f>HYPERLINK("https://www.airitibooks.com/Detail/Detail?PublicationID=P20201218066", "https://www.airitibooks.com/Detail/Detail?PublicationID=P20201218066")</f>
        <v>https://www.airitibooks.com/Detail/Detail?PublicationID=P20201218066</v>
      </c>
      <c r="K509" s="13" t="str">
        <f>HYPERLINK("https://ntsu.idm.oclc.org/login?url=https://www.airitibooks.com/Detail/Detail?PublicationID=P20201218066", "https://ntsu.idm.oclc.org/login?url=https://www.airitibooks.com/Detail/Detail?PublicationID=P20201218066")</f>
        <v>https://ntsu.idm.oclc.org/login?url=https://www.airitibooks.com/Detail/Detail?PublicationID=P20201218066</v>
      </c>
    </row>
    <row r="510" spans="1:11" ht="51" x14ac:dyDescent="0.4">
      <c r="A510" s="10" t="s">
        <v>15130</v>
      </c>
      <c r="B510" s="10" t="s">
        <v>15131</v>
      </c>
      <c r="C510" s="10" t="s">
        <v>1504</v>
      </c>
      <c r="D510" s="10" t="s">
        <v>6918</v>
      </c>
      <c r="E510" s="10" t="s">
        <v>5998</v>
      </c>
      <c r="F510" s="10" t="s">
        <v>14283</v>
      </c>
      <c r="G510" s="10" t="s">
        <v>32</v>
      </c>
      <c r="H510" s="7" t="s">
        <v>24</v>
      </c>
      <c r="I510" s="7" t="s">
        <v>25</v>
      </c>
      <c r="J510" s="13" t="str">
        <f>HYPERLINK("https://www.airitibooks.com/Detail/Detail?PublicationID=P20201218071", "https://www.airitibooks.com/Detail/Detail?PublicationID=P20201218071")</f>
        <v>https://www.airitibooks.com/Detail/Detail?PublicationID=P20201218071</v>
      </c>
      <c r="K510" s="13" t="str">
        <f>HYPERLINK("https://ntsu.idm.oclc.org/login?url=https://www.airitibooks.com/Detail/Detail?PublicationID=P20201218071", "https://ntsu.idm.oclc.org/login?url=https://www.airitibooks.com/Detail/Detail?PublicationID=P20201218071")</f>
        <v>https://ntsu.idm.oclc.org/login?url=https://www.airitibooks.com/Detail/Detail?PublicationID=P20201218071</v>
      </c>
    </row>
    <row r="511" spans="1:11" ht="51" x14ac:dyDescent="0.4">
      <c r="A511" s="10" t="s">
        <v>15132</v>
      </c>
      <c r="B511" s="10" t="s">
        <v>15133</v>
      </c>
      <c r="C511" s="10" t="s">
        <v>1504</v>
      </c>
      <c r="D511" s="10" t="s">
        <v>15134</v>
      </c>
      <c r="E511" s="10" t="s">
        <v>5998</v>
      </c>
      <c r="F511" s="10" t="s">
        <v>6865</v>
      </c>
      <c r="G511" s="10" t="s">
        <v>32</v>
      </c>
      <c r="H511" s="7" t="s">
        <v>24</v>
      </c>
      <c r="I511" s="7" t="s">
        <v>25</v>
      </c>
      <c r="J511" s="13" t="str">
        <f>HYPERLINK("https://www.airitibooks.com/Detail/Detail?PublicationID=P20201218076", "https://www.airitibooks.com/Detail/Detail?PublicationID=P20201218076")</f>
        <v>https://www.airitibooks.com/Detail/Detail?PublicationID=P20201218076</v>
      </c>
      <c r="K511" s="13" t="str">
        <f>HYPERLINK("https://ntsu.idm.oclc.org/login?url=https://www.airitibooks.com/Detail/Detail?PublicationID=P20201218076", "https://ntsu.idm.oclc.org/login?url=https://www.airitibooks.com/Detail/Detail?PublicationID=P20201218076")</f>
        <v>https://ntsu.idm.oclc.org/login?url=https://www.airitibooks.com/Detail/Detail?PublicationID=P20201218076</v>
      </c>
    </row>
    <row r="512" spans="1:11" ht="51" x14ac:dyDescent="0.4">
      <c r="A512" s="10" t="s">
        <v>15167</v>
      </c>
      <c r="B512" s="10" t="s">
        <v>15168</v>
      </c>
      <c r="C512" s="10" t="s">
        <v>11995</v>
      </c>
      <c r="D512" s="10" t="s">
        <v>15169</v>
      </c>
      <c r="E512" s="10" t="s">
        <v>5998</v>
      </c>
      <c r="F512" s="10" t="s">
        <v>181</v>
      </c>
      <c r="G512" s="10" t="s">
        <v>32</v>
      </c>
      <c r="H512" s="7" t="s">
        <v>24</v>
      </c>
      <c r="I512" s="7" t="s">
        <v>25</v>
      </c>
      <c r="J512" s="13" t="str">
        <f>HYPERLINK("https://www.airitibooks.com/Detail/Detail?PublicationID=P20210111048", "https://www.airitibooks.com/Detail/Detail?PublicationID=P20210111048")</f>
        <v>https://www.airitibooks.com/Detail/Detail?PublicationID=P20210111048</v>
      </c>
      <c r="K512" s="13" t="str">
        <f>HYPERLINK("https://ntsu.idm.oclc.org/login?url=https://www.airitibooks.com/Detail/Detail?PublicationID=P20210111048", "https://ntsu.idm.oclc.org/login?url=https://www.airitibooks.com/Detail/Detail?PublicationID=P20210111048")</f>
        <v>https://ntsu.idm.oclc.org/login?url=https://www.airitibooks.com/Detail/Detail?PublicationID=P20210111048</v>
      </c>
    </row>
    <row r="513" spans="1:11" ht="51" x14ac:dyDescent="0.4">
      <c r="A513" s="10" t="s">
        <v>15170</v>
      </c>
      <c r="B513" s="10" t="s">
        <v>15171</v>
      </c>
      <c r="C513" s="10" t="s">
        <v>11995</v>
      </c>
      <c r="D513" s="10" t="s">
        <v>15172</v>
      </c>
      <c r="E513" s="10" t="s">
        <v>5998</v>
      </c>
      <c r="F513" s="10" t="s">
        <v>14520</v>
      </c>
      <c r="G513" s="10" t="s">
        <v>32</v>
      </c>
      <c r="H513" s="7" t="s">
        <v>24</v>
      </c>
      <c r="I513" s="7" t="s">
        <v>25</v>
      </c>
      <c r="J513" s="13" t="str">
        <f>HYPERLINK("https://www.airitibooks.com/Detail/Detail?PublicationID=P20210111053", "https://www.airitibooks.com/Detail/Detail?PublicationID=P20210111053")</f>
        <v>https://www.airitibooks.com/Detail/Detail?PublicationID=P20210111053</v>
      </c>
      <c r="K513" s="13" t="str">
        <f>HYPERLINK("https://ntsu.idm.oclc.org/login?url=https://www.airitibooks.com/Detail/Detail?PublicationID=P20210111053", "https://ntsu.idm.oclc.org/login?url=https://www.airitibooks.com/Detail/Detail?PublicationID=P20210111053")</f>
        <v>https://ntsu.idm.oclc.org/login?url=https://www.airitibooks.com/Detail/Detail?PublicationID=P20210111053</v>
      </c>
    </row>
    <row r="514" spans="1:11" ht="68" x14ac:dyDescent="0.4">
      <c r="A514" s="10" t="s">
        <v>15173</v>
      </c>
      <c r="B514" s="10" t="s">
        <v>15174</v>
      </c>
      <c r="C514" s="10" t="s">
        <v>14755</v>
      </c>
      <c r="D514" s="10" t="s">
        <v>15175</v>
      </c>
      <c r="E514" s="10" t="s">
        <v>5998</v>
      </c>
      <c r="F514" s="10" t="s">
        <v>469</v>
      </c>
      <c r="G514" s="10" t="s">
        <v>32</v>
      </c>
      <c r="H514" s="7" t="s">
        <v>24</v>
      </c>
      <c r="I514" s="7" t="s">
        <v>25</v>
      </c>
      <c r="J514" s="13" t="str">
        <f>HYPERLINK("https://www.airitibooks.com/Detail/Detail?PublicationID=P20210111055", "https://www.airitibooks.com/Detail/Detail?PublicationID=P20210111055")</f>
        <v>https://www.airitibooks.com/Detail/Detail?PublicationID=P20210111055</v>
      </c>
      <c r="K514" s="13" t="str">
        <f>HYPERLINK("https://ntsu.idm.oclc.org/login?url=https://www.airitibooks.com/Detail/Detail?PublicationID=P20210111055", "https://ntsu.idm.oclc.org/login?url=https://www.airitibooks.com/Detail/Detail?PublicationID=P20210111055")</f>
        <v>https://ntsu.idm.oclc.org/login?url=https://www.airitibooks.com/Detail/Detail?PublicationID=P20210111055</v>
      </c>
    </row>
    <row r="515" spans="1:11" ht="102" x14ac:dyDescent="0.4">
      <c r="A515" s="10" t="s">
        <v>15219</v>
      </c>
      <c r="B515" s="10" t="s">
        <v>15220</v>
      </c>
      <c r="C515" s="10" t="s">
        <v>791</v>
      </c>
      <c r="D515" s="10" t="s">
        <v>15221</v>
      </c>
      <c r="E515" s="10" t="s">
        <v>5998</v>
      </c>
      <c r="F515" s="10" t="s">
        <v>172</v>
      </c>
      <c r="G515" s="10" t="s">
        <v>32</v>
      </c>
      <c r="H515" s="7" t="s">
        <v>24</v>
      </c>
      <c r="I515" s="7" t="s">
        <v>25</v>
      </c>
      <c r="J515" s="13" t="str">
        <f>HYPERLINK("https://www.airitibooks.com/Detail/Detail?PublicationID=P20210220012", "https://www.airitibooks.com/Detail/Detail?PublicationID=P20210220012")</f>
        <v>https://www.airitibooks.com/Detail/Detail?PublicationID=P20210220012</v>
      </c>
      <c r="K515" s="13" t="str">
        <f>HYPERLINK("https://ntsu.idm.oclc.org/login?url=https://www.airitibooks.com/Detail/Detail?PublicationID=P20210220012", "https://ntsu.idm.oclc.org/login?url=https://www.airitibooks.com/Detail/Detail?PublicationID=P20210220012")</f>
        <v>https://ntsu.idm.oclc.org/login?url=https://www.airitibooks.com/Detail/Detail?PublicationID=P20210220012</v>
      </c>
    </row>
    <row r="516" spans="1:11" ht="51" x14ac:dyDescent="0.4">
      <c r="A516" s="10" t="s">
        <v>15257</v>
      </c>
      <c r="B516" s="10" t="s">
        <v>15258</v>
      </c>
      <c r="C516" s="10" t="s">
        <v>297</v>
      </c>
      <c r="D516" s="10" t="s">
        <v>12325</v>
      </c>
      <c r="E516" s="10" t="s">
        <v>5998</v>
      </c>
      <c r="F516" s="10" t="s">
        <v>274</v>
      </c>
      <c r="G516" s="10" t="s">
        <v>32</v>
      </c>
      <c r="H516" s="7" t="s">
        <v>24</v>
      </c>
      <c r="I516" s="7" t="s">
        <v>25</v>
      </c>
      <c r="J516" s="13" t="str">
        <f>HYPERLINK("https://www.airitibooks.com/Detail/Detail?PublicationID=P20210225033", "https://www.airitibooks.com/Detail/Detail?PublicationID=P20210225033")</f>
        <v>https://www.airitibooks.com/Detail/Detail?PublicationID=P20210225033</v>
      </c>
      <c r="K516" s="13" t="str">
        <f>HYPERLINK("https://ntsu.idm.oclc.org/login?url=https://www.airitibooks.com/Detail/Detail?PublicationID=P20210225033", "https://ntsu.idm.oclc.org/login?url=https://www.airitibooks.com/Detail/Detail?PublicationID=P20210225033")</f>
        <v>https://ntsu.idm.oclc.org/login?url=https://www.airitibooks.com/Detail/Detail?PublicationID=P20210225033</v>
      </c>
    </row>
    <row r="517" spans="1:11" ht="68" x14ac:dyDescent="0.4">
      <c r="A517" s="10" t="s">
        <v>15326</v>
      </c>
      <c r="B517" s="10" t="s">
        <v>15327</v>
      </c>
      <c r="C517" s="10" t="s">
        <v>287</v>
      </c>
      <c r="D517" s="10" t="s">
        <v>15328</v>
      </c>
      <c r="E517" s="10" t="s">
        <v>5998</v>
      </c>
      <c r="F517" s="10" t="s">
        <v>1135</v>
      </c>
      <c r="G517" s="10" t="s">
        <v>32</v>
      </c>
      <c r="H517" s="7" t="s">
        <v>24</v>
      </c>
      <c r="I517" s="7" t="s">
        <v>25</v>
      </c>
      <c r="J517" s="13" t="str">
        <f>HYPERLINK("https://www.airitibooks.com/Detail/Detail?PublicationID=P20210326046", "https://www.airitibooks.com/Detail/Detail?PublicationID=P20210326046")</f>
        <v>https://www.airitibooks.com/Detail/Detail?PublicationID=P20210326046</v>
      </c>
      <c r="K517" s="13" t="str">
        <f>HYPERLINK("https://ntsu.idm.oclc.org/login?url=https://www.airitibooks.com/Detail/Detail?PublicationID=P20210326046", "https://ntsu.idm.oclc.org/login?url=https://www.airitibooks.com/Detail/Detail?PublicationID=P20210326046")</f>
        <v>https://ntsu.idm.oclc.org/login?url=https://www.airitibooks.com/Detail/Detail?PublicationID=P20210326046</v>
      </c>
    </row>
    <row r="518" spans="1:11" ht="51" x14ac:dyDescent="0.4">
      <c r="A518" s="10" t="s">
        <v>15332</v>
      </c>
      <c r="B518" s="10" t="s">
        <v>15333</v>
      </c>
      <c r="C518" s="10" t="s">
        <v>9514</v>
      </c>
      <c r="D518" s="10" t="s">
        <v>15334</v>
      </c>
      <c r="E518" s="10" t="s">
        <v>5998</v>
      </c>
      <c r="F518" s="10" t="s">
        <v>15335</v>
      </c>
      <c r="G518" s="10" t="s">
        <v>32</v>
      </c>
      <c r="H518" s="7" t="s">
        <v>24</v>
      </c>
      <c r="I518" s="7" t="s">
        <v>25</v>
      </c>
      <c r="J518" s="13" t="str">
        <f>HYPERLINK("https://www.airitibooks.com/Detail/Detail?PublicationID=P20210326122", "https://www.airitibooks.com/Detail/Detail?PublicationID=P20210326122")</f>
        <v>https://www.airitibooks.com/Detail/Detail?PublicationID=P20210326122</v>
      </c>
      <c r="K518" s="13" t="str">
        <f>HYPERLINK("https://ntsu.idm.oclc.org/login?url=https://www.airitibooks.com/Detail/Detail?PublicationID=P20210326122", "https://ntsu.idm.oclc.org/login?url=https://www.airitibooks.com/Detail/Detail?PublicationID=P20210326122")</f>
        <v>https://ntsu.idm.oclc.org/login?url=https://www.airitibooks.com/Detail/Detail?PublicationID=P20210326122</v>
      </c>
    </row>
    <row r="519" spans="1:11" ht="51" x14ac:dyDescent="0.4">
      <c r="A519" s="10" t="s">
        <v>15449</v>
      </c>
      <c r="B519" s="10" t="s">
        <v>15450</v>
      </c>
      <c r="C519" s="10" t="s">
        <v>11995</v>
      </c>
      <c r="D519" s="10" t="s">
        <v>15451</v>
      </c>
      <c r="E519" s="10" t="s">
        <v>5998</v>
      </c>
      <c r="F519" s="10" t="s">
        <v>3364</v>
      </c>
      <c r="G519" s="10" t="s">
        <v>32</v>
      </c>
      <c r="H519" s="7" t="s">
        <v>24</v>
      </c>
      <c r="I519" s="7" t="s">
        <v>25</v>
      </c>
      <c r="J519" s="13" t="str">
        <f>HYPERLINK("https://www.airitibooks.com/Detail/Detail?PublicationID=P20210428056", "https://www.airitibooks.com/Detail/Detail?PublicationID=P20210428056")</f>
        <v>https://www.airitibooks.com/Detail/Detail?PublicationID=P20210428056</v>
      </c>
      <c r="K519" s="13" t="str">
        <f>HYPERLINK("https://ntsu.idm.oclc.org/login?url=https://www.airitibooks.com/Detail/Detail?PublicationID=P20210428056", "https://ntsu.idm.oclc.org/login?url=https://www.airitibooks.com/Detail/Detail?PublicationID=P20210428056")</f>
        <v>https://ntsu.idm.oclc.org/login?url=https://www.airitibooks.com/Detail/Detail?PublicationID=P20210428056</v>
      </c>
    </row>
    <row r="520" spans="1:11" ht="85" x14ac:dyDescent="0.4">
      <c r="A520" s="10" t="s">
        <v>15458</v>
      </c>
      <c r="B520" s="10" t="s">
        <v>15459</v>
      </c>
      <c r="C520" s="10" t="s">
        <v>11995</v>
      </c>
      <c r="D520" s="10" t="s">
        <v>15460</v>
      </c>
      <c r="E520" s="10" t="s">
        <v>5998</v>
      </c>
      <c r="F520" s="10" t="s">
        <v>42</v>
      </c>
      <c r="G520" s="10" t="s">
        <v>32</v>
      </c>
      <c r="H520" s="7" t="s">
        <v>24</v>
      </c>
      <c r="I520" s="7" t="s">
        <v>25</v>
      </c>
      <c r="J520" s="13" t="str">
        <f>HYPERLINK("https://www.airitibooks.com/Detail/Detail?PublicationID=P20210428059", "https://www.airitibooks.com/Detail/Detail?PublicationID=P20210428059")</f>
        <v>https://www.airitibooks.com/Detail/Detail?PublicationID=P20210428059</v>
      </c>
      <c r="K520" s="13" t="str">
        <f>HYPERLINK("https://ntsu.idm.oclc.org/login?url=https://www.airitibooks.com/Detail/Detail?PublicationID=P20210428059", "https://ntsu.idm.oclc.org/login?url=https://www.airitibooks.com/Detail/Detail?PublicationID=P20210428059")</f>
        <v>https://ntsu.idm.oclc.org/login?url=https://www.airitibooks.com/Detail/Detail?PublicationID=P20210428059</v>
      </c>
    </row>
    <row r="521" spans="1:11" ht="68" x14ac:dyDescent="0.4">
      <c r="A521" s="10" t="s">
        <v>15470</v>
      </c>
      <c r="B521" s="10" t="s">
        <v>15471</v>
      </c>
      <c r="C521" s="10" t="s">
        <v>11995</v>
      </c>
      <c r="D521" s="10" t="s">
        <v>15472</v>
      </c>
      <c r="E521" s="10" t="s">
        <v>5998</v>
      </c>
      <c r="F521" s="10" t="s">
        <v>274</v>
      </c>
      <c r="G521" s="10" t="s">
        <v>32</v>
      </c>
      <c r="H521" s="7" t="s">
        <v>24</v>
      </c>
      <c r="I521" s="7" t="s">
        <v>25</v>
      </c>
      <c r="J521" s="13" t="str">
        <f>HYPERLINK("https://www.airitibooks.com/Detail/Detail?PublicationID=P20210428063", "https://www.airitibooks.com/Detail/Detail?PublicationID=P20210428063")</f>
        <v>https://www.airitibooks.com/Detail/Detail?PublicationID=P20210428063</v>
      </c>
      <c r="K521" s="13" t="str">
        <f>HYPERLINK("https://ntsu.idm.oclc.org/login?url=https://www.airitibooks.com/Detail/Detail?PublicationID=P20210428063", "https://ntsu.idm.oclc.org/login?url=https://www.airitibooks.com/Detail/Detail?PublicationID=P20210428063")</f>
        <v>https://ntsu.idm.oclc.org/login?url=https://www.airitibooks.com/Detail/Detail?PublicationID=P20210428063</v>
      </c>
    </row>
    <row r="522" spans="1:11" ht="51" x14ac:dyDescent="0.4">
      <c r="A522" s="10" t="s">
        <v>15475</v>
      </c>
      <c r="B522" s="10" t="s">
        <v>15476</v>
      </c>
      <c r="C522" s="10" t="s">
        <v>14755</v>
      </c>
      <c r="D522" s="10" t="s">
        <v>15477</v>
      </c>
      <c r="E522" s="10" t="s">
        <v>5998</v>
      </c>
      <c r="F522" s="10" t="s">
        <v>1135</v>
      </c>
      <c r="G522" s="10" t="s">
        <v>32</v>
      </c>
      <c r="H522" s="7" t="s">
        <v>24</v>
      </c>
      <c r="I522" s="7" t="s">
        <v>25</v>
      </c>
      <c r="J522" s="13" t="str">
        <f>HYPERLINK("https://www.airitibooks.com/Detail/Detail?PublicationID=P20210428065", "https://www.airitibooks.com/Detail/Detail?PublicationID=P20210428065")</f>
        <v>https://www.airitibooks.com/Detail/Detail?PublicationID=P20210428065</v>
      </c>
      <c r="K522" s="13" t="str">
        <f>HYPERLINK("https://ntsu.idm.oclc.org/login?url=https://www.airitibooks.com/Detail/Detail?PublicationID=P20210428065", "https://ntsu.idm.oclc.org/login?url=https://www.airitibooks.com/Detail/Detail?PublicationID=P20210428065")</f>
        <v>https://ntsu.idm.oclc.org/login?url=https://www.airitibooks.com/Detail/Detail?PublicationID=P20210428065</v>
      </c>
    </row>
    <row r="523" spans="1:11" ht="51" x14ac:dyDescent="0.4">
      <c r="A523" s="10" t="s">
        <v>15478</v>
      </c>
      <c r="B523" s="10" t="s">
        <v>15479</v>
      </c>
      <c r="C523" s="10" t="s">
        <v>7164</v>
      </c>
      <c r="D523" s="10" t="s">
        <v>15480</v>
      </c>
      <c r="E523" s="10" t="s">
        <v>5998</v>
      </c>
      <c r="F523" s="10" t="s">
        <v>15481</v>
      </c>
      <c r="G523" s="10" t="s">
        <v>32</v>
      </c>
      <c r="H523" s="7" t="s">
        <v>24</v>
      </c>
      <c r="I523" s="7" t="s">
        <v>25</v>
      </c>
      <c r="J523" s="13" t="str">
        <f>HYPERLINK("https://www.airitibooks.com/Detail/Detail?PublicationID=P20210428066", "https://www.airitibooks.com/Detail/Detail?PublicationID=P20210428066")</f>
        <v>https://www.airitibooks.com/Detail/Detail?PublicationID=P20210428066</v>
      </c>
      <c r="K523" s="13" t="str">
        <f>HYPERLINK("https://ntsu.idm.oclc.org/login?url=https://www.airitibooks.com/Detail/Detail?PublicationID=P20210428066", "https://ntsu.idm.oclc.org/login?url=https://www.airitibooks.com/Detail/Detail?PublicationID=P20210428066")</f>
        <v>https://ntsu.idm.oclc.org/login?url=https://www.airitibooks.com/Detail/Detail?PublicationID=P20210428066</v>
      </c>
    </row>
    <row r="524" spans="1:11" ht="51" x14ac:dyDescent="0.4">
      <c r="A524" s="10" t="s">
        <v>15482</v>
      </c>
      <c r="B524" s="10" t="s">
        <v>15483</v>
      </c>
      <c r="C524" s="10" t="s">
        <v>738</v>
      </c>
      <c r="D524" s="10" t="s">
        <v>15484</v>
      </c>
      <c r="E524" s="10" t="s">
        <v>5998</v>
      </c>
      <c r="F524" s="10" t="s">
        <v>149</v>
      </c>
      <c r="G524" s="10" t="s">
        <v>32</v>
      </c>
      <c r="H524" s="7" t="s">
        <v>24</v>
      </c>
      <c r="I524" s="7" t="s">
        <v>25</v>
      </c>
      <c r="J524" s="13" t="str">
        <f>HYPERLINK("https://www.airitibooks.com/Detail/Detail?PublicationID=P20210430052", "https://www.airitibooks.com/Detail/Detail?PublicationID=P20210430052")</f>
        <v>https://www.airitibooks.com/Detail/Detail?PublicationID=P20210430052</v>
      </c>
      <c r="K524" s="13" t="str">
        <f>HYPERLINK("https://ntsu.idm.oclc.org/login?url=https://www.airitibooks.com/Detail/Detail?PublicationID=P20210430052", "https://ntsu.idm.oclc.org/login?url=https://www.airitibooks.com/Detail/Detail?PublicationID=P20210430052")</f>
        <v>https://ntsu.idm.oclc.org/login?url=https://www.airitibooks.com/Detail/Detail?PublicationID=P20210430052</v>
      </c>
    </row>
    <row r="525" spans="1:11" ht="51" x14ac:dyDescent="0.4">
      <c r="A525" s="10" t="s">
        <v>15565</v>
      </c>
      <c r="B525" s="10" t="s">
        <v>15566</v>
      </c>
      <c r="C525" s="10" t="s">
        <v>13223</v>
      </c>
      <c r="D525" s="10" t="s">
        <v>15567</v>
      </c>
      <c r="E525" s="10" t="s">
        <v>5998</v>
      </c>
      <c r="F525" s="10" t="s">
        <v>3769</v>
      </c>
      <c r="G525" s="10" t="s">
        <v>32</v>
      </c>
      <c r="H525" s="7" t="s">
        <v>1031</v>
      </c>
      <c r="I525" s="7" t="s">
        <v>25</v>
      </c>
      <c r="J525" s="13" t="str">
        <f>HYPERLINK("https://www.airitibooks.com/Detail/Detail?PublicationID=P20210726384", "https://www.airitibooks.com/Detail/Detail?PublicationID=P20210726384")</f>
        <v>https://www.airitibooks.com/Detail/Detail?PublicationID=P20210726384</v>
      </c>
      <c r="K525" s="13" t="str">
        <f>HYPERLINK("https://ntsu.idm.oclc.org/login?url=https://www.airitibooks.com/Detail/Detail?PublicationID=P20210726384", "https://ntsu.idm.oclc.org/login?url=https://www.airitibooks.com/Detail/Detail?PublicationID=P20210726384")</f>
        <v>https://ntsu.idm.oclc.org/login?url=https://www.airitibooks.com/Detail/Detail?PublicationID=P20210726384</v>
      </c>
    </row>
    <row r="526" spans="1:11" ht="51" x14ac:dyDescent="0.4">
      <c r="A526" s="10" t="s">
        <v>15593</v>
      </c>
      <c r="B526" s="10" t="s">
        <v>15594</v>
      </c>
      <c r="C526" s="10" t="s">
        <v>1504</v>
      </c>
      <c r="D526" s="10" t="s">
        <v>15595</v>
      </c>
      <c r="E526" s="10" t="s">
        <v>5998</v>
      </c>
      <c r="F526" s="10" t="s">
        <v>181</v>
      </c>
      <c r="G526" s="10" t="s">
        <v>32</v>
      </c>
      <c r="H526" s="7" t="s">
        <v>24</v>
      </c>
      <c r="I526" s="7" t="s">
        <v>25</v>
      </c>
      <c r="J526" s="13" t="str">
        <f>HYPERLINK("https://www.airitibooks.com/Detail/Detail?PublicationID=P20210906095", "https://www.airitibooks.com/Detail/Detail?PublicationID=P20210906095")</f>
        <v>https://www.airitibooks.com/Detail/Detail?PublicationID=P20210906095</v>
      </c>
      <c r="K526" s="13" t="str">
        <f>HYPERLINK("https://ntsu.idm.oclc.org/login?url=https://www.airitibooks.com/Detail/Detail?PublicationID=P20210906095", "https://ntsu.idm.oclc.org/login?url=https://www.airitibooks.com/Detail/Detail?PublicationID=P20210906095")</f>
        <v>https://ntsu.idm.oclc.org/login?url=https://www.airitibooks.com/Detail/Detail?PublicationID=P20210906095</v>
      </c>
    </row>
    <row r="527" spans="1:11" ht="51" x14ac:dyDescent="0.4">
      <c r="A527" s="10" t="s">
        <v>15621</v>
      </c>
      <c r="B527" s="10" t="s">
        <v>15622</v>
      </c>
      <c r="C527" s="10" t="s">
        <v>15603</v>
      </c>
      <c r="D527" s="10" t="s">
        <v>15623</v>
      </c>
      <c r="E527" s="10" t="s">
        <v>5998</v>
      </c>
      <c r="F527" s="10" t="s">
        <v>3901</v>
      </c>
      <c r="G527" s="10" t="s">
        <v>32</v>
      </c>
      <c r="H527" s="7" t="s">
        <v>1031</v>
      </c>
      <c r="I527" s="7" t="s">
        <v>25</v>
      </c>
      <c r="J527" s="13" t="str">
        <f>HYPERLINK("https://www.airitibooks.com/Detail/Detail?PublicationID=P20211220082", "https://www.airitibooks.com/Detail/Detail?PublicationID=P20211220082")</f>
        <v>https://www.airitibooks.com/Detail/Detail?PublicationID=P20211220082</v>
      </c>
      <c r="K527" s="13" t="str">
        <f>HYPERLINK("https://ntsu.idm.oclc.org/login?url=https://www.airitibooks.com/Detail/Detail?PublicationID=P20211220082", "https://ntsu.idm.oclc.org/login?url=https://www.airitibooks.com/Detail/Detail?PublicationID=P20211220082")</f>
        <v>https://ntsu.idm.oclc.org/login?url=https://www.airitibooks.com/Detail/Detail?PublicationID=P20211220082</v>
      </c>
    </row>
    <row r="528" spans="1:11" ht="51" x14ac:dyDescent="0.4">
      <c r="A528" s="10" t="s">
        <v>15014</v>
      </c>
      <c r="B528" s="10" t="s">
        <v>15015</v>
      </c>
      <c r="C528" s="10" t="s">
        <v>15011</v>
      </c>
      <c r="D528" s="10" t="s">
        <v>15012</v>
      </c>
      <c r="E528" s="10" t="s">
        <v>5998</v>
      </c>
      <c r="F528" s="10" t="s">
        <v>15013</v>
      </c>
      <c r="G528" s="10" t="s">
        <v>502</v>
      </c>
      <c r="H528" s="7" t="s">
        <v>1031</v>
      </c>
      <c r="I528" s="7" t="s">
        <v>25</v>
      </c>
      <c r="J528" s="13" t="str">
        <f>HYPERLINK("https://www.airitibooks.com/Detail/Detail?PublicationID=P20201127468", "https://www.airitibooks.com/Detail/Detail?PublicationID=P20201127468")</f>
        <v>https://www.airitibooks.com/Detail/Detail?PublicationID=P20201127468</v>
      </c>
      <c r="K528" s="13" t="str">
        <f>HYPERLINK("https://ntsu.idm.oclc.org/login?url=https://www.airitibooks.com/Detail/Detail?PublicationID=P20201127468", "https://ntsu.idm.oclc.org/login?url=https://www.airitibooks.com/Detail/Detail?PublicationID=P20201127468")</f>
        <v>https://ntsu.idm.oclc.org/login?url=https://www.airitibooks.com/Detail/Detail?PublicationID=P20201127468</v>
      </c>
    </row>
    <row r="529" spans="1:11" ht="51" x14ac:dyDescent="0.4">
      <c r="A529" s="10" t="s">
        <v>13406</v>
      </c>
      <c r="B529" s="10" t="s">
        <v>13407</v>
      </c>
      <c r="C529" s="10" t="s">
        <v>8805</v>
      </c>
      <c r="D529" s="10" t="s">
        <v>13408</v>
      </c>
      <c r="E529" s="10" t="s">
        <v>5998</v>
      </c>
      <c r="F529" s="10" t="s">
        <v>13409</v>
      </c>
      <c r="G529" s="10" t="s">
        <v>37</v>
      </c>
      <c r="H529" s="7" t="s">
        <v>24</v>
      </c>
      <c r="I529" s="7" t="s">
        <v>25</v>
      </c>
      <c r="J529" s="13" t="str">
        <f>HYPERLINK("https://www.airitibooks.com/Detail/Detail?PublicationID=P20200215016", "https://www.airitibooks.com/Detail/Detail?PublicationID=P20200215016")</f>
        <v>https://www.airitibooks.com/Detail/Detail?PublicationID=P20200215016</v>
      </c>
      <c r="K529" s="13" t="str">
        <f>HYPERLINK("https://ntsu.idm.oclc.org/login?url=https://www.airitibooks.com/Detail/Detail?PublicationID=P20200215016", "https://ntsu.idm.oclc.org/login?url=https://www.airitibooks.com/Detail/Detail?PublicationID=P20200215016")</f>
        <v>https://ntsu.idm.oclc.org/login?url=https://www.airitibooks.com/Detail/Detail?PublicationID=P20200215016</v>
      </c>
    </row>
    <row r="530" spans="1:11" ht="51" x14ac:dyDescent="0.4">
      <c r="A530" s="10" t="s">
        <v>13714</v>
      </c>
      <c r="B530" s="10" t="s">
        <v>13715</v>
      </c>
      <c r="C530" s="10" t="s">
        <v>10921</v>
      </c>
      <c r="D530" s="10" t="s">
        <v>13716</v>
      </c>
      <c r="E530" s="10" t="s">
        <v>5998</v>
      </c>
      <c r="F530" s="10" t="s">
        <v>1743</v>
      </c>
      <c r="G530" s="10" t="s">
        <v>37</v>
      </c>
      <c r="H530" s="7" t="s">
        <v>24</v>
      </c>
      <c r="I530" s="7" t="s">
        <v>25</v>
      </c>
      <c r="J530" s="13" t="str">
        <f>HYPERLINK("https://www.airitibooks.com/Detail/Detail?PublicationID=P20200321338", "https://www.airitibooks.com/Detail/Detail?PublicationID=P20200321338")</f>
        <v>https://www.airitibooks.com/Detail/Detail?PublicationID=P20200321338</v>
      </c>
      <c r="K530" s="13" t="str">
        <f>HYPERLINK("https://ntsu.idm.oclc.org/login?url=https://www.airitibooks.com/Detail/Detail?PublicationID=P20200321338", "https://ntsu.idm.oclc.org/login?url=https://www.airitibooks.com/Detail/Detail?PublicationID=P20200321338")</f>
        <v>https://ntsu.idm.oclc.org/login?url=https://www.airitibooks.com/Detail/Detail?PublicationID=P20200321338</v>
      </c>
    </row>
    <row r="531" spans="1:11" ht="51" x14ac:dyDescent="0.4">
      <c r="A531" s="10" t="s">
        <v>13792</v>
      </c>
      <c r="B531" s="10" t="s">
        <v>13793</v>
      </c>
      <c r="C531" s="10" t="s">
        <v>6759</v>
      </c>
      <c r="D531" s="10" t="s">
        <v>13794</v>
      </c>
      <c r="E531" s="10" t="s">
        <v>5998</v>
      </c>
      <c r="F531" s="10" t="s">
        <v>13795</v>
      </c>
      <c r="G531" s="10" t="s">
        <v>37</v>
      </c>
      <c r="H531" s="7" t="s">
        <v>24</v>
      </c>
      <c r="I531" s="7" t="s">
        <v>25</v>
      </c>
      <c r="J531" s="13" t="str">
        <f>HYPERLINK("https://www.airitibooks.com/Detail/Detail?PublicationID=P20200402051", "https://www.airitibooks.com/Detail/Detail?PublicationID=P20200402051")</f>
        <v>https://www.airitibooks.com/Detail/Detail?PublicationID=P20200402051</v>
      </c>
      <c r="K531" s="13" t="str">
        <f>HYPERLINK("https://ntsu.idm.oclc.org/login?url=https://www.airitibooks.com/Detail/Detail?PublicationID=P20200402051", "https://ntsu.idm.oclc.org/login?url=https://www.airitibooks.com/Detail/Detail?PublicationID=P20200402051")</f>
        <v>https://ntsu.idm.oclc.org/login?url=https://www.airitibooks.com/Detail/Detail?PublicationID=P20200402051</v>
      </c>
    </row>
    <row r="532" spans="1:11" ht="85" x14ac:dyDescent="0.4">
      <c r="A532" s="10" t="s">
        <v>13917</v>
      </c>
      <c r="B532" s="10" t="s">
        <v>13918</v>
      </c>
      <c r="C532" s="10" t="s">
        <v>12654</v>
      </c>
      <c r="D532" s="10" t="s">
        <v>13919</v>
      </c>
      <c r="E532" s="10" t="s">
        <v>5998</v>
      </c>
      <c r="F532" s="10" t="s">
        <v>11627</v>
      </c>
      <c r="G532" s="10" t="s">
        <v>37</v>
      </c>
      <c r="H532" s="7" t="s">
        <v>24</v>
      </c>
      <c r="I532" s="7" t="s">
        <v>25</v>
      </c>
      <c r="J532" s="13" t="str">
        <f>HYPERLINK("https://www.airitibooks.com/Detail/Detail?PublicationID=P20200424196", "https://www.airitibooks.com/Detail/Detail?PublicationID=P20200424196")</f>
        <v>https://www.airitibooks.com/Detail/Detail?PublicationID=P20200424196</v>
      </c>
      <c r="K532" s="13" t="str">
        <f>HYPERLINK("https://ntsu.idm.oclc.org/login?url=https://www.airitibooks.com/Detail/Detail?PublicationID=P20200424196", "https://ntsu.idm.oclc.org/login?url=https://www.airitibooks.com/Detail/Detail?PublicationID=P20200424196")</f>
        <v>https://ntsu.idm.oclc.org/login?url=https://www.airitibooks.com/Detail/Detail?PublicationID=P20200424196</v>
      </c>
    </row>
    <row r="533" spans="1:11" ht="85" x14ac:dyDescent="0.4">
      <c r="A533" s="10" t="s">
        <v>14306</v>
      </c>
      <c r="B533" s="10" t="s">
        <v>14307</v>
      </c>
      <c r="C533" s="10" t="s">
        <v>12154</v>
      </c>
      <c r="D533" s="10" t="s">
        <v>14308</v>
      </c>
      <c r="E533" s="10" t="s">
        <v>5998</v>
      </c>
      <c r="F533" s="10" t="s">
        <v>14309</v>
      </c>
      <c r="G533" s="10" t="s">
        <v>37</v>
      </c>
      <c r="H533" s="7" t="s">
        <v>24</v>
      </c>
      <c r="I533" s="7" t="s">
        <v>25</v>
      </c>
      <c r="J533" s="13" t="str">
        <f>HYPERLINK("https://www.airitibooks.com/Detail/Detail?PublicationID=P20200605026", "https://www.airitibooks.com/Detail/Detail?PublicationID=P20200605026")</f>
        <v>https://www.airitibooks.com/Detail/Detail?PublicationID=P20200605026</v>
      </c>
      <c r="K533" s="13" t="str">
        <f>HYPERLINK("https://ntsu.idm.oclc.org/login?url=https://www.airitibooks.com/Detail/Detail?PublicationID=P20200605026", "https://ntsu.idm.oclc.org/login?url=https://www.airitibooks.com/Detail/Detail?PublicationID=P20200605026")</f>
        <v>https://ntsu.idm.oclc.org/login?url=https://www.airitibooks.com/Detail/Detail?PublicationID=P20200605026</v>
      </c>
    </row>
    <row r="534" spans="1:11" ht="119" x14ac:dyDescent="0.4">
      <c r="A534" s="10" t="s">
        <v>14310</v>
      </c>
      <c r="B534" s="10" t="s">
        <v>14311</v>
      </c>
      <c r="C534" s="10" t="s">
        <v>12154</v>
      </c>
      <c r="D534" s="10" t="s">
        <v>14312</v>
      </c>
      <c r="E534" s="10" t="s">
        <v>5998</v>
      </c>
      <c r="F534" s="10" t="s">
        <v>14313</v>
      </c>
      <c r="G534" s="10" t="s">
        <v>37</v>
      </c>
      <c r="H534" s="7" t="s">
        <v>24</v>
      </c>
      <c r="I534" s="7" t="s">
        <v>25</v>
      </c>
      <c r="J534" s="13" t="str">
        <f>HYPERLINK("https://www.airitibooks.com/Detail/Detail?PublicationID=P20200605027", "https://www.airitibooks.com/Detail/Detail?PublicationID=P20200605027")</f>
        <v>https://www.airitibooks.com/Detail/Detail?PublicationID=P20200605027</v>
      </c>
      <c r="K534" s="13" t="str">
        <f>HYPERLINK("https://ntsu.idm.oclc.org/login?url=https://www.airitibooks.com/Detail/Detail?PublicationID=P20200605027", "https://ntsu.idm.oclc.org/login?url=https://www.airitibooks.com/Detail/Detail?PublicationID=P20200605027")</f>
        <v>https://ntsu.idm.oclc.org/login?url=https://www.airitibooks.com/Detail/Detail?PublicationID=P20200605027</v>
      </c>
    </row>
    <row r="535" spans="1:11" ht="51" x14ac:dyDescent="0.4">
      <c r="A535" s="10" t="s">
        <v>14341</v>
      </c>
      <c r="B535" s="10" t="s">
        <v>14342</v>
      </c>
      <c r="C535" s="10" t="s">
        <v>14343</v>
      </c>
      <c r="D535" s="10" t="s">
        <v>14344</v>
      </c>
      <c r="E535" s="10" t="s">
        <v>5998</v>
      </c>
      <c r="F535" s="10" t="s">
        <v>14345</v>
      </c>
      <c r="G535" s="10" t="s">
        <v>37</v>
      </c>
      <c r="H535" s="7" t="s">
        <v>7839</v>
      </c>
      <c r="I535" s="7" t="s">
        <v>25</v>
      </c>
      <c r="J535" s="13" t="str">
        <f>HYPERLINK("https://www.airitibooks.com/Detail/Detail?PublicationID=P20200612267", "https://www.airitibooks.com/Detail/Detail?PublicationID=P20200612267")</f>
        <v>https://www.airitibooks.com/Detail/Detail?PublicationID=P20200612267</v>
      </c>
      <c r="K535" s="13" t="str">
        <f>HYPERLINK("https://ntsu.idm.oclc.org/login?url=https://www.airitibooks.com/Detail/Detail?PublicationID=P20200612267", "https://ntsu.idm.oclc.org/login?url=https://www.airitibooks.com/Detail/Detail?PublicationID=P20200612267")</f>
        <v>https://ntsu.idm.oclc.org/login?url=https://www.airitibooks.com/Detail/Detail?PublicationID=P20200612267</v>
      </c>
    </row>
    <row r="536" spans="1:11" ht="51" x14ac:dyDescent="0.4">
      <c r="A536" s="10" t="s">
        <v>14716</v>
      </c>
      <c r="B536" s="10" t="s">
        <v>14717</v>
      </c>
      <c r="C536" s="10" t="s">
        <v>10384</v>
      </c>
      <c r="D536" s="10" t="s">
        <v>14718</v>
      </c>
      <c r="E536" s="10" t="s">
        <v>5998</v>
      </c>
      <c r="F536" s="10" t="s">
        <v>14719</v>
      </c>
      <c r="G536" s="10" t="s">
        <v>37</v>
      </c>
      <c r="H536" s="7" t="s">
        <v>24</v>
      </c>
      <c r="I536" s="7" t="s">
        <v>25</v>
      </c>
      <c r="J536" s="13" t="str">
        <f>HYPERLINK("https://www.airitibooks.com/Detail/Detail?PublicationID=P20200921010", "https://www.airitibooks.com/Detail/Detail?PublicationID=P20200921010")</f>
        <v>https://www.airitibooks.com/Detail/Detail?PublicationID=P20200921010</v>
      </c>
      <c r="K536" s="13" t="str">
        <f>HYPERLINK("https://ntsu.idm.oclc.org/login?url=https://www.airitibooks.com/Detail/Detail?PublicationID=P20200921010", "https://ntsu.idm.oclc.org/login?url=https://www.airitibooks.com/Detail/Detail?PublicationID=P20200921010")</f>
        <v>https://ntsu.idm.oclc.org/login?url=https://www.airitibooks.com/Detail/Detail?PublicationID=P20200921010</v>
      </c>
    </row>
    <row r="537" spans="1:11" ht="68" x14ac:dyDescent="0.4">
      <c r="A537" s="10" t="s">
        <v>14872</v>
      </c>
      <c r="B537" s="10" t="s">
        <v>14873</v>
      </c>
      <c r="C537" s="10" t="s">
        <v>938</v>
      </c>
      <c r="D537" s="10" t="s">
        <v>9602</v>
      </c>
      <c r="E537" s="10" t="s">
        <v>5998</v>
      </c>
      <c r="F537" s="10" t="s">
        <v>6664</v>
      </c>
      <c r="G537" s="10" t="s">
        <v>37</v>
      </c>
      <c r="H537" s="7" t="s">
        <v>24</v>
      </c>
      <c r="I537" s="7" t="s">
        <v>25</v>
      </c>
      <c r="J537" s="13" t="str">
        <f>HYPERLINK("https://www.airitibooks.com/Detail/Detail?PublicationID=P20201116016", "https://www.airitibooks.com/Detail/Detail?PublicationID=P20201116016")</f>
        <v>https://www.airitibooks.com/Detail/Detail?PublicationID=P20201116016</v>
      </c>
      <c r="K537" s="13" t="str">
        <f>HYPERLINK("https://ntsu.idm.oclc.org/login?url=https://www.airitibooks.com/Detail/Detail?PublicationID=P20201116016", "https://ntsu.idm.oclc.org/login?url=https://www.airitibooks.com/Detail/Detail?PublicationID=P20201116016")</f>
        <v>https://ntsu.idm.oclc.org/login?url=https://www.airitibooks.com/Detail/Detail?PublicationID=P20201116016</v>
      </c>
    </row>
    <row r="538" spans="1:11" ht="51" x14ac:dyDescent="0.4">
      <c r="A538" s="10" t="s">
        <v>14973</v>
      </c>
      <c r="B538" s="10" t="s">
        <v>14974</v>
      </c>
      <c r="C538" s="10" t="s">
        <v>938</v>
      </c>
      <c r="D538" s="10" t="s">
        <v>943</v>
      </c>
      <c r="E538" s="10" t="s">
        <v>5998</v>
      </c>
      <c r="F538" s="10" t="s">
        <v>940</v>
      </c>
      <c r="G538" s="10" t="s">
        <v>37</v>
      </c>
      <c r="H538" s="7" t="s">
        <v>24</v>
      </c>
      <c r="I538" s="7" t="s">
        <v>25</v>
      </c>
      <c r="J538" s="13" t="str">
        <f>HYPERLINK("https://www.airitibooks.com/Detail/Detail?PublicationID=P20201127044", "https://www.airitibooks.com/Detail/Detail?PublicationID=P20201127044")</f>
        <v>https://www.airitibooks.com/Detail/Detail?PublicationID=P20201127044</v>
      </c>
      <c r="K538" s="13" t="str">
        <f>HYPERLINK("https://ntsu.idm.oclc.org/login?url=https://www.airitibooks.com/Detail/Detail?PublicationID=P20201127044", "https://ntsu.idm.oclc.org/login?url=https://www.airitibooks.com/Detail/Detail?PublicationID=P20201127044")</f>
        <v>https://ntsu.idm.oclc.org/login?url=https://www.airitibooks.com/Detail/Detail?PublicationID=P20201127044</v>
      </c>
    </row>
    <row r="539" spans="1:11" ht="51" x14ac:dyDescent="0.4">
      <c r="A539" s="10" t="s">
        <v>15019</v>
      </c>
      <c r="B539" s="10" t="s">
        <v>15020</v>
      </c>
      <c r="C539" s="10" t="s">
        <v>938</v>
      </c>
      <c r="D539" s="10" t="s">
        <v>939</v>
      </c>
      <c r="E539" s="10" t="s">
        <v>5998</v>
      </c>
      <c r="F539" s="10" t="s">
        <v>6664</v>
      </c>
      <c r="G539" s="10" t="s">
        <v>37</v>
      </c>
      <c r="H539" s="7" t="s">
        <v>24</v>
      </c>
      <c r="I539" s="7" t="s">
        <v>25</v>
      </c>
      <c r="J539" s="13" t="str">
        <f>HYPERLINK("https://www.airitibooks.com/Detail/Detail?PublicationID=P20201204021", "https://www.airitibooks.com/Detail/Detail?PublicationID=P20201204021")</f>
        <v>https://www.airitibooks.com/Detail/Detail?PublicationID=P20201204021</v>
      </c>
      <c r="K539" s="13" t="str">
        <f>HYPERLINK("https://ntsu.idm.oclc.org/login?url=https://www.airitibooks.com/Detail/Detail?PublicationID=P20201204021", "https://ntsu.idm.oclc.org/login?url=https://www.airitibooks.com/Detail/Detail?PublicationID=P20201204021")</f>
        <v>https://ntsu.idm.oclc.org/login?url=https://www.airitibooks.com/Detail/Detail?PublicationID=P20201204021</v>
      </c>
    </row>
    <row r="540" spans="1:11" ht="68" x14ac:dyDescent="0.4">
      <c r="A540" s="10" t="s">
        <v>15158</v>
      </c>
      <c r="B540" s="10" t="s">
        <v>15159</v>
      </c>
      <c r="C540" s="10" t="s">
        <v>8805</v>
      </c>
      <c r="D540" s="10" t="s">
        <v>15160</v>
      </c>
      <c r="E540" s="10" t="s">
        <v>5998</v>
      </c>
      <c r="F540" s="10" t="s">
        <v>3916</v>
      </c>
      <c r="G540" s="10" t="s">
        <v>37</v>
      </c>
      <c r="H540" s="7" t="s">
        <v>24</v>
      </c>
      <c r="I540" s="7" t="s">
        <v>25</v>
      </c>
      <c r="J540" s="13" t="str">
        <f>HYPERLINK("https://www.airitibooks.com/Detail/Detail?PublicationID=P20210111027", "https://www.airitibooks.com/Detail/Detail?PublicationID=P20210111027")</f>
        <v>https://www.airitibooks.com/Detail/Detail?PublicationID=P20210111027</v>
      </c>
      <c r="K540" s="13" t="str">
        <f>HYPERLINK("https://ntsu.idm.oclc.org/login?url=https://www.airitibooks.com/Detail/Detail?PublicationID=P20210111027", "https://ntsu.idm.oclc.org/login?url=https://www.airitibooks.com/Detail/Detail?PublicationID=P20210111027")</f>
        <v>https://ntsu.idm.oclc.org/login?url=https://www.airitibooks.com/Detail/Detail?PublicationID=P20210111027</v>
      </c>
    </row>
    <row r="541" spans="1:11" ht="51" x14ac:dyDescent="0.4">
      <c r="A541" s="10" t="s">
        <v>15274</v>
      </c>
      <c r="B541" s="10" t="s">
        <v>15275</v>
      </c>
      <c r="C541" s="10" t="s">
        <v>297</v>
      </c>
      <c r="D541" s="10" t="s">
        <v>5140</v>
      </c>
      <c r="E541" s="10" t="s">
        <v>5998</v>
      </c>
      <c r="F541" s="10" t="s">
        <v>1605</v>
      </c>
      <c r="G541" s="10" t="s">
        <v>37</v>
      </c>
      <c r="H541" s="7" t="s">
        <v>24</v>
      </c>
      <c r="I541" s="7" t="s">
        <v>25</v>
      </c>
      <c r="J541" s="13" t="str">
        <f>HYPERLINK("https://www.airitibooks.com/Detail/Detail?PublicationID=P20210225039", "https://www.airitibooks.com/Detail/Detail?PublicationID=P20210225039")</f>
        <v>https://www.airitibooks.com/Detail/Detail?PublicationID=P20210225039</v>
      </c>
      <c r="K541" s="13" t="str">
        <f>HYPERLINK("https://ntsu.idm.oclc.org/login?url=https://www.airitibooks.com/Detail/Detail?PublicationID=P20210225039", "https://ntsu.idm.oclc.org/login?url=https://www.airitibooks.com/Detail/Detail?PublicationID=P20210225039")</f>
        <v>https://ntsu.idm.oclc.org/login?url=https://www.airitibooks.com/Detail/Detail?PublicationID=P20210225039</v>
      </c>
    </row>
    <row r="542" spans="1:11" ht="51" x14ac:dyDescent="0.4">
      <c r="A542" s="10" t="s">
        <v>15427</v>
      </c>
      <c r="B542" s="10" t="s">
        <v>15428</v>
      </c>
      <c r="C542" s="10" t="s">
        <v>7164</v>
      </c>
      <c r="D542" s="10" t="s">
        <v>15429</v>
      </c>
      <c r="E542" s="10" t="s">
        <v>5998</v>
      </c>
      <c r="F542" s="10" t="s">
        <v>12295</v>
      </c>
      <c r="G542" s="10" t="s">
        <v>37</v>
      </c>
      <c r="H542" s="7" t="s">
        <v>24</v>
      </c>
      <c r="I542" s="7" t="s">
        <v>25</v>
      </c>
      <c r="J542" s="13" t="str">
        <f>HYPERLINK("https://www.airitibooks.com/Detail/Detail?PublicationID=P20210428049", "https://www.airitibooks.com/Detail/Detail?PublicationID=P20210428049")</f>
        <v>https://www.airitibooks.com/Detail/Detail?PublicationID=P20210428049</v>
      </c>
      <c r="K542" s="13" t="str">
        <f>HYPERLINK("https://ntsu.idm.oclc.org/login?url=https://www.airitibooks.com/Detail/Detail?PublicationID=P20210428049", "https://ntsu.idm.oclc.org/login?url=https://www.airitibooks.com/Detail/Detail?PublicationID=P20210428049")</f>
        <v>https://ntsu.idm.oclc.org/login?url=https://www.airitibooks.com/Detail/Detail?PublicationID=P20210428049</v>
      </c>
    </row>
    <row r="543" spans="1:11" ht="51" x14ac:dyDescent="0.4">
      <c r="A543" s="10" t="s">
        <v>10592</v>
      </c>
      <c r="B543" s="10" t="s">
        <v>10593</v>
      </c>
      <c r="C543" s="10" t="s">
        <v>791</v>
      </c>
      <c r="D543" s="10" t="s">
        <v>10594</v>
      </c>
      <c r="E543" s="10" t="s">
        <v>3219</v>
      </c>
      <c r="F543" s="10" t="s">
        <v>10595</v>
      </c>
      <c r="G543" s="10" t="s">
        <v>237</v>
      </c>
      <c r="H543" s="7" t="s">
        <v>24</v>
      </c>
      <c r="I543" s="7" t="s">
        <v>25</v>
      </c>
      <c r="J543" s="13" t="str">
        <f>HYPERLINK("https://www.airitibooks.com/Detail/Detail?PublicationID=P20190131019", "https://www.airitibooks.com/Detail/Detail?PublicationID=P20190131019")</f>
        <v>https://www.airitibooks.com/Detail/Detail?PublicationID=P20190131019</v>
      </c>
      <c r="K543" s="13" t="str">
        <f>HYPERLINK("https://ntsu.idm.oclc.org/login?url=https://www.airitibooks.com/Detail/Detail?PublicationID=P20190131019", "https://ntsu.idm.oclc.org/login?url=https://www.airitibooks.com/Detail/Detail?PublicationID=P20190131019")</f>
        <v>https://ntsu.idm.oclc.org/login?url=https://www.airitibooks.com/Detail/Detail?PublicationID=P20190131019</v>
      </c>
    </row>
    <row r="544" spans="1:11" ht="51" x14ac:dyDescent="0.4">
      <c r="A544" s="10" t="s">
        <v>10946</v>
      </c>
      <c r="B544" s="10" t="s">
        <v>10947</v>
      </c>
      <c r="C544" s="10" t="s">
        <v>108</v>
      </c>
      <c r="D544" s="10" t="s">
        <v>10948</v>
      </c>
      <c r="E544" s="10" t="s">
        <v>3219</v>
      </c>
      <c r="F544" s="10" t="s">
        <v>236</v>
      </c>
      <c r="G544" s="10" t="s">
        <v>237</v>
      </c>
      <c r="H544" s="7" t="s">
        <v>24</v>
      </c>
      <c r="I544" s="7" t="s">
        <v>25</v>
      </c>
      <c r="J544" s="13" t="str">
        <f>HYPERLINK("https://www.airitibooks.com/Detail/Detail?PublicationID=P20190322099", "https://www.airitibooks.com/Detail/Detail?PublicationID=P20190322099")</f>
        <v>https://www.airitibooks.com/Detail/Detail?PublicationID=P20190322099</v>
      </c>
      <c r="K544" s="13" t="str">
        <f>HYPERLINK("https://ntsu.idm.oclc.org/login?url=https://www.airitibooks.com/Detail/Detail?PublicationID=P20190322099", "https://ntsu.idm.oclc.org/login?url=https://www.airitibooks.com/Detail/Detail?PublicationID=P20190322099")</f>
        <v>https://ntsu.idm.oclc.org/login?url=https://www.airitibooks.com/Detail/Detail?PublicationID=P20190322099</v>
      </c>
    </row>
    <row r="545" spans="1:11" ht="102" x14ac:dyDescent="0.4">
      <c r="A545" s="10" t="s">
        <v>10959</v>
      </c>
      <c r="B545" s="10" t="s">
        <v>10960</v>
      </c>
      <c r="C545" s="10" t="s">
        <v>791</v>
      </c>
      <c r="D545" s="10" t="s">
        <v>10961</v>
      </c>
      <c r="E545" s="10" t="s">
        <v>3219</v>
      </c>
      <c r="F545" s="10" t="s">
        <v>10962</v>
      </c>
      <c r="G545" s="10" t="s">
        <v>237</v>
      </c>
      <c r="H545" s="7" t="s">
        <v>24</v>
      </c>
      <c r="I545" s="7" t="s">
        <v>25</v>
      </c>
      <c r="J545" s="13" t="str">
        <f>HYPERLINK("https://www.airitibooks.com/Detail/Detail?PublicationID=P20190322197", "https://www.airitibooks.com/Detail/Detail?PublicationID=P20190322197")</f>
        <v>https://www.airitibooks.com/Detail/Detail?PublicationID=P20190322197</v>
      </c>
      <c r="K545" s="13" t="str">
        <f>HYPERLINK("https://ntsu.idm.oclc.org/login?url=https://www.airitibooks.com/Detail/Detail?PublicationID=P20190322197", "https://ntsu.idm.oclc.org/login?url=https://www.airitibooks.com/Detail/Detail?PublicationID=P20190322197")</f>
        <v>https://ntsu.idm.oclc.org/login?url=https://www.airitibooks.com/Detail/Detail?PublicationID=P20190322197</v>
      </c>
    </row>
    <row r="546" spans="1:11" ht="51" x14ac:dyDescent="0.4">
      <c r="A546" s="10" t="s">
        <v>11063</v>
      </c>
      <c r="B546" s="10" t="s">
        <v>11064</v>
      </c>
      <c r="C546" s="10" t="s">
        <v>1727</v>
      </c>
      <c r="D546" s="10" t="s">
        <v>8694</v>
      </c>
      <c r="E546" s="10" t="s">
        <v>3219</v>
      </c>
      <c r="F546" s="10" t="s">
        <v>9431</v>
      </c>
      <c r="G546" s="10" t="s">
        <v>237</v>
      </c>
      <c r="H546" s="7" t="s">
        <v>24</v>
      </c>
      <c r="I546" s="7" t="s">
        <v>25</v>
      </c>
      <c r="J546" s="13" t="str">
        <f>HYPERLINK("https://www.airitibooks.com/Detail/Detail?PublicationID=P20190419028", "https://www.airitibooks.com/Detail/Detail?PublicationID=P20190419028")</f>
        <v>https://www.airitibooks.com/Detail/Detail?PublicationID=P20190419028</v>
      </c>
      <c r="K546" s="13" t="str">
        <f>HYPERLINK("https://ntsu.idm.oclc.org/login?url=https://www.airitibooks.com/Detail/Detail?PublicationID=P20190419028", "https://ntsu.idm.oclc.org/login?url=https://www.airitibooks.com/Detail/Detail?PublicationID=P20190419028")</f>
        <v>https://ntsu.idm.oclc.org/login?url=https://www.airitibooks.com/Detail/Detail?PublicationID=P20190419028</v>
      </c>
    </row>
    <row r="547" spans="1:11" ht="85" x14ac:dyDescent="0.4">
      <c r="A547" s="10" t="s">
        <v>11152</v>
      </c>
      <c r="B547" s="10" t="s">
        <v>11153</v>
      </c>
      <c r="C547" s="10" t="s">
        <v>791</v>
      </c>
      <c r="D547" s="10" t="s">
        <v>11154</v>
      </c>
      <c r="E547" s="10" t="s">
        <v>3219</v>
      </c>
      <c r="F547" s="10" t="s">
        <v>11155</v>
      </c>
      <c r="G547" s="10" t="s">
        <v>237</v>
      </c>
      <c r="H547" s="7" t="s">
        <v>24</v>
      </c>
      <c r="I547" s="7" t="s">
        <v>25</v>
      </c>
      <c r="J547" s="13" t="str">
        <f>HYPERLINK("https://www.airitibooks.com/Detail/Detail?PublicationID=P20190425015", "https://www.airitibooks.com/Detail/Detail?PublicationID=P20190425015")</f>
        <v>https://www.airitibooks.com/Detail/Detail?PublicationID=P20190425015</v>
      </c>
      <c r="K547" s="13" t="str">
        <f>HYPERLINK("https://ntsu.idm.oclc.org/login?url=https://www.airitibooks.com/Detail/Detail?PublicationID=P20190425015", "https://ntsu.idm.oclc.org/login?url=https://www.airitibooks.com/Detail/Detail?PublicationID=P20190425015")</f>
        <v>https://ntsu.idm.oclc.org/login?url=https://www.airitibooks.com/Detail/Detail?PublicationID=P20190425015</v>
      </c>
    </row>
    <row r="548" spans="1:11" ht="51" x14ac:dyDescent="0.4">
      <c r="A548" s="10" t="s">
        <v>11208</v>
      </c>
      <c r="B548" s="10" t="s">
        <v>11209</v>
      </c>
      <c r="C548" s="10" t="s">
        <v>11191</v>
      </c>
      <c r="D548" s="10" t="s">
        <v>11210</v>
      </c>
      <c r="E548" s="10" t="s">
        <v>3219</v>
      </c>
      <c r="F548" s="10" t="s">
        <v>11211</v>
      </c>
      <c r="G548" s="10" t="s">
        <v>237</v>
      </c>
      <c r="H548" s="7" t="s">
        <v>24</v>
      </c>
      <c r="I548" s="7" t="s">
        <v>25</v>
      </c>
      <c r="J548" s="13" t="str">
        <f>HYPERLINK("https://www.airitibooks.com/Detail/Detail?PublicationID=P20190425134", "https://www.airitibooks.com/Detail/Detail?PublicationID=P20190425134")</f>
        <v>https://www.airitibooks.com/Detail/Detail?PublicationID=P20190425134</v>
      </c>
      <c r="K548" s="13" t="str">
        <f>HYPERLINK("https://ntsu.idm.oclc.org/login?url=https://www.airitibooks.com/Detail/Detail?PublicationID=P20190425134", "https://ntsu.idm.oclc.org/login?url=https://www.airitibooks.com/Detail/Detail?PublicationID=P20190425134")</f>
        <v>https://ntsu.idm.oclc.org/login?url=https://www.airitibooks.com/Detail/Detail?PublicationID=P20190425134</v>
      </c>
    </row>
    <row r="549" spans="1:11" ht="68" x14ac:dyDescent="0.4">
      <c r="A549" s="10" t="s">
        <v>11336</v>
      </c>
      <c r="B549" s="10" t="s">
        <v>11337</v>
      </c>
      <c r="C549" s="10" t="s">
        <v>11338</v>
      </c>
      <c r="D549" s="10" t="s">
        <v>11339</v>
      </c>
      <c r="E549" s="10" t="s">
        <v>3219</v>
      </c>
      <c r="F549" s="10" t="s">
        <v>5629</v>
      </c>
      <c r="G549" s="10" t="s">
        <v>237</v>
      </c>
      <c r="H549" s="7" t="s">
        <v>24</v>
      </c>
      <c r="I549" s="7" t="s">
        <v>25</v>
      </c>
      <c r="J549" s="13" t="str">
        <f>HYPERLINK("https://www.airitibooks.com/Detail/Detail?PublicationID=P20190517017", "https://www.airitibooks.com/Detail/Detail?PublicationID=P20190517017")</f>
        <v>https://www.airitibooks.com/Detail/Detail?PublicationID=P20190517017</v>
      </c>
      <c r="K549" s="13" t="str">
        <f>HYPERLINK("https://ntsu.idm.oclc.org/login?url=https://www.airitibooks.com/Detail/Detail?PublicationID=P20190517017", "https://ntsu.idm.oclc.org/login?url=https://www.airitibooks.com/Detail/Detail?PublicationID=P20190517017")</f>
        <v>https://ntsu.idm.oclc.org/login?url=https://www.airitibooks.com/Detail/Detail?PublicationID=P20190517017</v>
      </c>
    </row>
    <row r="550" spans="1:11" ht="51" x14ac:dyDescent="0.4">
      <c r="A550" s="10" t="s">
        <v>11846</v>
      </c>
      <c r="B550" s="10" t="s">
        <v>11847</v>
      </c>
      <c r="C550" s="10" t="s">
        <v>439</v>
      </c>
      <c r="D550" s="10" t="s">
        <v>11848</v>
      </c>
      <c r="E550" s="10" t="s">
        <v>3219</v>
      </c>
      <c r="F550" s="10" t="s">
        <v>11849</v>
      </c>
      <c r="G550" s="10" t="s">
        <v>237</v>
      </c>
      <c r="H550" s="7" t="s">
        <v>24</v>
      </c>
      <c r="I550" s="7" t="s">
        <v>25</v>
      </c>
      <c r="J550" s="13" t="str">
        <f>HYPERLINK("https://www.airitibooks.com/Detail/Detail?PublicationID=P20190620081", "https://www.airitibooks.com/Detail/Detail?PublicationID=P20190620081")</f>
        <v>https://www.airitibooks.com/Detail/Detail?PublicationID=P20190620081</v>
      </c>
      <c r="K550" s="13" t="str">
        <f>HYPERLINK("https://ntsu.idm.oclc.org/login?url=https://www.airitibooks.com/Detail/Detail?PublicationID=P20190620081", "https://ntsu.idm.oclc.org/login?url=https://www.airitibooks.com/Detail/Detail?PublicationID=P20190620081")</f>
        <v>https://ntsu.idm.oclc.org/login?url=https://www.airitibooks.com/Detail/Detail?PublicationID=P20190620081</v>
      </c>
    </row>
    <row r="551" spans="1:11" ht="51" x14ac:dyDescent="0.4">
      <c r="A551" s="10" t="s">
        <v>11850</v>
      </c>
      <c r="B551" s="10" t="s">
        <v>11851</v>
      </c>
      <c r="C551" s="10" t="s">
        <v>439</v>
      </c>
      <c r="D551" s="10" t="s">
        <v>11848</v>
      </c>
      <c r="E551" s="10" t="s">
        <v>3219</v>
      </c>
      <c r="F551" s="10" t="s">
        <v>624</v>
      </c>
      <c r="G551" s="10" t="s">
        <v>237</v>
      </c>
      <c r="H551" s="7" t="s">
        <v>24</v>
      </c>
      <c r="I551" s="7" t="s">
        <v>25</v>
      </c>
      <c r="J551" s="13" t="str">
        <f>HYPERLINK("https://www.airitibooks.com/Detail/Detail?PublicationID=P20190620082", "https://www.airitibooks.com/Detail/Detail?PublicationID=P20190620082")</f>
        <v>https://www.airitibooks.com/Detail/Detail?PublicationID=P20190620082</v>
      </c>
      <c r="K551" s="13" t="str">
        <f>HYPERLINK("https://ntsu.idm.oclc.org/login?url=https://www.airitibooks.com/Detail/Detail?PublicationID=P20190620082", "https://ntsu.idm.oclc.org/login?url=https://www.airitibooks.com/Detail/Detail?PublicationID=P20190620082")</f>
        <v>https://ntsu.idm.oclc.org/login?url=https://www.airitibooks.com/Detail/Detail?PublicationID=P20190620082</v>
      </c>
    </row>
    <row r="552" spans="1:11" ht="51" x14ac:dyDescent="0.4">
      <c r="A552" s="10" t="s">
        <v>11859</v>
      </c>
      <c r="B552" s="10" t="s">
        <v>11860</v>
      </c>
      <c r="C552" s="10" t="s">
        <v>439</v>
      </c>
      <c r="D552" s="10" t="s">
        <v>11848</v>
      </c>
      <c r="E552" s="10" t="s">
        <v>3219</v>
      </c>
      <c r="F552" s="10" t="s">
        <v>624</v>
      </c>
      <c r="G552" s="10" t="s">
        <v>237</v>
      </c>
      <c r="H552" s="7" t="s">
        <v>24</v>
      </c>
      <c r="I552" s="7" t="s">
        <v>25</v>
      </c>
      <c r="J552" s="13" t="str">
        <f>HYPERLINK("https://www.airitibooks.com/Detail/Detail?PublicationID=P20190620086", "https://www.airitibooks.com/Detail/Detail?PublicationID=P20190620086")</f>
        <v>https://www.airitibooks.com/Detail/Detail?PublicationID=P20190620086</v>
      </c>
      <c r="K552" s="13" t="str">
        <f>HYPERLINK("https://ntsu.idm.oclc.org/login?url=https://www.airitibooks.com/Detail/Detail?PublicationID=P20190620086", "https://ntsu.idm.oclc.org/login?url=https://www.airitibooks.com/Detail/Detail?PublicationID=P20190620086")</f>
        <v>https://ntsu.idm.oclc.org/login?url=https://www.airitibooks.com/Detail/Detail?PublicationID=P20190620086</v>
      </c>
    </row>
    <row r="553" spans="1:11" ht="68" x14ac:dyDescent="0.4">
      <c r="A553" s="10" t="s">
        <v>11990</v>
      </c>
      <c r="B553" s="10" t="s">
        <v>11991</v>
      </c>
      <c r="C553" s="10" t="s">
        <v>7428</v>
      </c>
      <c r="D553" s="10" t="s">
        <v>11992</v>
      </c>
      <c r="E553" s="10" t="s">
        <v>3219</v>
      </c>
      <c r="F553" s="10" t="s">
        <v>3707</v>
      </c>
      <c r="G553" s="10" t="s">
        <v>237</v>
      </c>
      <c r="H553" s="7" t="s">
        <v>24</v>
      </c>
      <c r="I553" s="7" t="s">
        <v>25</v>
      </c>
      <c r="J553" s="13" t="str">
        <f>HYPERLINK("https://www.airitibooks.com/Detail/Detail?PublicationID=P20190718044", "https://www.airitibooks.com/Detail/Detail?PublicationID=P20190718044")</f>
        <v>https://www.airitibooks.com/Detail/Detail?PublicationID=P20190718044</v>
      </c>
      <c r="K553" s="13" t="str">
        <f>HYPERLINK("https://ntsu.idm.oclc.org/login?url=https://www.airitibooks.com/Detail/Detail?PublicationID=P20190718044", "https://ntsu.idm.oclc.org/login?url=https://www.airitibooks.com/Detail/Detail?PublicationID=P20190718044")</f>
        <v>https://ntsu.idm.oclc.org/login?url=https://www.airitibooks.com/Detail/Detail?PublicationID=P20190718044</v>
      </c>
    </row>
    <row r="554" spans="1:11" ht="51" x14ac:dyDescent="0.4">
      <c r="A554" s="10" t="s">
        <v>12034</v>
      </c>
      <c r="B554" s="10" t="s">
        <v>12035</v>
      </c>
      <c r="C554" s="10" t="s">
        <v>413</v>
      </c>
      <c r="D554" s="10" t="s">
        <v>12036</v>
      </c>
      <c r="E554" s="10" t="s">
        <v>3219</v>
      </c>
      <c r="F554" s="10" t="s">
        <v>9969</v>
      </c>
      <c r="G554" s="10" t="s">
        <v>237</v>
      </c>
      <c r="H554" s="7" t="s">
        <v>24</v>
      </c>
      <c r="I554" s="7" t="s">
        <v>25</v>
      </c>
      <c r="J554" s="13" t="str">
        <f>HYPERLINK("https://www.airitibooks.com/Detail/Detail?PublicationID=P20190816064", "https://www.airitibooks.com/Detail/Detail?PublicationID=P20190816064")</f>
        <v>https://www.airitibooks.com/Detail/Detail?PublicationID=P20190816064</v>
      </c>
      <c r="K554" s="13" t="str">
        <f>HYPERLINK("https://ntsu.idm.oclc.org/login?url=https://www.airitibooks.com/Detail/Detail?PublicationID=P20190816064", "https://ntsu.idm.oclc.org/login?url=https://www.airitibooks.com/Detail/Detail?PublicationID=P20190816064")</f>
        <v>https://ntsu.idm.oclc.org/login?url=https://www.airitibooks.com/Detail/Detail?PublicationID=P20190816064</v>
      </c>
    </row>
    <row r="555" spans="1:11" ht="51" x14ac:dyDescent="0.4">
      <c r="A555" s="10" t="s">
        <v>12037</v>
      </c>
      <c r="B555" s="10" t="s">
        <v>12038</v>
      </c>
      <c r="C555" s="10" t="s">
        <v>413</v>
      </c>
      <c r="D555" s="10" t="s">
        <v>12036</v>
      </c>
      <c r="E555" s="10" t="s">
        <v>3219</v>
      </c>
      <c r="F555" s="10" t="s">
        <v>9969</v>
      </c>
      <c r="G555" s="10" t="s">
        <v>237</v>
      </c>
      <c r="H555" s="7" t="s">
        <v>24</v>
      </c>
      <c r="I555" s="7" t="s">
        <v>25</v>
      </c>
      <c r="J555" s="13" t="str">
        <f>HYPERLINK("https://www.airitibooks.com/Detail/Detail?PublicationID=P20190816065", "https://www.airitibooks.com/Detail/Detail?PublicationID=P20190816065")</f>
        <v>https://www.airitibooks.com/Detail/Detail?PublicationID=P20190816065</v>
      </c>
      <c r="K555" s="13" t="str">
        <f>HYPERLINK("https://ntsu.idm.oclc.org/login?url=https://www.airitibooks.com/Detail/Detail?PublicationID=P20190816065", "https://ntsu.idm.oclc.org/login?url=https://www.airitibooks.com/Detail/Detail?PublicationID=P20190816065")</f>
        <v>https://ntsu.idm.oclc.org/login?url=https://www.airitibooks.com/Detail/Detail?PublicationID=P20190816065</v>
      </c>
    </row>
    <row r="556" spans="1:11" ht="51" x14ac:dyDescent="0.4">
      <c r="A556" s="10" t="s">
        <v>12039</v>
      </c>
      <c r="B556" s="10" t="s">
        <v>12040</v>
      </c>
      <c r="C556" s="10" t="s">
        <v>413</v>
      </c>
      <c r="D556" s="10" t="s">
        <v>12036</v>
      </c>
      <c r="E556" s="10" t="s">
        <v>3219</v>
      </c>
      <c r="F556" s="10" t="s">
        <v>9969</v>
      </c>
      <c r="G556" s="10" t="s">
        <v>237</v>
      </c>
      <c r="H556" s="7" t="s">
        <v>24</v>
      </c>
      <c r="I556" s="7" t="s">
        <v>25</v>
      </c>
      <c r="J556" s="13" t="str">
        <f>HYPERLINK("https://www.airitibooks.com/Detail/Detail?PublicationID=P20190816066", "https://www.airitibooks.com/Detail/Detail?PublicationID=P20190816066")</f>
        <v>https://www.airitibooks.com/Detail/Detail?PublicationID=P20190816066</v>
      </c>
      <c r="K556" s="13" t="str">
        <f>HYPERLINK("https://ntsu.idm.oclc.org/login?url=https://www.airitibooks.com/Detail/Detail?PublicationID=P20190816066", "https://ntsu.idm.oclc.org/login?url=https://www.airitibooks.com/Detail/Detail?PublicationID=P20190816066")</f>
        <v>https://ntsu.idm.oclc.org/login?url=https://www.airitibooks.com/Detail/Detail?PublicationID=P20190816066</v>
      </c>
    </row>
    <row r="557" spans="1:11" ht="51" x14ac:dyDescent="0.4">
      <c r="A557" s="10" t="s">
        <v>12229</v>
      </c>
      <c r="B557" s="10" t="s">
        <v>12230</v>
      </c>
      <c r="C557" s="10" t="s">
        <v>7020</v>
      </c>
      <c r="D557" s="10" t="s">
        <v>7021</v>
      </c>
      <c r="E557" s="10" t="s">
        <v>3219</v>
      </c>
      <c r="F557" s="10" t="s">
        <v>6069</v>
      </c>
      <c r="G557" s="10" t="s">
        <v>237</v>
      </c>
      <c r="H557" s="7" t="s">
        <v>24</v>
      </c>
      <c r="I557" s="7" t="s">
        <v>25</v>
      </c>
      <c r="J557" s="13" t="str">
        <f>HYPERLINK("https://www.airitibooks.com/Detail/Detail?PublicationID=P20190905063", "https://www.airitibooks.com/Detail/Detail?PublicationID=P20190905063")</f>
        <v>https://www.airitibooks.com/Detail/Detail?PublicationID=P20190905063</v>
      </c>
      <c r="K557" s="13" t="str">
        <f>HYPERLINK("https://ntsu.idm.oclc.org/login?url=https://www.airitibooks.com/Detail/Detail?PublicationID=P20190905063", "https://ntsu.idm.oclc.org/login?url=https://www.airitibooks.com/Detail/Detail?PublicationID=P20190905063")</f>
        <v>https://ntsu.idm.oclc.org/login?url=https://www.airitibooks.com/Detail/Detail?PublicationID=P20190905063</v>
      </c>
    </row>
    <row r="558" spans="1:11" ht="51" x14ac:dyDescent="0.4">
      <c r="A558" s="10" t="s">
        <v>12231</v>
      </c>
      <c r="B558" s="10" t="s">
        <v>12232</v>
      </c>
      <c r="C558" s="10" t="s">
        <v>7020</v>
      </c>
      <c r="D558" s="10" t="s">
        <v>7021</v>
      </c>
      <c r="E558" s="10" t="s">
        <v>3219</v>
      </c>
      <c r="F558" s="10" t="s">
        <v>6069</v>
      </c>
      <c r="G558" s="10" t="s">
        <v>237</v>
      </c>
      <c r="H558" s="7" t="s">
        <v>24</v>
      </c>
      <c r="I558" s="7" t="s">
        <v>25</v>
      </c>
      <c r="J558" s="13" t="str">
        <f>HYPERLINK("https://www.airitibooks.com/Detail/Detail?PublicationID=P20190905064", "https://www.airitibooks.com/Detail/Detail?PublicationID=P20190905064")</f>
        <v>https://www.airitibooks.com/Detail/Detail?PublicationID=P20190905064</v>
      </c>
      <c r="K558" s="13" t="str">
        <f>HYPERLINK("https://ntsu.idm.oclc.org/login?url=https://www.airitibooks.com/Detail/Detail?PublicationID=P20190905064", "https://ntsu.idm.oclc.org/login?url=https://www.airitibooks.com/Detail/Detail?PublicationID=P20190905064")</f>
        <v>https://ntsu.idm.oclc.org/login?url=https://www.airitibooks.com/Detail/Detail?PublicationID=P20190905064</v>
      </c>
    </row>
    <row r="559" spans="1:11" ht="102" x14ac:dyDescent="0.4">
      <c r="A559" s="10" t="s">
        <v>12236</v>
      </c>
      <c r="B559" s="10" t="s">
        <v>12237</v>
      </c>
      <c r="C559" s="10" t="s">
        <v>12154</v>
      </c>
      <c r="D559" s="10" t="s">
        <v>12238</v>
      </c>
      <c r="E559" s="10" t="s">
        <v>3219</v>
      </c>
      <c r="F559" s="10" t="s">
        <v>960</v>
      </c>
      <c r="G559" s="10" t="s">
        <v>237</v>
      </c>
      <c r="H559" s="7" t="s">
        <v>24</v>
      </c>
      <c r="I559" s="7" t="s">
        <v>25</v>
      </c>
      <c r="J559" s="13" t="str">
        <f>HYPERLINK("https://www.airitibooks.com/Detail/Detail?PublicationID=P20190905091", "https://www.airitibooks.com/Detail/Detail?PublicationID=P20190905091")</f>
        <v>https://www.airitibooks.com/Detail/Detail?PublicationID=P20190905091</v>
      </c>
      <c r="K559" s="13" t="str">
        <f>HYPERLINK("https://ntsu.idm.oclc.org/login?url=https://www.airitibooks.com/Detail/Detail?PublicationID=P20190905091", "https://ntsu.idm.oclc.org/login?url=https://www.airitibooks.com/Detail/Detail?PublicationID=P20190905091")</f>
        <v>https://ntsu.idm.oclc.org/login?url=https://www.airitibooks.com/Detail/Detail?PublicationID=P20190905091</v>
      </c>
    </row>
    <row r="560" spans="1:11" ht="51" x14ac:dyDescent="0.4">
      <c r="A560" s="10" t="s">
        <v>12320</v>
      </c>
      <c r="B560" s="10" t="s">
        <v>12321</v>
      </c>
      <c r="C560" s="10" t="s">
        <v>297</v>
      </c>
      <c r="D560" s="10" t="s">
        <v>12322</v>
      </c>
      <c r="E560" s="10" t="s">
        <v>3219</v>
      </c>
      <c r="F560" s="10" t="s">
        <v>2698</v>
      </c>
      <c r="G560" s="10" t="s">
        <v>237</v>
      </c>
      <c r="H560" s="7" t="s">
        <v>24</v>
      </c>
      <c r="I560" s="7" t="s">
        <v>25</v>
      </c>
      <c r="J560" s="13" t="str">
        <f>HYPERLINK("https://www.airitibooks.com/Detail/Detail?PublicationID=P20190920105", "https://www.airitibooks.com/Detail/Detail?PublicationID=P20190920105")</f>
        <v>https://www.airitibooks.com/Detail/Detail?PublicationID=P20190920105</v>
      </c>
      <c r="K560" s="13" t="str">
        <f>HYPERLINK("https://ntsu.idm.oclc.org/login?url=https://www.airitibooks.com/Detail/Detail?PublicationID=P20190920105", "https://ntsu.idm.oclc.org/login?url=https://www.airitibooks.com/Detail/Detail?PublicationID=P20190920105")</f>
        <v>https://ntsu.idm.oclc.org/login?url=https://www.airitibooks.com/Detail/Detail?PublicationID=P20190920105</v>
      </c>
    </row>
    <row r="561" spans="1:11" ht="51" x14ac:dyDescent="0.4">
      <c r="A561" s="10" t="s">
        <v>12328</v>
      </c>
      <c r="B561" s="10" t="s">
        <v>12329</v>
      </c>
      <c r="C561" s="10" t="s">
        <v>439</v>
      </c>
      <c r="D561" s="10" t="s">
        <v>12330</v>
      </c>
      <c r="E561" s="10" t="s">
        <v>3219</v>
      </c>
      <c r="F561" s="10" t="s">
        <v>483</v>
      </c>
      <c r="G561" s="10" t="s">
        <v>237</v>
      </c>
      <c r="H561" s="7" t="s">
        <v>24</v>
      </c>
      <c r="I561" s="7" t="s">
        <v>25</v>
      </c>
      <c r="J561" s="13" t="str">
        <f>HYPERLINK("https://www.airitibooks.com/Detail/Detail?PublicationID=P20190920111", "https://www.airitibooks.com/Detail/Detail?PublicationID=P20190920111")</f>
        <v>https://www.airitibooks.com/Detail/Detail?PublicationID=P20190920111</v>
      </c>
      <c r="K561" s="13" t="str">
        <f>HYPERLINK("https://ntsu.idm.oclc.org/login?url=https://www.airitibooks.com/Detail/Detail?PublicationID=P20190920111", "https://ntsu.idm.oclc.org/login?url=https://www.airitibooks.com/Detail/Detail?PublicationID=P20190920111")</f>
        <v>https://ntsu.idm.oclc.org/login?url=https://www.airitibooks.com/Detail/Detail?PublicationID=P20190920111</v>
      </c>
    </row>
    <row r="562" spans="1:11" ht="51" x14ac:dyDescent="0.4">
      <c r="A562" s="10" t="s">
        <v>12338</v>
      </c>
      <c r="B562" s="10" t="s">
        <v>12339</v>
      </c>
      <c r="C562" s="10" t="s">
        <v>439</v>
      </c>
      <c r="D562" s="10" t="s">
        <v>12330</v>
      </c>
      <c r="E562" s="10" t="s">
        <v>3219</v>
      </c>
      <c r="F562" s="10" t="s">
        <v>483</v>
      </c>
      <c r="G562" s="10" t="s">
        <v>237</v>
      </c>
      <c r="H562" s="7" t="s">
        <v>24</v>
      </c>
      <c r="I562" s="7" t="s">
        <v>25</v>
      </c>
      <c r="J562" s="13" t="str">
        <f>HYPERLINK("https://www.airitibooks.com/Detail/Detail?PublicationID=P20190920118", "https://www.airitibooks.com/Detail/Detail?PublicationID=P20190920118")</f>
        <v>https://www.airitibooks.com/Detail/Detail?PublicationID=P20190920118</v>
      </c>
      <c r="K562" s="13" t="str">
        <f>HYPERLINK("https://ntsu.idm.oclc.org/login?url=https://www.airitibooks.com/Detail/Detail?PublicationID=P20190920118", "https://ntsu.idm.oclc.org/login?url=https://www.airitibooks.com/Detail/Detail?PublicationID=P20190920118")</f>
        <v>https://ntsu.idm.oclc.org/login?url=https://www.airitibooks.com/Detail/Detail?PublicationID=P20190920118</v>
      </c>
    </row>
    <row r="563" spans="1:11" ht="51" x14ac:dyDescent="0.4">
      <c r="A563" s="10" t="s">
        <v>12378</v>
      </c>
      <c r="B563" s="10" t="s">
        <v>12379</v>
      </c>
      <c r="C563" s="10" t="s">
        <v>3798</v>
      </c>
      <c r="D563" s="10" t="s">
        <v>12380</v>
      </c>
      <c r="E563" s="10" t="s">
        <v>3219</v>
      </c>
      <c r="F563" s="10" t="s">
        <v>12381</v>
      </c>
      <c r="G563" s="10" t="s">
        <v>237</v>
      </c>
      <c r="H563" s="7" t="s">
        <v>24</v>
      </c>
      <c r="I563" s="7" t="s">
        <v>25</v>
      </c>
      <c r="J563" s="13" t="str">
        <f>HYPERLINK("https://www.airitibooks.com/Detail/Detail?PublicationID=P20190927211", "https://www.airitibooks.com/Detail/Detail?PublicationID=P20190927211")</f>
        <v>https://www.airitibooks.com/Detail/Detail?PublicationID=P20190927211</v>
      </c>
      <c r="K563" s="13" t="str">
        <f>HYPERLINK("https://ntsu.idm.oclc.org/login?url=https://www.airitibooks.com/Detail/Detail?PublicationID=P20190927211", "https://ntsu.idm.oclc.org/login?url=https://www.airitibooks.com/Detail/Detail?PublicationID=P20190927211")</f>
        <v>https://ntsu.idm.oclc.org/login?url=https://www.airitibooks.com/Detail/Detail?PublicationID=P20190927211</v>
      </c>
    </row>
    <row r="564" spans="1:11" ht="51" x14ac:dyDescent="0.4">
      <c r="A564" s="10" t="s">
        <v>12424</v>
      </c>
      <c r="B564" s="10" t="s">
        <v>12425</v>
      </c>
      <c r="C564" s="10" t="s">
        <v>7020</v>
      </c>
      <c r="D564" s="10" t="s">
        <v>7021</v>
      </c>
      <c r="E564" s="10" t="s">
        <v>3219</v>
      </c>
      <c r="F564" s="10" t="s">
        <v>6069</v>
      </c>
      <c r="G564" s="10" t="s">
        <v>237</v>
      </c>
      <c r="H564" s="7" t="s">
        <v>24</v>
      </c>
      <c r="I564" s="7" t="s">
        <v>25</v>
      </c>
      <c r="J564" s="13" t="str">
        <f>HYPERLINK("https://www.airitibooks.com/Detail/Detail?PublicationID=P20190927259", "https://www.airitibooks.com/Detail/Detail?PublicationID=P20190927259")</f>
        <v>https://www.airitibooks.com/Detail/Detail?PublicationID=P20190927259</v>
      </c>
      <c r="K564" s="13" t="str">
        <f>HYPERLINK("https://ntsu.idm.oclc.org/login?url=https://www.airitibooks.com/Detail/Detail?PublicationID=P20190927259", "https://ntsu.idm.oclc.org/login?url=https://www.airitibooks.com/Detail/Detail?PublicationID=P20190927259")</f>
        <v>https://ntsu.idm.oclc.org/login?url=https://www.airitibooks.com/Detail/Detail?PublicationID=P20190927259</v>
      </c>
    </row>
    <row r="565" spans="1:11" ht="51" x14ac:dyDescent="0.4">
      <c r="A565" s="10" t="s">
        <v>12467</v>
      </c>
      <c r="B565" s="10" t="s">
        <v>12468</v>
      </c>
      <c r="C565" s="10" t="s">
        <v>1727</v>
      </c>
      <c r="D565" s="10" t="s">
        <v>8694</v>
      </c>
      <c r="E565" s="10" t="s">
        <v>3219</v>
      </c>
      <c r="F565" s="10" t="s">
        <v>8695</v>
      </c>
      <c r="G565" s="10" t="s">
        <v>237</v>
      </c>
      <c r="H565" s="7" t="s">
        <v>24</v>
      </c>
      <c r="I565" s="7" t="s">
        <v>25</v>
      </c>
      <c r="J565" s="13" t="str">
        <f>HYPERLINK("https://www.airitibooks.com/Detail/Detail?PublicationID=P20191005033", "https://www.airitibooks.com/Detail/Detail?PublicationID=P20191005033")</f>
        <v>https://www.airitibooks.com/Detail/Detail?PublicationID=P20191005033</v>
      </c>
      <c r="K565" s="13" t="str">
        <f>HYPERLINK("https://ntsu.idm.oclc.org/login?url=https://www.airitibooks.com/Detail/Detail?PublicationID=P20191005033", "https://ntsu.idm.oclc.org/login?url=https://www.airitibooks.com/Detail/Detail?PublicationID=P20191005033")</f>
        <v>https://ntsu.idm.oclc.org/login?url=https://www.airitibooks.com/Detail/Detail?PublicationID=P20191005033</v>
      </c>
    </row>
    <row r="566" spans="1:11" ht="68" x14ac:dyDescent="0.4">
      <c r="A566" s="10" t="s">
        <v>12705</v>
      </c>
      <c r="B566" s="10" t="s">
        <v>12706</v>
      </c>
      <c r="C566" s="10" t="s">
        <v>791</v>
      </c>
      <c r="D566" s="10" t="s">
        <v>8382</v>
      </c>
      <c r="E566" s="10" t="s">
        <v>3219</v>
      </c>
      <c r="F566" s="10" t="s">
        <v>8975</v>
      </c>
      <c r="G566" s="10" t="s">
        <v>237</v>
      </c>
      <c r="H566" s="7" t="s">
        <v>24</v>
      </c>
      <c r="I566" s="7" t="s">
        <v>25</v>
      </c>
      <c r="J566" s="13" t="str">
        <f>HYPERLINK("https://www.airitibooks.com/Detail/Detail?PublicationID=P20191023084", "https://www.airitibooks.com/Detail/Detail?PublicationID=P20191023084")</f>
        <v>https://www.airitibooks.com/Detail/Detail?PublicationID=P20191023084</v>
      </c>
      <c r="K566" s="13" t="str">
        <f>HYPERLINK("https://ntsu.idm.oclc.org/login?url=https://www.airitibooks.com/Detail/Detail?PublicationID=P20191023084", "https://ntsu.idm.oclc.org/login?url=https://www.airitibooks.com/Detail/Detail?PublicationID=P20191023084")</f>
        <v>https://ntsu.idm.oclc.org/login?url=https://www.airitibooks.com/Detail/Detail?PublicationID=P20191023084</v>
      </c>
    </row>
    <row r="567" spans="1:11" ht="51" x14ac:dyDescent="0.4">
      <c r="A567" s="10" t="s">
        <v>12760</v>
      </c>
      <c r="B567" s="10" t="s">
        <v>12761</v>
      </c>
      <c r="C567" s="10" t="s">
        <v>7164</v>
      </c>
      <c r="D567" s="10" t="s">
        <v>12762</v>
      </c>
      <c r="E567" s="10" t="s">
        <v>3219</v>
      </c>
      <c r="F567" s="10" t="s">
        <v>6638</v>
      </c>
      <c r="G567" s="10" t="s">
        <v>237</v>
      </c>
      <c r="H567" s="7" t="s">
        <v>24</v>
      </c>
      <c r="I567" s="7" t="s">
        <v>25</v>
      </c>
      <c r="J567" s="13" t="str">
        <f>HYPERLINK("https://www.airitibooks.com/Detail/Detail?PublicationID=P20191031031", "https://www.airitibooks.com/Detail/Detail?PublicationID=P20191031031")</f>
        <v>https://www.airitibooks.com/Detail/Detail?PublicationID=P20191031031</v>
      </c>
      <c r="K567" s="13" t="str">
        <f>HYPERLINK("https://ntsu.idm.oclc.org/login?url=https://www.airitibooks.com/Detail/Detail?PublicationID=P20191031031", "https://ntsu.idm.oclc.org/login?url=https://www.airitibooks.com/Detail/Detail?PublicationID=P20191031031")</f>
        <v>https://ntsu.idm.oclc.org/login?url=https://www.airitibooks.com/Detail/Detail?PublicationID=P20191031031</v>
      </c>
    </row>
    <row r="568" spans="1:11" ht="51" x14ac:dyDescent="0.4">
      <c r="A568" s="10" t="s">
        <v>12765</v>
      </c>
      <c r="B568" s="10" t="s">
        <v>12766</v>
      </c>
      <c r="C568" s="10" t="s">
        <v>7164</v>
      </c>
      <c r="D568" s="10" t="s">
        <v>12767</v>
      </c>
      <c r="E568" s="10" t="s">
        <v>3219</v>
      </c>
      <c r="F568" s="10" t="s">
        <v>12768</v>
      </c>
      <c r="G568" s="10" t="s">
        <v>237</v>
      </c>
      <c r="H568" s="7" t="s">
        <v>24</v>
      </c>
      <c r="I568" s="7" t="s">
        <v>25</v>
      </c>
      <c r="J568" s="13" t="str">
        <f>HYPERLINK("https://www.airitibooks.com/Detail/Detail?PublicationID=P20191031033", "https://www.airitibooks.com/Detail/Detail?PublicationID=P20191031033")</f>
        <v>https://www.airitibooks.com/Detail/Detail?PublicationID=P20191031033</v>
      </c>
      <c r="K568" s="13" t="str">
        <f>HYPERLINK("https://ntsu.idm.oclc.org/login?url=https://www.airitibooks.com/Detail/Detail?PublicationID=P20191031033", "https://ntsu.idm.oclc.org/login?url=https://www.airitibooks.com/Detail/Detail?PublicationID=P20191031033")</f>
        <v>https://ntsu.idm.oclc.org/login?url=https://www.airitibooks.com/Detail/Detail?PublicationID=P20191031033</v>
      </c>
    </row>
    <row r="569" spans="1:11" ht="51" x14ac:dyDescent="0.4">
      <c r="A569" s="10" t="s">
        <v>12817</v>
      </c>
      <c r="B569" s="10" t="s">
        <v>12818</v>
      </c>
      <c r="C569" s="10" t="s">
        <v>12491</v>
      </c>
      <c r="D569" s="10" t="s">
        <v>12819</v>
      </c>
      <c r="E569" s="10" t="s">
        <v>3219</v>
      </c>
      <c r="F569" s="10" t="s">
        <v>3328</v>
      </c>
      <c r="G569" s="10" t="s">
        <v>237</v>
      </c>
      <c r="H569" s="7" t="s">
        <v>1031</v>
      </c>
      <c r="I569" s="7" t="s">
        <v>25</v>
      </c>
      <c r="J569" s="13" t="str">
        <f>HYPERLINK("https://www.airitibooks.com/Detail/Detail?PublicationID=P20191031156", "https://www.airitibooks.com/Detail/Detail?PublicationID=P20191031156")</f>
        <v>https://www.airitibooks.com/Detail/Detail?PublicationID=P20191031156</v>
      </c>
      <c r="K569" s="13" t="str">
        <f>HYPERLINK("https://ntsu.idm.oclc.org/login?url=https://www.airitibooks.com/Detail/Detail?PublicationID=P20191031156", "https://ntsu.idm.oclc.org/login?url=https://www.airitibooks.com/Detail/Detail?PublicationID=P20191031156")</f>
        <v>https://ntsu.idm.oclc.org/login?url=https://www.airitibooks.com/Detail/Detail?PublicationID=P20191031156</v>
      </c>
    </row>
    <row r="570" spans="1:11" ht="51" x14ac:dyDescent="0.4">
      <c r="A570" s="10" t="s">
        <v>12955</v>
      </c>
      <c r="B570" s="10" t="s">
        <v>12956</v>
      </c>
      <c r="C570" s="10" t="s">
        <v>8732</v>
      </c>
      <c r="D570" s="10" t="s">
        <v>313</v>
      </c>
      <c r="E570" s="10" t="s">
        <v>3219</v>
      </c>
      <c r="F570" s="10" t="s">
        <v>12957</v>
      </c>
      <c r="G570" s="10" t="s">
        <v>237</v>
      </c>
      <c r="H570" s="7" t="s">
        <v>24</v>
      </c>
      <c r="I570" s="7" t="s">
        <v>25</v>
      </c>
      <c r="J570" s="13" t="str">
        <f>HYPERLINK("https://www.airitibooks.com/Detail/Detail?PublicationID=P20191108044", "https://www.airitibooks.com/Detail/Detail?PublicationID=P20191108044")</f>
        <v>https://www.airitibooks.com/Detail/Detail?PublicationID=P20191108044</v>
      </c>
      <c r="K570" s="13" t="str">
        <f>HYPERLINK("https://ntsu.idm.oclc.org/login?url=https://www.airitibooks.com/Detail/Detail?PublicationID=P20191108044", "https://ntsu.idm.oclc.org/login?url=https://www.airitibooks.com/Detail/Detail?PublicationID=P20191108044")</f>
        <v>https://ntsu.idm.oclc.org/login?url=https://www.airitibooks.com/Detail/Detail?PublicationID=P20191108044</v>
      </c>
    </row>
    <row r="571" spans="1:11" ht="51" x14ac:dyDescent="0.4">
      <c r="A571" s="10" t="s">
        <v>13035</v>
      </c>
      <c r="B571" s="10" t="s">
        <v>13036</v>
      </c>
      <c r="C571" s="10" t="s">
        <v>7020</v>
      </c>
      <c r="D571" s="10" t="s">
        <v>7021</v>
      </c>
      <c r="E571" s="10" t="s">
        <v>3219</v>
      </c>
      <c r="F571" s="10" t="s">
        <v>6069</v>
      </c>
      <c r="G571" s="10" t="s">
        <v>237</v>
      </c>
      <c r="H571" s="7" t="s">
        <v>24</v>
      </c>
      <c r="I571" s="7" t="s">
        <v>25</v>
      </c>
      <c r="J571" s="13" t="str">
        <f>HYPERLINK("https://www.airitibooks.com/Detail/Detail?PublicationID=P20191128072", "https://www.airitibooks.com/Detail/Detail?PublicationID=P20191128072")</f>
        <v>https://www.airitibooks.com/Detail/Detail?PublicationID=P20191128072</v>
      </c>
      <c r="K571" s="13" t="str">
        <f>HYPERLINK("https://ntsu.idm.oclc.org/login?url=https://www.airitibooks.com/Detail/Detail?PublicationID=P20191128072", "https://ntsu.idm.oclc.org/login?url=https://www.airitibooks.com/Detail/Detail?PublicationID=P20191128072")</f>
        <v>https://ntsu.idm.oclc.org/login?url=https://www.airitibooks.com/Detail/Detail?PublicationID=P20191128072</v>
      </c>
    </row>
    <row r="572" spans="1:11" ht="51" x14ac:dyDescent="0.4">
      <c r="A572" s="10" t="s">
        <v>13271</v>
      </c>
      <c r="B572" s="10" t="s">
        <v>13272</v>
      </c>
      <c r="C572" s="10" t="s">
        <v>1320</v>
      </c>
      <c r="D572" s="10" t="s">
        <v>13273</v>
      </c>
      <c r="E572" s="10" t="s">
        <v>3219</v>
      </c>
      <c r="F572" s="10" t="s">
        <v>13274</v>
      </c>
      <c r="G572" s="10" t="s">
        <v>237</v>
      </c>
      <c r="H572" s="7" t="s">
        <v>24</v>
      </c>
      <c r="I572" s="7" t="s">
        <v>25</v>
      </c>
      <c r="J572" s="13" t="str">
        <f>HYPERLINK("https://www.airitibooks.com/Detail/Detail?PublicationID=P20200110034", "https://www.airitibooks.com/Detail/Detail?PublicationID=P20200110034")</f>
        <v>https://www.airitibooks.com/Detail/Detail?PublicationID=P20200110034</v>
      </c>
      <c r="K572" s="13" t="str">
        <f>HYPERLINK("https://ntsu.idm.oclc.org/login?url=https://www.airitibooks.com/Detail/Detail?PublicationID=P20200110034", "https://ntsu.idm.oclc.org/login?url=https://www.airitibooks.com/Detail/Detail?PublicationID=P20200110034")</f>
        <v>https://ntsu.idm.oclc.org/login?url=https://www.airitibooks.com/Detail/Detail?PublicationID=P20200110034</v>
      </c>
    </row>
    <row r="573" spans="1:11" ht="51" x14ac:dyDescent="0.4">
      <c r="A573" s="10" t="s">
        <v>13345</v>
      </c>
      <c r="B573" s="10" t="s">
        <v>13346</v>
      </c>
      <c r="C573" s="10" t="s">
        <v>13295</v>
      </c>
      <c r="D573" s="10" t="s">
        <v>13347</v>
      </c>
      <c r="E573" s="10" t="s">
        <v>3219</v>
      </c>
      <c r="F573" s="10" t="s">
        <v>9641</v>
      </c>
      <c r="G573" s="10" t="s">
        <v>237</v>
      </c>
      <c r="H573" s="7" t="s">
        <v>24</v>
      </c>
      <c r="I573" s="7" t="s">
        <v>25</v>
      </c>
      <c r="J573" s="13" t="str">
        <f>HYPERLINK("https://www.airitibooks.com/Detail/Detail?PublicationID=P20200117222", "https://www.airitibooks.com/Detail/Detail?PublicationID=P20200117222")</f>
        <v>https://www.airitibooks.com/Detail/Detail?PublicationID=P20200117222</v>
      </c>
      <c r="K573" s="13" t="str">
        <f>HYPERLINK("https://ntsu.idm.oclc.org/login?url=https://www.airitibooks.com/Detail/Detail?PublicationID=P20200117222", "https://ntsu.idm.oclc.org/login?url=https://www.airitibooks.com/Detail/Detail?PublicationID=P20200117222")</f>
        <v>https://ntsu.idm.oclc.org/login?url=https://www.airitibooks.com/Detail/Detail?PublicationID=P20200117222</v>
      </c>
    </row>
    <row r="574" spans="1:11" ht="51" x14ac:dyDescent="0.4">
      <c r="A574" s="10" t="s">
        <v>13367</v>
      </c>
      <c r="B574" s="10" t="s">
        <v>13368</v>
      </c>
      <c r="C574" s="10" t="s">
        <v>13194</v>
      </c>
      <c r="D574" s="10" t="s">
        <v>13369</v>
      </c>
      <c r="E574" s="10" t="s">
        <v>3219</v>
      </c>
      <c r="F574" s="10" t="s">
        <v>13370</v>
      </c>
      <c r="G574" s="10" t="s">
        <v>237</v>
      </c>
      <c r="H574" s="7" t="s">
        <v>24</v>
      </c>
      <c r="I574" s="7" t="s">
        <v>25</v>
      </c>
      <c r="J574" s="13" t="str">
        <f>HYPERLINK("https://www.airitibooks.com/Detail/Detail?PublicationID=P20200117265", "https://www.airitibooks.com/Detail/Detail?PublicationID=P20200117265")</f>
        <v>https://www.airitibooks.com/Detail/Detail?PublicationID=P20200117265</v>
      </c>
      <c r="K574" s="13" t="str">
        <f>HYPERLINK("https://ntsu.idm.oclc.org/login?url=https://www.airitibooks.com/Detail/Detail?PublicationID=P20200117265", "https://ntsu.idm.oclc.org/login?url=https://www.airitibooks.com/Detail/Detail?PublicationID=P20200117265")</f>
        <v>https://ntsu.idm.oclc.org/login?url=https://www.airitibooks.com/Detail/Detail?PublicationID=P20200117265</v>
      </c>
    </row>
    <row r="575" spans="1:11" ht="51" x14ac:dyDescent="0.4">
      <c r="A575" s="10" t="s">
        <v>13547</v>
      </c>
      <c r="B575" s="10" t="s">
        <v>13548</v>
      </c>
      <c r="C575" s="10" t="s">
        <v>5050</v>
      </c>
      <c r="D575" s="10" t="s">
        <v>9561</v>
      </c>
      <c r="E575" s="10" t="s">
        <v>3219</v>
      </c>
      <c r="F575" s="10" t="s">
        <v>13549</v>
      </c>
      <c r="G575" s="10" t="s">
        <v>237</v>
      </c>
      <c r="H575" s="7" t="s">
        <v>24</v>
      </c>
      <c r="I575" s="7" t="s">
        <v>25</v>
      </c>
      <c r="J575" s="13" t="str">
        <f>HYPERLINK("https://www.airitibooks.com/Detail/Detail?PublicationID=P20200221092", "https://www.airitibooks.com/Detail/Detail?PublicationID=P20200221092")</f>
        <v>https://www.airitibooks.com/Detail/Detail?PublicationID=P20200221092</v>
      </c>
      <c r="K575" s="13" t="str">
        <f>HYPERLINK("https://ntsu.idm.oclc.org/login?url=https://www.airitibooks.com/Detail/Detail?PublicationID=P20200221092", "https://ntsu.idm.oclc.org/login?url=https://www.airitibooks.com/Detail/Detail?PublicationID=P20200221092")</f>
        <v>https://ntsu.idm.oclc.org/login?url=https://www.airitibooks.com/Detail/Detail?PublicationID=P20200221092</v>
      </c>
    </row>
    <row r="576" spans="1:11" ht="51" x14ac:dyDescent="0.4">
      <c r="A576" s="10" t="s">
        <v>13552</v>
      </c>
      <c r="B576" s="10" t="s">
        <v>13553</v>
      </c>
      <c r="C576" s="10" t="s">
        <v>5050</v>
      </c>
      <c r="D576" s="10" t="s">
        <v>13554</v>
      </c>
      <c r="E576" s="10" t="s">
        <v>3219</v>
      </c>
      <c r="F576" s="10" t="s">
        <v>13555</v>
      </c>
      <c r="G576" s="10" t="s">
        <v>237</v>
      </c>
      <c r="H576" s="7" t="s">
        <v>24</v>
      </c>
      <c r="I576" s="7" t="s">
        <v>25</v>
      </c>
      <c r="J576" s="13" t="str">
        <f>HYPERLINK("https://www.airitibooks.com/Detail/Detail?PublicationID=P20200221096", "https://www.airitibooks.com/Detail/Detail?PublicationID=P20200221096")</f>
        <v>https://www.airitibooks.com/Detail/Detail?PublicationID=P20200221096</v>
      </c>
      <c r="K576" s="13" t="str">
        <f>HYPERLINK("https://ntsu.idm.oclc.org/login?url=https://www.airitibooks.com/Detail/Detail?PublicationID=P20200221096", "https://ntsu.idm.oclc.org/login?url=https://www.airitibooks.com/Detail/Detail?PublicationID=P20200221096")</f>
        <v>https://ntsu.idm.oclc.org/login?url=https://www.airitibooks.com/Detail/Detail?PublicationID=P20200221096</v>
      </c>
    </row>
    <row r="577" spans="1:11" ht="51" x14ac:dyDescent="0.4">
      <c r="A577" s="10" t="s">
        <v>13957</v>
      </c>
      <c r="B577" s="10" t="s">
        <v>13958</v>
      </c>
      <c r="C577" s="10" t="s">
        <v>544</v>
      </c>
      <c r="D577" s="10" t="s">
        <v>13959</v>
      </c>
      <c r="E577" s="10" t="s">
        <v>3219</v>
      </c>
      <c r="F577" s="10" t="s">
        <v>9409</v>
      </c>
      <c r="G577" s="10" t="s">
        <v>237</v>
      </c>
      <c r="H577" s="7" t="s">
        <v>24</v>
      </c>
      <c r="I577" s="7" t="s">
        <v>25</v>
      </c>
      <c r="J577" s="13" t="str">
        <f>HYPERLINK("https://www.airitibooks.com/Detail/Detail?PublicationID=P20200430039", "https://www.airitibooks.com/Detail/Detail?PublicationID=P20200430039")</f>
        <v>https://www.airitibooks.com/Detail/Detail?PublicationID=P20200430039</v>
      </c>
      <c r="K577" s="13" t="str">
        <f>HYPERLINK("https://ntsu.idm.oclc.org/login?url=https://www.airitibooks.com/Detail/Detail?PublicationID=P20200430039", "https://ntsu.idm.oclc.org/login?url=https://www.airitibooks.com/Detail/Detail?PublicationID=P20200430039")</f>
        <v>https://ntsu.idm.oclc.org/login?url=https://www.airitibooks.com/Detail/Detail?PublicationID=P20200430039</v>
      </c>
    </row>
    <row r="578" spans="1:11" ht="51" x14ac:dyDescent="0.4">
      <c r="A578" s="10" t="s">
        <v>13988</v>
      </c>
      <c r="B578" s="10" t="s">
        <v>13989</v>
      </c>
      <c r="C578" s="10" t="s">
        <v>544</v>
      </c>
      <c r="D578" s="10" t="s">
        <v>13990</v>
      </c>
      <c r="E578" s="10" t="s">
        <v>3219</v>
      </c>
      <c r="F578" s="10" t="s">
        <v>840</v>
      </c>
      <c r="G578" s="10" t="s">
        <v>237</v>
      </c>
      <c r="H578" s="7" t="s">
        <v>24</v>
      </c>
      <c r="I578" s="7" t="s">
        <v>25</v>
      </c>
      <c r="J578" s="13" t="str">
        <f>HYPERLINK("https://www.airitibooks.com/Detail/Detail?PublicationID=P20200430055", "https://www.airitibooks.com/Detail/Detail?PublicationID=P20200430055")</f>
        <v>https://www.airitibooks.com/Detail/Detail?PublicationID=P20200430055</v>
      </c>
      <c r="K578" s="13" t="str">
        <f>HYPERLINK("https://ntsu.idm.oclc.org/login?url=https://www.airitibooks.com/Detail/Detail?PublicationID=P20200430055", "https://ntsu.idm.oclc.org/login?url=https://www.airitibooks.com/Detail/Detail?PublicationID=P20200430055")</f>
        <v>https://ntsu.idm.oclc.org/login?url=https://www.airitibooks.com/Detail/Detail?PublicationID=P20200430055</v>
      </c>
    </row>
    <row r="579" spans="1:11" ht="51" x14ac:dyDescent="0.4">
      <c r="A579" s="10" t="s">
        <v>14024</v>
      </c>
      <c r="B579" s="10" t="s">
        <v>14025</v>
      </c>
      <c r="C579" s="10" t="s">
        <v>2616</v>
      </c>
      <c r="D579" s="10" t="s">
        <v>14026</v>
      </c>
      <c r="E579" s="10" t="s">
        <v>3219</v>
      </c>
      <c r="F579" s="10" t="s">
        <v>5587</v>
      </c>
      <c r="G579" s="10" t="s">
        <v>237</v>
      </c>
      <c r="H579" s="7" t="s">
        <v>24</v>
      </c>
      <c r="I579" s="7" t="s">
        <v>25</v>
      </c>
      <c r="J579" s="13" t="str">
        <f>HYPERLINK("https://www.airitibooks.com/Detail/Detail?PublicationID=P20200430187", "https://www.airitibooks.com/Detail/Detail?PublicationID=P20200430187")</f>
        <v>https://www.airitibooks.com/Detail/Detail?PublicationID=P20200430187</v>
      </c>
      <c r="K579" s="13" t="str">
        <f>HYPERLINK("https://ntsu.idm.oclc.org/login?url=https://www.airitibooks.com/Detail/Detail?PublicationID=P20200430187", "https://ntsu.idm.oclc.org/login?url=https://www.airitibooks.com/Detail/Detail?PublicationID=P20200430187")</f>
        <v>https://ntsu.idm.oclc.org/login?url=https://www.airitibooks.com/Detail/Detail?PublicationID=P20200430187</v>
      </c>
    </row>
    <row r="580" spans="1:11" ht="51" x14ac:dyDescent="0.4">
      <c r="A580" s="10" t="s">
        <v>15516</v>
      </c>
      <c r="B580" s="10" t="s">
        <v>15517</v>
      </c>
      <c r="C580" s="10" t="s">
        <v>12510</v>
      </c>
      <c r="D580" s="10" t="s">
        <v>15518</v>
      </c>
      <c r="E580" s="10" t="s">
        <v>3219</v>
      </c>
      <c r="F580" s="10" t="s">
        <v>15519</v>
      </c>
      <c r="G580" s="10" t="s">
        <v>237</v>
      </c>
      <c r="H580" s="7" t="s">
        <v>1031</v>
      </c>
      <c r="I580" s="7" t="s">
        <v>25</v>
      </c>
      <c r="J580" s="13" t="str">
        <f>HYPERLINK("https://www.airitibooks.com/Detail/Detail?PublicationID=P20210528193", "https://www.airitibooks.com/Detail/Detail?PublicationID=P20210528193")</f>
        <v>https://www.airitibooks.com/Detail/Detail?PublicationID=P20210528193</v>
      </c>
      <c r="K580" s="13" t="str">
        <f>HYPERLINK("https://ntsu.idm.oclc.org/login?url=https://www.airitibooks.com/Detail/Detail?PublicationID=P20210528193", "https://ntsu.idm.oclc.org/login?url=https://www.airitibooks.com/Detail/Detail?PublicationID=P20210528193")</f>
        <v>https://ntsu.idm.oclc.org/login?url=https://www.airitibooks.com/Detail/Detail?PublicationID=P20210528193</v>
      </c>
    </row>
    <row r="581" spans="1:11" ht="51" x14ac:dyDescent="0.4">
      <c r="A581" s="10" t="s">
        <v>3216</v>
      </c>
      <c r="B581" s="10" t="s">
        <v>3217</v>
      </c>
      <c r="C581" s="10" t="s">
        <v>3213</v>
      </c>
      <c r="D581" s="10" t="s">
        <v>3218</v>
      </c>
      <c r="E581" s="10" t="s">
        <v>3219</v>
      </c>
      <c r="F581" s="10" t="s">
        <v>3220</v>
      </c>
      <c r="G581" s="10" t="s">
        <v>209</v>
      </c>
      <c r="H581" s="7" t="s">
        <v>24</v>
      </c>
      <c r="I581" s="7" t="s">
        <v>25</v>
      </c>
      <c r="J581" s="13" t="str">
        <f>HYPERLINK("https://www.airitibooks.com/Detail/Detail?PublicationID=P20150820207", "https://www.airitibooks.com/Detail/Detail?PublicationID=P20150820207")</f>
        <v>https://www.airitibooks.com/Detail/Detail?PublicationID=P20150820207</v>
      </c>
      <c r="K581" s="13" t="str">
        <f>HYPERLINK("https://ntsu.idm.oclc.org/login?url=https://www.airitibooks.com/Detail/Detail?PublicationID=P20150820207", "https://ntsu.idm.oclc.org/login?url=https://www.airitibooks.com/Detail/Detail?PublicationID=P20150820207")</f>
        <v>https://ntsu.idm.oclc.org/login?url=https://www.airitibooks.com/Detail/Detail?PublicationID=P20150820207</v>
      </c>
    </row>
    <row r="582" spans="1:11" ht="51" x14ac:dyDescent="0.4">
      <c r="A582" s="10" t="s">
        <v>3221</v>
      </c>
      <c r="B582" s="10" t="s">
        <v>3222</v>
      </c>
      <c r="C582" s="10" t="s">
        <v>3213</v>
      </c>
      <c r="D582" s="10" t="s">
        <v>3218</v>
      </c>
      <c r="E582" s="10" t="s">
        <v>3219</v>
      </c>
      <c r="F582" s="10" t="s">
        <v>3220</v>
      </c>
      <c r="G582" s="10" t="s">
        <v>209</v>
      </c>
      <c r="H582" s="7" t="s">
        <v>24</v>
      </c>
      <c r="I582" s="7" t="s">
        <v>25</v>
      </c>
      <c r="J582" s="13" t="str">
        <f>HYPERLINK("https://www.airitibooks.com/Detail/Detail?PublicationID=P20150820211", "https://www.airitibooks.com/Detail/Detail?PublicationID=P20150820211")</f>
        <v>https://www.airitibooks.com/Detail/Detail?PublicationID=P20150820211</v>
      </c>
      <c r="K582" s="13" t="str">
        <f>HYPERLINK("https://ntsu.idm.oclc.org/login?url=https://www.airitibooks.com/Detail/Detail?PublicationID=P20150820211", "https://ntsu.idm.oclc.org/login?url=https://www.airitibooks.com/Detail/Detail?PublicationID=P20150820211")</f>
        <v>https://ntsu.idm.oclc.org/login?url=https://www.airitibooks.com/Detail/Detail?PublicationID=P20150820211</v>
      </c>
    </row>
    <row r="583" spans="1:11" ht="51" x14ac:dyDescent="0.4">
      <c r="A583" s="10" t="s">
        <v>10830</v>
      </c>
      <c r="B583" s="10" t="s">
        <v>10831</v>
      </c>
      <c r="C583" s="10" t="s">
        <v>756</v>
      </c>
      <c r="D583" s="10" t="s">
        <v>10832</v>
      </c>
      <c r="E583" s="10" t="s">
        <v>3219</v>
      </c>
      <c r="F583" s="10" t="s">
        <v>10833</v>
      </c>
      <c r="G583" s="10" t="s">
        <v>209</v>
      </c>
      <c r="H583" s="7" t="s">
        <v>24</v>
      </c>
      <c r="I583" s="7" t="s">
        <v>25</v>
      </c>
      <c r="J583" s="13" t="str">
        <f>HYPERLINK("https://www.airitibooks.com/Detail/Detail?PublicationID=P20190220048", "https://www.airitibooks.com/Detail/Detail?PublicationID=P20190220048")</f>
        <v>https://www.airitibooks.com/Detail/Detail?PublicationID=P20190220048</v>
      </c>
      <c r="K583" s="13" t="str">
        <f>HYPERLINK("https://ntsu.idm.oclc.org/login?url=https://www.airitibooks.com/Detail/Detail?PublicationID=P20190220048", "https://ntsu.idm.oclc.org/login?url=https://www.airitibooks.com/Detail/Detail?PublicationID=P20190220048")</f>
        <v>https://ntsu.idm.oclc.org/login?url=https://www.airitibooks.com/Detail/Detail?PublicationID=P20190220048</v>
      </c>
    </row>
    <row r="584" spans="1:11" ht="85" x14ac:dyDescent="0.4">
      <c r="A584" s="10" t="s">
        <v>11286</v>
      </c>
      <c r="B584" s="10" t="s">
        <v>11287</v>
      </c>
      <c r="C584" s="10" t="s">
        <v>3359</v>
      </c>
      <c r="D584" s="10" t="s">
        <v>11288</v>
      </c>
      <c r="E584" s="10" t="s">
        <v>3219</v>
      </c>
      <c r="F584" s="10" t="s">
        <v>11289</v>
      </c>
      <c r="G584" s="10" t="s">
        <v>209</v>
      </c>
      <c r="H584" s="7" t="s">
        <v>24</v>
      </c>
      <c r="I584" s="7" t="s">
        <v>25</v>
      </c>
      <c r="J584" s="13" t="str">
        <f>HYPERLINK("https://www.airitibooks.com/Detail/Detail?PublicationID=P20190503073", "https://www.airitibooks.com/Detail/Detail?PublicationID=P20190503073")</f>
        <v>https://www.airitibooks.com/Detail/Detail?PublicationID=P20190503073</v>
      </c>
      <c r="K584" s="13" t="str">
        <f>HYPERLINK("https://ntsu.idm.oclc.org/login?url=https://www.airitibooks.com/Detail/Detail?PublicationID=P20190503073", "https://ntsu.idm.oclc.org/login?url=https://www.airitibooks.com/Detail/Detail?PublicationID=P20190503073")</f>
        <v>https://ntsu.idm.oclc.org/login?url=https://www.airitibooks.com/Detail/Detail?PublicationID=P20190503073</v>
      </c>
    </row>
    <row r="585" spans="1:11" ht="51" x14ac:dyDescent="0.4">
      <c r="A585" s="10" t="s">
        <v>11504</v>
      </c>
      <c r="B585" s="10" t="s">
        <v>11505</v>
      </c>
      <c r="C585" s="10" t="s">
        <v>6289</v>
      </c>
      <c r="D585" s="10" t="s">
        <v>11506</v>
      </c>
      <c r="E585" s="10" t="s">
        <v>3219</v>
      </c>
      <c r="F585" s="10" t="s">
        <v>6295</v>
      </c>
      <c r="G585" s="10" t="s">
        <v>209</v>
      </c>
      <c r="H585" s="7" t="s">
        <v>24</v>
      </c>
      <c r="I585" s="7" t="s">
        <v>25</v>
      </c>
      <c r="J585" s="13" t="str">
        <f>HYPERLINK("https://www.airitibooks.com/Detail/Detail?PublicationID=P20190523069", "https://www.airitibooks.com/Detail/Detail?PublicationID=P20190523069")</f>
        <v>https://www.airitibooks.com/Detail/Detail?PublicationID=P20190523069</v>
      </c>
      <c r="K585" s="13" t="str">
        <f>HYPERLINK("https://ntsu.idm.oclc.org/login?url=https://www.airitibooks.com/Detail/Detail?PublicationID=P20190523069", "https://ntsu.idm.oclc.org/login?url=https://www.airitibooks.com/Detail/Detail?PublicationID=P20190523069")</f>
        <v>https://ntsu.idm.oclc.org/login?url=https://www.airitibooks.com/Detail/Detail?PublicationID=P20190523069</v>
      </c>
    </row>
    <row r="586" spans="1:11" ht="51" x14ac:dyDescent="0.4">
      <c r="A586" s="10" t="s">
        <v>11861</v>
      </c>
      <c r="B586" s="10" t="s">
        <v>11862</v>
      </c>
      <c r="C586" s="10" t="s">
        <v>439</v>
      </c>
      <c r="D586" s="10" t="s">
        <v>11863</v>
      </c>
      <c r="E586" s="10" t="s">
        <v>3219</v>
      </c>
      <c r="F586" s="10" t="s">
        <v>11864</v>
      </c>
      <c r="G586" s="10" t="s">
        <v>209</v>
      </c>
      <c r="H586" s="7" t="s">
        <v>24</v>
      </c>
      <c r="I586" s="7" t="s">
        <v>25</v>
      </c>
      <c r="J586" s="13" t="str">
        <f>HYPERLINK("https://www.airitibooks.com/Detail/Detail?PublicationID=P20190620088", "https://www.airitibooks.com/Detail/Detail?PublicationID=P20190620088")</f>
        <v>https://www.airitibooks.com/Detail/Detail?PublicationID=P20190620088</v>
      </c>
      <c r="K586" s="13" t="str">
        <f>HYPERLINK("https://ntsu.idm.oclc.org/login?url=https://www.airitibooks.com/Detail/Detail?PublicationID=P20190620088", "https://ntsu.idm.oclc.org/login?url=https://www.airitibooks.com/Detail/Detail?PublicationID=P20190620088")</f>
        <v>https://ntsu.idm.oclc.org/login?url=https://www.airitibooks.com/Detail/Detail?PublicationID=P20190620088</v>
      </c>
    </row>
    <row r="587" spans="1:11" ht="51" x14ac:dyDescent="0.4">
      <c r="A587" s="10" t="s">
        <v>11865</v>
      </c>
      <c r="B587" s="10" t="s">
        <v>11866</v>
      </c>
      <c r="C587" s="10" t="s">
        <v>439</v>
      </c>
      <c r="D587" s="10" t="s">
        <v>11863</v>
      </c>
      <c r="E587" s="10" t="s">
        <v>3219</v>
      </c>
      <c r="F587" s="10" t="s">
        <v>618</v>
      </c>
      <c r="G587" s="10" t="s">
        <v>209</v>
      </c>
      <c r="H587" s="7" t="s">
        <v>24</v>
      </c>
      <c r="I587" s="7" t="s">
        <v>25</v>
      </c>
      <c r="J587" s="13" t="str">
        <f>HYPERLINK("https://www.airitibooks.com/Detail/Detail?PublicationID=P20190620090", "https://www.airitibooks.com/Detail/Detail?PublicationID=P20190620090")</f>
        <v>https://www.airitibooks.com/Detail/Detail?PublicationID=P20190620090</v>
      </c>
      <c r="K587" s="13" t="str">
        <f>HYPERLINK("https://ntsu.idm.oclc.org/login?url=https://www.airitibooks.com/Detail/Detail?PublicationID=P20190620090", "https://ntsu.idm.oclc.org/login?url=https://www.airitibooks.com/Detail/Detail?PublicationID=P20190620090")</f>
        <v>https://ntsu.idm.oclc.org/login?url=https://www.airitibooks.com/Detail/Detail?PublicationID=P20190620090</v>
      </c>
    </row>
    <row r="588" spans="1:11" ht="51" x14ac:dyDescent="0.4">
      <c r="A588" s="10" t="s">
        <v>12442</v>
      </c>
      <c r="B588" s="10" t="s">
        <v>12443</v>
      </c>
      <c r="C588" s="10" t="s">
        <v>1296</v>
      </c>
      <c r="D588" s="10" t="s">
        <v>12444</v>
      </c>
      <c r="E588" s="10" t="s">
        <v>3219</v>
      </c>
      <c r="F588" s="10" t="s">
        <v>12445</v>
      </c>
      <c r="G588" s="10" t="s">
        <v>209</v>
      </c>
      <c r="H588" s="7" t="s">
        <v>24</v>
      </c>
      <c r="I588" s="7" t="s">
        <v>25</v>
      </c>
      <c r="J588" s="13" t="str">
        <f>HYPERLINK("https://www.airitibooks.com/Detail/Detail?PublicationID=P20190927272", "https://www.airitibooks.com/Detail/Detail?PublicationID=P20190927272")</f>
        <v>https://www.airitibooks.com/Detail/Detail?PublicationID=P20190927272</v>
      </c>
      <c r="K588" s="13" t="str">
        <f>HYPERLINK("https://ntsu.idm.oclc.org/login?url=https://www.airitibooks.com/Detail/Detail?PublicationID=P20190927272", "https://ntsu.idm.oclc.org/login?url=https://www.airitibooks.com/Detail/Detail?PublicationID=P20190927272")</f>
        <v>https://ntsu.idm.oclc.org/login?url=https://www.airitibooks.com/Detail/Detail?PublicationID=P20190927272</v>
      </c>
    </row>
    <row r="589" spans="1:11" ht="68" x14ac:dyDescent="0.4">
      <c r="A589" s="10" t="s">
        <v>12446</v>
      </c>
      <c r="B589" s="10" t="s">
        <v>12447</v>
      </c>
      <c r="C589" s="10" t="s">
        <v>1296</v>
      </c>
      <c r="D589" s="10" t="s">
        <v>12448</v>
      </c>
      <c r="E589" s="10" t="s">
        <v>3219</v>
      </c>
      <c r="F589" s="10" t="s">
        <v>12449</v>
      </c>
      <c r="G589" s="10" t="s">
        <v>209</v>
      </c>
      <c r="H589" s="7" t="s">
        <v>24</v>
      </c>
      <c r="I589" s="7" t="s">
        <v>25</v>
      </c>
      <c r="J589" s="13" t="str">
        <f>HYPERLINK("https://www.airitibooks.com/Detail/Detail?PublicationID=P20190927273", "https://www.airitibooks.com/Detail/Detail?PublicationID=P20190927273")</f>
        <v>https://www.airitibooks.com/Detail/Detail?PublicationID=P20190927273</v>
      </c>
      <c r="K589" s="13" t="str">
        <f>HYPERLINK("https://ntsu.idm.oclc.org/login?url=https://www.airitibooks.com/Detail/Detail?PublicationID=P20190927273", "https://ntsu.idm.oclc.org/login?url=https://www.airitibooks.com/Detail/Detail?PublicationID=P20190927273")</f>
        <v>https://ntsu.idm.oclc.org/login?url=https://www.airitibooks.com/Detail/Detail?PublicationID=P20190927273</v>
      </c>
    </row>
    <row r="590" spans="1:11" ht="68" x14ac:dyDescent="0.4">
      <c r="A590" s="10" t="s">
        <v>12450</v>
      </c>
      <c r="B590" s="10" t="s">
        <v>12451</v>
      </c>
      <c r="C590" s="10" t="s">
        <v>1296</v>
      </c>
      <c r="D590" s="10" t="s">
        <v>12452</v>
      </c>
      <c r="E590" s="10" t="s">
        <v>3219</v>
      </c>
      <c r="F590" s="10" t="s">
        <v>12453</v>
      </c>
      <c r="G590" s="10" t="s">
        <v>209</v>
      </c>
      <c r="H590" s="7" t="s">
        <v>24</v>
      </c>
      <c r="I590" s="7" t="s">
        <v>25</v>
      </c>
      <c r="J590" s="13" t="str">
        <f>HYPERLINK("https://www.airitibooks.com/Detail/Detail?PublicationID=P20190927274", "https://www.airitibooks.com/Detail/Detail?PublicationID=P20190927274")</f>
        <v>https://www.airitibooks.com/Detail/Detail?PublicationID=P20190927274</v>
      </c>
      <c r="K590" s="13" t="str">
        <f>HYPERLINK("https://ntsu.idm.oclc.org/login?url=https://www.airitibooks.com/Detail/Detail?PublicationID=P20190927274", "https://ntsu.idm.oclc.org/login?url=https://www.airitibooks.com/Detail/Detail?PublicationID=P20190927274")</f>
        <v>https://ntsu.idm.oclc.org/login?url=https://www.airitibooks.com/Detail/Detail?PublicationID=P20190927274</v>
      </c>
    </row>
    <row r="591" spans="1:11" ht="102" x14ac:dyDescent="0.4">
      <c r="A591" s="10" t="s">
        <v>12750</v>
      </c>
      <c r="B591" s="10" t="s">
        <v>12751</v>
      </c>
      <c r="C591" s="10" t="s">
        <v>108</v>
      </c>
      <c r="D591" s="10" t="s">
        <v>12752</v>
      </c>
      <c r="E591" s="10" t="s">
        <v>3219</v>
      </c>
      <c r="F591" s="10" t="s">
        <v>12753</v>
      </c>
      <c r="G591" s="10" t="s">
        <v>209</v>
      </c>
      <c r="H591" s="7" t="s">
        <v>24</v>
      </c>
      <c r="I591" s="7" t="s">
        <v>25</v>
      </c>
      <c r="J591" s="13" t="str">
        <f>HYPERLINK("https://www.airitibooks.com/Detail/Detail?PublicationID=P20191031005", "https://www.airitibooks.com/Detail/Detail?PublicationID=P20191031005")</f>
        <v>https://www.airitibooks.com/Detail/Detail?PublicationID=P20191031005</v>
      </c>
      <c r="K591" s="13" t="str">
        <f>HYPERLINK("https://ntsu.idm.oclc.org/login?url=https://www.airitibooks.com/Detail/Detail?PublicationID=P20191031005", "https://ntsu.idm.oclc.org/login?url=https://www.airitibooks.com/Detail/Detail?PublicationID=P20191031005")</f>
        <v>https://ntsu.idm.oclc.org/login?url=https://www.airitibooks.com/Detail/Detail?PublicationID=P20191031005</v>
      </c>
    </row>
    <row r="592" spans="1:11" ht="51" x14ac:dyDescent="0.4">
      <c r="A592" s="10" t="s">
        <v>13149</v>
      </c>
      <c r="B592" s="10" t="s">
        <v>13150</v>
      </c>
      <c r="C592" s="10" t="s">
        <v>108</v>
      </c>
      <c r="D592" s="10" t="s">
        <v>12752</v>
      </c>
      <c r="E592" s="10" t="s">
        <v>3219</v>
      </c>
      <c r="F592" s="10" t="s">
        <v>13151</v>
      </c>
      <c r="G592" s="10" t="s">
        <v>209</v>
      </c>
      <c r="H592" s="7" t="s">
        <v>24</v>
      </c>
      <c r="I592" s="7" t="s">
        <v>25</v>
      </c>
      <c r="J592" s="13" t="str">
        <f>HYPERLINK("https://www.airitibooks.com/Detail/Detail?PublicationID=P20191226005", "https://www.airitibooks.com/Detail/Detail?PublicationID=P20191226005")</f>
        <v>https://www.airitibooks.com/Detail/Detail?PublicationID=P20191226005</v>
      </c>
      <c r="K592" s="13" t="str">
        <f>HYPERLINK("https://ntsu.idm.oclc.org/login?url=https://www.airitibooks.com/Detail/Detail?PublicationID=P20191226005", "https://ntsu.idm.oclc.org/login?url=https://www.airitibooks.com/Detail/Detail?PublicationID=P20191226005")</f>
        <v>https://ntsu.idm.oclc.org/login?url=https://www.airitibooks.com/Detail/Detail?PublicationID=P20191226005</v>
      </c>
    </row>
    <row r="593" spans="1:11" ht="51" x14ac:dyDescent="0.4">
      <c r="A593" s="10" t="s">
        <v>13351</v>
      </c>
      <c r="B593" s="10" t="s">
        <v>13352</v>
      </c>
      <c r="C593" s="10" t="s">
        <v>13295</v>
      </c>
      <c r="D593" s="10" t="s">
        <v>13353</v>
      </c>
      <c r="E593" s="10" t="s">
        <v>3219</v>
      </c>
      <c r="F593" s="10" t="s">
        <v>1259</v>
      </c>
      <c r="G593" s="10" t="s">
        <v>209</v>
      </c>
      <c r="H593" s="7" t="s">
        <v>24</v>
      </c>
      <c r="I593" s="7" t="s">
        <v>25</v>
      </c>
      <c r="J593" s="13" t="str">
        <f>HYPERLINK("https://www.airitibooks.com/Detail/Detail?PublicationID=P20200117253", "https://www.airitibooks.com/Detail/Detail?PublicationID=P20200117253")</f>
        <v>https://www.airitibooks.com/Detail/Detail?PublicationID=P20200117253</v>
      </c>
      <c r="K593" s="13" t="str">
        <f>HYPERLINK("https://ntsu.idm.oclc.org/login?url=https://www.airitibooks.com/Detail/Detail?PublicationID=P20200117253", "https://ntsu.idm.oclc.org/login?url=https://www.airitibooks.com/Detail/Detail?PublicationID=P20200117253")</f>
        <v>https://ntsu.idm.oclc.org/login?url=https://www.airitibooks.com/Detail/Detail?PublicationID=P20200117253</v>
      </c>
    </row>
    <row r="594" spans="1:11" ht="51" x14ac:dyDescent="0.4">
      <c r="A594" s="10" t="s">
        <v>10578</v>
      </c>
      <c r="B594" s="10" t="s">
        <v>10579</v>
      </c>
      <c r="C594" s="10" t="s">
        <v>222</v>
      </c>
      <c r="D594" s="10" t="s">
        <v>10580</v>
      </c>
      <c r="E594" s="10" t="s">
        <v>3219</v>
      </c>
      <c r="F594" s="10" t="s">
        <v>10581</v>
      </c>
      <c r="G594" s="10" t="s">
        <v>76</v>
      </c>
      <c r="H594" s="7" t="s">
        <v>24</v>
      </c>
      <c r="I594" s="7" t="s">
        <v>25</v>
      </c>
      <c r="J594" s="13" t="str">
        <f>HYPERLINK("https://www.airitibooks.com/Detail/Detail?PublicationID=P20190103008", "https://www.airitibooks.com/Detail/Detail?PublicationID=P20190103008")</f>
        <v>https://www.airitibooks.com/Detail/Detail?PublicationID=P20190103008</v>
      </c>
      <c r="K594" s="13" t="str">
        <f>HYPERLINK("https://ntsu.idm.oclc.org/login?url=https://www.airitibooks.com/Detail/Detail?PublicationID=P20190103008", "https://ntsu.idm.oclc.org/login?url=https://www.airitibooks.com/Detail/Detail?PublicationID=P20190103008")</f>
        <v>https://ntsu.idm.oclc.org/login?url=https://www.airitibooks.com/Detail/Detail?PublicationID=P20190103008</v>
      </c>
    </row>
    <row r="595" spans="1:11" ht="51" x14ac:dyDescent="0.4">
      <c r="A595" s="10" t="s">
        <v>10582</v>
      </c>
      <c r="B595" s="10" t="s">
        <v>10583</v>
      </c>
      <c r="C595" s="10" t="s">
        <v>10584</v>
      </c>
      <c r="D595" s="10" t="s">
        <v>10585</v>
      </c>
      <c r="E595" s="10" t="s">
        <v>3219</v>
      </c>
      <c r="F595" s="10" t="s">
        <v>6832</v>
      </c>
      <c r="G595" s="10" t="s">
        <v>76</v>
      </c>
      <c r="H595" s="7" t="s">
        <v>24</v>
      </c>
      <c r="I595" s="7" t="s">
        <v>25</v>
      </c>
      <c r="J595" s="13" t="str">
        <f>HYPERLINK("https://www.airitibooks.com/Detail/Detail?PublicationID=P20190116001", "https://www.airitibooks.com/Detail/Detail?PublicationID=P20190116001")</f>
        <v>https://www.airitibooks.com/Detail/Detail?PublicationID=P20190116001</v>
      </c>
      <c r="K595" s="13" t="str">
        <f>HYPERLINK("https://ntsu.idm.oclc.org/login?url=https://www.airitibooks.com/Detail/Detail?PublicationID=P20190116001", "https://ntsu.idm.oclc.org/login?url=https://www.airitibooks.com/Detail/Detail?PublicationID=P20190116001")</f>
        <v>https://ntsu.idm.oclc.org/login?url=https://www.airitibooks.com/Detail/Detail?PublicationID=P20190116001</v>
      </c>
    </row>
    <row r="596" spans="1:11" ht="51" x14ac:dyDescent="0.4">
      <c r="A596" s="10" t="s">
        <v>10691</v>
      </c>
      <c r="B596" s="10" t="s">
        <v>10692</v>
      </c>
      <c r="C596" s="10" t="s">
        <v>1034</v>
      </c>
      <c r="D596" s="10" t="s">
        <v>10693</v>
      </c>
      <c r="E596" s="10" t="s">
        <v>3219</v>
      </c>
      <c r="F596" s="10" t="s">
        <v>2874</v>
      </c>
      <c r="G596" s="10" t="s">
        <v>76</v>
      </c>
      <c r="H596" s="7" t="s">
        <v>24</v>
      </c>
      <c r="I596" s="7" t="s">
        <v>25</v>
      </c>
      <c r="J596" s="13" t="str">
        <f>HYPERLINK("https://www.airitibooks.com/Detail/Detail?PublicationID=P20190214077", "https://www.airitibooks.com/Detail/Detail?PublicationID=P20190214077")</f>
        <v>https://www.airitibooks.com/Detail/Detail?PublicationID=P20190214077</v>
      </c>
      <c r="K596" s="13" t="str">
        <f>HYPERLINK("https://ntsu.idm.oclc.org/login?url=https://www.airitibooks.com/Detail/Detail?PublicationID=P20190214077", "https://ntsu.idm.oclc.org/login?url=https://www.airitibooks.com/Detail/Detail?PublicationID=P20190214077")</f>
        <v>https://ntsu.idm.oclc.org/login?url=https://www.airitibooks.com/Detail/Detail?PublicationID=P20190214077</v>
      </c>
    </row>
    <row r="597" spans="1:11" ht="51" x14ac:dyDescent="0.4">
      <c r="A597" s="10" t="s">
        <v>10694</v>
      </c>
      <c r="B597" s="10" t="s">
        <v>10695</v>
      </c>
      <c r="C597" s="10" t="s">
        <v>1034</v>
      </c>
      <c r="D597" s="10" t="s">
        <v>10696</v>
      </c>
      <c r="E597" s="10" t="s">
        <v>3219</v>
      </c>
      <c r="F597" s="10" t="s">
        <v>4564</v>
      </c>
      <c r="G597" s="10" t="s">
        <v>76</v>
      </c>
      <c r="H597" s="7" t="s">
        <v>24</v>
      </c>
      <c r="I597" s="7" t="s">
        <v>25</v>
      </c>
      <c r="J597" s="13" t="str">
        <f>HYPERLINK("https://www.airitibooks.com/Detail/Detail?PublicationID=P20190214079", "https://www.airitibooks.com/Detail/Detail?PublicationID=P20190214079")</f>
        <v>https://www.airitibooks.com/Detail/Detail?PublicationID=P20190214079</v>
      </c>
      <c r="K597" s="13" t="str">
        <f>HYPERLINK("https://ntsu.idm.oclc.org/login?url=https://www.airitibooks.com/Detail/Detail?PublicationID=P20190214079", "https://ntsu.idm.oclc.org/login?url=https://www.airitibooks.com/Detail/Detail?PublicationID=P20190214079")</f>
        <v>https://ntsu.idm.oclc.org/login?url=https://www.airitibooks.com/Detail/Detail?PublicationID=P20190214079</v>
      </c>
    </row>
    <row r="598" spans="1:11" ht="51" x14ac:dyDescent="0.4">
      <c r="A598" s="10" t="s">
        <v>10697</v>
      </c>
      <c r="B598" s="10" t="s">
        <v>10698</v>
      </c>
      <c r="C598" s="10" t="s">
        <v>1034</v>
      </c>
      <c r="D598" s="10" t="s">
        <v>1035</v>
      </c>
      <c r="E598" s="10" t="s">
        <v>3219</v>
      </c>
      <c r="F598" s="10" t="s">
        <v>632</v>
      </c>
      <c r="G598" s="10" t="s">
        <v>76</v>
      </c>
      <c r="H598" s="7" t="s">
        <v>24</v>
      </c>
      <c r="I598" s="7" t="s">
        <v>25</v>
      </c>
      <c r="J598" s="13" t="str">
        <f>HYPERLINK("https://www.airitibooks.com/Detail/Detail?PublicationID=P20190214081", "https://www.airitibooks.com/Detail/Detail?PublicationID=P20190214081")</f>
        <v>https://www.airitibooks.com/Detail/Detail?PublicationID=P20190214081</v>
      </c>
      <c r="K598" s="13" t="str">
        <f>HYPERLINK("https://ntsu.idm.oclc.org/login?url=https://www.airitibooks.com/Detail/Detail?PublicationID=P20190214081", "https://ntsu.idm.oclc.org/login?url=https://www.airitibooks.com/Detail/Detail?PublicationID=P20190214081")</f>
        <v>https://ntsu.idm.oclc.org/login?url=https://www.airitibooks.com/Detail/Detail?PublicationID=P20190214081</v>
      </c>
    </row>
    <row r="599" spans="1:11" ht="51" x14ac:dyDescent="0.4">
      <c r="A599" s="10" t="s">
        <v>10717</v>
      </c>
      <c r="B599" s="10" t="s">
        <v>10718</v>
      </c>
      <c r="C599" s="10" t="s">
        <v>1727</v>
      </c>
      <c r="D599" s="10" t="s">
        <v>9640</v>
      </c>
      <c r="E599" s="10" t="s">
        <v>3219</v>
      </c>
      <c r="F599" s="10" t="s">
        <v>10719</v>
      </c>
      <c r="G599" s="10" t="s">
        <v>76</v>
      </c>
      <c r="H599" s="7" t="s">
        <v>24</v>
      </c>
      <c r="I599" s="7" t="s">
        <v>25</v>
      </c>
      <c r="J599" s="13" t="str">
        <f>HYPERLINK("https://www.airitibooks.com/Detail/Detail?PublicationID=P20190214096", "https://www.airitibooks.com/Detail/Detail?PublicationID=P20190214096")</f>
        <v>https://www.airitibooks.com/Detail/Detail?PublicationID=P20190214096</v>
      </c>
      <c r="K599" s="13" t="str">
        <f>HYPERLINK("https://ntsu.idm.oclc.org/login?url=https://www.airitibooks.com/Detail/Detail?PublicationID=P20190214096", "https://ntsu.idm.oclc.org/login?url=https://www.airitibooks.com/Detail/Detail?PublicationID=P20190214096")</f>
        <v>https://ntsu.idm.oclc.org/login?url=https://www.airitibooks.com/Detail/Detail?PublicationID=P20190214096</v>
      </c>
    </row>
    <row r="600" spans="1:11" ht="51" x14ac:dyDescent="0.4">
      <c r="A600" s="10" t="s">
        <v>10720</v>
      </c>
      <c r="B600" s="10" t="s">
        <v>10721</v>
      </c>
      <c r="C600" s="10" t="s">
        <v>9915</v>
      </c>
      <c r="D600" s="10" t="s">
        <v>10722</v>
      </c>
      <c r="E600" s="10" t="s">
        <v>3219</v>
      </c>
      <c r="F600" s="10" t="s">
        <v>10723</v>
      </c>
      <c r="G600" s="10" t="s">
        <v>76</v>
      </c>
      <c r="H600" s="7" t="s">
        <v>24</v>
      </c>
      <c r="I600" s="7" t="s">
        <v>25</v>
      </c>
      <c r="J600" s="13" t="str">
        <f>HYPERLINK("https://www.airitibooks.com/Detail/Detail?PublicationID=P20190214144", "https://www.airitibooks.com/Detail/Detail?PublicationID=P20190214144")</f>
        <v>https://www.airitibooks.com/Detail/Detail?PublicationID=P20190214144</v>
      </c>
      <c r="K600" s="13" t="str">
        <f>HYPERLINK("https://ntsu.idm.oclc.org/login?url=https://www.airitibooks.com/Detail/Detail?PublicationID=P20190214144", "https://ntsu.idm.oclc.org/login?url=https://www.airitibooks.com/Detail/Detail?PublicationID=P20190214144")</f>
        <v>https://ntsu.idm.oclc.org/login?url=https://www.airitibooks.com/Detail/Detail?PublicationID=P20190214144</v>
      </c>
    </row>
    <row r="601" spans="1:11" ht="68" x14ac:dyDescent="0.4">
      <c r="A601" s="10" t="s">
        <v>10724</v>
      </c>
      <c r="B601" s="10" t="s">
        <v>10725</v>
      </c>
      <c r="C601" s="10" t="s">
        <v>9915</v>
      </c>
      <c r="D601" s="10" t="s">
        <v>10726</v>
      </c>
      <c r="E601" s="10" t="s">
        <v>3219</v>
      </c>
      <c r="F601" s="10" t="s">
        <v>10727</v>
      </c>
      <c r="G601" s="10" t="s">
        <v>76</v>
      </c>
      <c r="H601" s="7" t="s">
        <v>24</v>
      </c>
      <c r="I601" s="7" t="s">
        <v>25</v>
      </c>
      <c r="J601" s="13" t="str">
        <f>HYPERLINK("https://www.airitibooks.com/Detail/Detail?PublicationID=P20190214145", "https://www.airitibooks.com/Detail/Detail?PublicationID=P20190214145")</f>
        <v>https://www.airitibooks.com/Detail/Detail?PublicationID=P20190214145</v>
      </c>
      <c r="K601" s="13" t="str">
        <f>HYPERLINK("https://ntsu.idm.oclc.org/login?url=https://www.airitibooks.com/Detail/Detail?PublicationID=P20190214145", "https://ntsu.idm.oclc.org/login?url=https://www.airitibooks.com/Detail/Detail?PublicationID=P20190214145")</f>
        <v>https://ntsu.idm.oclc.org/login?url=https://www.airitibooks.com/Detail/Detail?PublicationID=P20190214145</v>
      </c>
    </row>
    <row r="602" spans="1:11" ht="51" x14ac:dyDescent="0.4">
      <c r="A602" s="10" t="s">
        <v>10735</v>
      </c>
      <c r="B602" s="10" t="s">
        <v>10736</v>
      </c>
      <c r="C602" s="10" t="s">
        <v>938</v>
      </c>
      <c r="D602" s="10" t="s">
        <v>6040</v>
      </c>
      <c r="E602" s="10" t="s">
        <v>3219</v>
      </c>
      <c r="F602" s="10" t="s">
        <v>5248</v>
      </c>
      <c r="G602" s="10" t="s">
        <v>76</v>
      </c>
      <c r="H602" s="7" t="s">
        <v>24</v>
      </c>
      <c r="I602" s="7" t="s">
        <v>25</v>
      </c>
      <c r="J602" s="13" t="str">
        <f>HYPERLINK("https://www.airitibooks.com/Detail/Detail?PublicationID=P20190218008", "https://www.airitibooks.com/Detail/Detail?PublicationID=P20190218008")</f>
        <v>https://www.airitibooks.com/Detail/Detail?PublicationID=P20190218008</v>
      </c>
      <c r="K602" s="13" t="str">
        <f>HYPERLINK("https://ntsu.idm.oclc.org/login?url=https://www.airitibooks.com/Detail/Detail?PublicationID=P20190218008", "https://ntsu.idm.oclc.org/login?url=https://www.airitibooks.com/Detail/Detail?PublicationID=P20190218008")</f>
        <v>https://ntsu.idm.oclc.org/login?url=https://www.airitibooks.com/Detail/Detail?PublicationID=P20190218008</v>
      </c>
    </row>
    <row r="603" spans="1:11" ht="51" x14ac:dyDescent="0.4">
      <c r="A603" s="10" t="s">
        <v>10747</v>
      </c>
      <c r="B603" s="10" t="s">
        <v>10748</v>
      </c>
      <c r="C603" s="10" t="s">
        <v>938</v>
      </c>
      <c r="D603" s="10" t="s">
        <v>4563</v>
      </c>
      <c r="E603" s="10" t="s">
        <v>3219</v>
      </c>
      <c r="F603" s="10" t="s">
        <v>5299</v>
      </c>
      <c r="G603" s="10" t="s">
        <v>76</v>
      </c>
      <c r="H603" s="7" t="s">
        <v>24</v>
      </c>
      <c r="I603" s="7" t="s">
        <v>25</v>
      </c>
      <c r="J603" s="13" t="str">
        <f>HYPERLINK("https://www.airitibooks.com/Detail/Detail?PublicationID=P20190218034", "https://www.airitibooks.com/Detail/Detail?PublicationID=P20190218034")</f>
        <v>https://www.airitibooks.com/Detail/Detail?PublicationID=P20190218034</v>
      </c>
      <c r="K603" s="13" t="str">
        <f>HYPERLINK("https://ntsu.idm.oclc.org/login?url=https://www.airitibooks.com/Detail/Detail?PublicationID=P20190218034", "https://ntsu.idm.oclc.org/login?url=https://www.airitibooks.com/Detail/Detail?PublicationID=P20190218034")</f>
        <v>https://ntsu.idm.oclc.org/login?url=https://www.airitibooks.com/Detail/Detail?PublicationID=P20190218034</v>
      </c>
    </row>
    <row r="604" spans="1:11" ht="51" x14ac:dyDescent="0.4">
      <c r="A604" s="10" t="s">
        <v>10751</v>
      </c>
      <c r="B604" s="10" t="s">
        <v>10752</v>
      </c>
      <c r="C604" s="10" t="s">
        <v>938</v>
      </c>
      <c r="D604" s="10" t="s">
        <v>10753</v>
      </c>
      <c r="E604" s="10" t="s">
        <v>3219</v>
      </c>
      <c r="F604" s="10" t="s">
        <v>1998</v>
      </c>
      <c r="G604" s="10" t="s">
        <v>76</v>
      </c>
      <c r="H604" s="7" t="s">
        <v>24</v>
      </c>
      <c r="I604" s="7" t="s">
        <v>25</v>
      </c>
      <c r="J604" s="13" t="str">
        <f>HYPERLINK("https://www.airitibooks.com/Detail/Detail?PublicationID=P20190218036", "https://www.airitibooks.com/Detail/Detail?PublicationID=P20190218036")</f>
        <v>https://www.airitibooks.com/Detail/Detail?PublicationID=P20190218036</v>
      </c>
      <c r="K604" s="13" t="str">
        <f>HYPERLINK("https://ntsu.idm.oclc.org/login?url=https://www.airitibooks.com/Detail/Detail?PublicationID=P20190218036", "https://ntsu.idm.oclc.org/login?url=https://www.airitibooks.com/Detail/Detail?PublicationID=P20190218036")</f>
        <v>https://ntsu.idm.oclc.org/login?url=https://www.airitibooks.com/Detail/Detail?PublicationID=P20190218036</v>
      </c>
    </row>
    <row r="605" spans="1:11" ht="136" x14ac:dyDescent="0.4">
      <c r="A605" s="10" t="s">
        <v>10776</v>
      </c>
      <c r="B605" s="10" t="s">
        <v>10777</v>
      </c>
      <c r="C605" s="10" t="s">
        <v>8805</v>
      </c>
      <c r="D605" s="10" t="s">
        <v>10778</v>
      </c>
      <c r="E605" s="10" t="s">
        <v>3219</v>
      </c>
      <c r="F605" s="10" t="s">
        <v>580</v>
      </c>
      <c r="G605" s="10" t="s">
        <v>76</v>
      </c>
      <c r="H605" s="7" t="s">
        <v>24</v>
      </c>
      <c r="I605" s="7" t="s">
        <v>25</v>
      </c>
      <c r="J605" s="13" t="str">
        <f>HYPERLINK("https://www.airitibooks.com/Detail/Detail?PublicationID=P20190218078", "https://www.airitibooks.com/Detail/Detail?PublicationID=P20190218078")</f>
        <v>https://www.airitibooks.com/Detail/Detail?PublicationID=P20190218078</v>
      </c>
      <c r="K605" s="13" t="str">
        <f>HYPERLINK("https://ntsu.idm.oclc.org/login?url=https://www.airitibooks.com/Detail/Detail?PublicationID=P20190218078", "https://ntsu.idm.oclc.org/login?url=https://www.airitibooks.com/Detail/Detail?PublicationID=P20190218078")</f>
        <v>https://ntsu.idm.oclc.org/login?url=https://www.airitibooks.com/Detail/Detail?PublicationID=P20190218078</v>
      </c>
    </row>
    <row r="606" spans="1:11" ht="85" x14ac:dyDescent="0.4">
      <c r="A606" s="10" t="s">
        <v>10822</v>
      </c>
      <c r="B606" s="10" t="s">
        <v>10823</v>
      </c>
      <c r="C606" s="10" t="s">
        <v>791</v>
      </c>
      <c r="D606" s="10" t="s">
        <v>10824</v>
      </c>
      <c r="E606" s="10" t="s">
        <v>3219</v>
      </c>
      <c r="F606" s="10" t="s">
        <v>10825</v>
      </c>
      <c r="G606" s="10" t="s">
        <v>76</v>
      </c>
      <c r="H606" s="7" t="s">
        <v>24</v>
      </c>
      <c r="I606" s="7" t="s">
        <v>25</v>
      </c>
      <c r="J606" s="13" t="str">
        <f>HYPERLINK("https://www.airitibooks.com/Detail/Detail?PublicationID=P20190220046", "https://www.airitibooks.com/Detail/Detail?PublicationID=P20190220046")</f>
        <v>https://www.airitibooks.com/Detail/Detail?PublicationID=P20190220046</v>
      </c>
      <c r="K606" s="13" t="str">
        <f>HYPERLINK("https://ntsu.idm.oclc.org/login?url=https://www.airitibooks.com/Detail/Detail?PublicationID=P20190220046", "https://ntsu.idm.oclc.org/login?url=https://www.airitibooks.com/Detail/Detail?PublicationID=P20190220046")</f>
        <v>https://ntsu.idm.oclc.org/login?url=https://www.airitibooks.com/Detail/Detail?PublicationID=P20190220046</v>
      </c>
    </row>
    <row r="607" spans="1:11" ht="51" x14ac:dyDescent="0.4">
      <c r="A607" s="10" t="s">
        <v>10886</v>
      </c>
      <c r="B607" s="10" t="s">
        <v>10887</v>
      </c>
      <c r="C607" s="10" t="s">
        <v>7822</v>
      </c>
      <c r="D607" s="10" t="s">
        <v>10888</v>
      </c>
      <c r="E607" s="10" t="s">
        <v>3219</v>
      </c>
      <c r="F607" s="10" t="s">
        <v>10020</v>
      </c>
      <c r="G607" s="10" t="s">
        <v>76</v>
      </c>
      <c r="H607" s="7" t="s">
        <v>24</v>
      </c>
      <c r="I607" s="7" t="s">
        <v>25</v>
      </c>
      <c r="J607" s="13" t="str">
        <f>HYPERLINK("https://www.airitibooks.com/Detail/Detail?PublicationID=P20190223045", "https://www.airitibooks.com/Detail/Detail?PublicationID=P20190223045")</f>
        <v>https://www.airitibooks.com/Detail/Detail?PublicationID=P20190223045</v>
      </c>
      <c r="K607" s="13" t="str">
        <f>HYPERLINK("https://ntsu.idm.oclc.org/login?url=https://www.airitibooks.com/Detail/Detail?PublicationID=P20190223045", "https://ntsu.idm.oclc.org/login?url=https://www.airitibooks.com/Detail/Detail?PublicationID=P20190223045")</f>
        <v>https://ntsu.idm.oclc.org/login?url=https://www.airitibooks.com/Detail/Detail?PublicationID=P20190223045</v>
      </c>
    </row>
    <row r="608" spans="1:11" ht="51" x14ac:dyDescent="0.4">
      <c r="A608" s="10" t="s">
        <v>10896</v>
      </c>
      <c r="B608" s="10" t="s">
        <v>10897</v>
      </c>
      <c r="C608" s="10" t="s">
        <v>1034</v>
      </c>
      <c r="D608" s="10" t="s">
        <v>10898</v>
      </c>
      <c r="E608" s="10" t="s">
        <v>3219</v>
      </c>
      <c r="F608" s="10" t="s">
        <v>632</v>
      </c>
      <c r="G608" s="10" t="s">
        <v>76</v>
      </c>
      <c r="H608" s="7" t="s">
        <v>24</v>
      </c>
      <c r="I608" s="7" t="s">
        <v>25</v>
      </c>
      <c r="J608" s="13" t="str">
        <f>HYPERLINK("https://www.airitibooks.com/Detail/Detail?PublicationID=P20190304011", "https://www.airitibooks.com/Detail/Detail?PublicationID=P20190304011")</f>
        <v>https://www.airitibooks.com/Detail/Detail?PublicationID=P20190304011</v>
      </c>
      <c r="K608" s="13" t="str">
        <f>HYPERLINK("https://ntsu.idm.oclc.org/login?url=https://www.airitibooks.com/Detail/Detail?PublicationID=P20190304011", "https://ntsu.idm.oclc.org/login?url=https://www.airitibooks.com/Detail/Detail?PublicationID=P20190304011")</f>
        <v>https://ntsu.idm.oclc.org/login?url=https://www.airitibooks.com/Detail/Detail?PublicationID=P20190304011</v>
      </c>
    </row>
    <row r="609" spans="1:11" ht="51" x14ac:dyDescent="0.4">
      <c r="A609" s="10" t="s">
        <v>10926</v>
      </c>
      <c r="B609" s="10" t="s">
        <v>10927</v>
      </c>
      <c r="C609" s="10" t="s">
        <v>938</v>
      </c>
      <c r="D609" s="10" t="s">
        <v>10928</v>
      </c>
      <c r="E609" s="10" t="s">
        <v>3219</v>
      </c>
      <c r="F609" s="10" t="s">
        <v>3324</v>
      </c>
      <c r="G609" s="10" t="s">
        <v>76</v>
      </c>
      <c r="H609" s="7" t="s">
        <v>24</v>
      </c>
      <c r="I609" s="7" t="s">
        <v>25</v>
      </c>
      <c r="J609" s="13" t="str">
        <f>HYPERLINK("https://www.airitibooks.com/Detail/Detail?PublicationID=P20190322020", "https://www.airitibooks.com/Detail/Detail?PublicationID=P20190322020")</f>
        <v>https://www.airitibooks.com/Detail/Detail?PublicationID=P20190322020</v>
      </c>
      <c r="K609" s="13" t="str">
        <f>HYPERLINK("https://ntsu.idm.oclc.org/login?url=https://www.airitibooks.com/Detail/Detail?PublicationID=P20190322020", "https://ntsu.idm.oclc.org/login?url=https://www.airitibooks.com/Detail/Detail?PublicationID=P20190322020")</f>
        <v>https://ntsu.idm.oclc.org/login?url=https://www.airitibooks.com/Detail/Detail?PublicationID=P20190322020</v>
      </c>
    </row>
    <row r="610" spans="1:11" ht="51" x14ac:dyDescent="0.4">
      <c r="A610" s="10" t="s">
        <v>10694</v>
      </c>
      <c r="B610" s="10" t="s">
        <v>10955</v>
      </c>
      <c r="C610" s="10" t="s">
        <v>1034</v>
      </c>
      <c r="D610" s="10" t="s">
        <v>10696</v>
      </c>
      <c r="E610" s="10" t="s">
        <v>3219</v>
      </c>
      <c r="F610" s="10" t="s">
        <v>5299</v>
      </c>
      <c r="G610" s="10" t="s">
        <v>76</v>
      </c>
      <c r="H610" s="7" t="s">
        <v>24</v>
      </c>
      <c r="I610" s="7" t="s">
        <v>25</v>
      </c>
      <c r="J610" s="13" t="str">
        <f>HYPERLINK("https://www.airitibooks.com/Detail/Detail?PublicationID=P20190322152", "https://www.airitibooks.com/Detail/Detail?PublicationID=P20190322152")</f>
        <v>https://www.airitibooks.com/Detail/Detail?PublicationID=P20190322152</v>
      </c>
      <c r="K610" s="13" t="str">
        <f>HYPERLINK("https://ntsu.idm.oclc.org/login?url=https://www.airitibooks.com/Detail/Detail?PublicationID=P20190322152", "https://ntsu.idm.oclc.org/login?url=https://www.airitibooks.com/Detail/Detail?PublicationID=P20190322152")</f>
        <v>https://ntsu.idm.oclc.org/login?url=https://www.airitibooks.com/Detail/Detail?PublicationID=P20190322152</v>
      </c>
    </row>
    <row r="611" spans="1:11" ht="51" x14ac:dyDescent="0.4">
      <c r="A611" s="10" t="s">
        <v>10991</v>
      </c>
      <c r="B611" s="10" t="s">
        <v>10992</v>
      </c>
      <c r="C611" s="10" t="s">
        <v>9915</v>
      </c>
      <c r="D611" s="10" t="s">
        <v>10993</v>
      </c>
      <c r="E611" s="10" t="s">
        <v>3219</v>
      </c>
      <c r="F611" s="10" t="s">
        <v>10994</v>
      </c>
      <c r="G611" s="10" t="s">
        <v>76</v>
      </c>
      <c r="H611" s="7" t="s">
        <v>24</v>
      </c>
      <c r="I611" s="7" t="s">
        <v>25</v>
      </c>
      <c r="J611" s="13" t="str">
        <f>HYPERLINK("https://www.airitibooks.com/Detail/Detail?PublicationID=P20190329080", "https://www.airitibooks.com/Detail/Detail?PublicationID=P20190329080")</f>
        <v>https://www.airitibooks.com/Detail/Detail?PublicationID=P20190329080</v>
      </c>
      <c r="K611" s="13" t="str">
        <f>HYPERLINK("https://ntsu.idm.oclc.org/login?url=https://www.airitibooks.com/Detail/Detail?PublicationID=P20190329080", "https://ntsu.idm.oclc.org/login?url=https://www.airitibooks.com/Detail/Detail?PublicationID=P20190329080")</f>
        <v>https://ntsu.idm.oclc.org/login?url=https://www.airitibooks.com/Detail/Detail?PublicationID=P20190329080</v>
      </c>
    </row>
    <row r="612" spans="1:11" ht="51" x14ac:dyDescent="0.4">
      <c r="A612" s="10" t="s">
        <v>10995</v>
      </c>
      <c r="B612" s="10" t="s">
        <v>10996</v>
      </c>
      <c r="C612" s="10" t="s">
        <v>9915</v>
      </c>
      <c r="D612" s="10" t="s">
        <v>10997</v>
      </c>
      <c r="E612" s="10" t="s">
        <v>3219</v>
      </c>
      <c r="F612" s="10" t="s">
        <v>10998</v>
      </c>
      <c r="G612" s="10" t="s">
        <v>76</v>
      </c>
      <c r="H612" s="7" t="s">
        <v>24</v>
      </c>
      <c r="I612" s="7" t="s">
        <v>25</v>
      </c>
      <c r="J612" s="13" t="str">
        <f>HYPERLINK("https://www.airitibooks.com/Detail/Detail?PublicationID=P20190329081", "https://www.airitibooks.com/Detail/Detail?PublicationID=P20190329081")</f>
        <v>https://www.airitibooks.com/Detail/Detail?PublicationID=P20190329081</v>
      </c>
      <c r="K612" s="13" t="str">
        <f>HYPERLINK("https://ntsu.idm.oclc.org/login?url=https://www.airitibooks.com/Detail/Detail?PublicationID=P20190329081", "https://ntsu.idm.oclc.org/login?url=https://www.airitibooks.com/Detail/Detail?PublicationID=P20190329081")</f>
        <v>https://ntsu.idm.oclc.org/login?url=https://www.airitibooks.com/Detail/Detail?PublicationID=P20190329081</v>
      </c>
    </row>
    <row r="613" spans="1:11" ht="51" x14ac:dyDescent="0.4">
      <c r="A613" s="10" t="s">
        <v>11142</v>
      </c>
      <c r="B613" s="10" t="s">
        <v>11143</v>
      </c>
      <c r="C613" s="10" t="s">
        <v>141</v>
      </c>
      <c r="D613" s="10" t="s">
        <v>1940</v>
      </c>
      <c r="E613" s="10" t="s">
        <v>3219</v>
      </c>
      <c r="F613" s="10" t="s">
        <v>9821</v>
      </c>
      <c r="G613" s="10" t="s">
        <v>76</v>
      </c>
      <c r="H613" s="7" t="s">
        <v>24</v>
      </c>
      <c r="I613" s="7" t="s">
        <v>25</v>
      </c>
      <c r="J613" s="13" t="str">
        <f>HYPERLINK("https://www.airitibooks.com/Detail/Detail?PublicationID=P20190425001", "https://www.airitibooks.com/Detail/Detail?PublicationID=P20190425001")</f>
        <v>https://www.airitibooks.com/Detail/Detail?PublicationID=P20190425001</v>
      </c>
      <c r="K613" s="13" t="str">
        <f>HYPERLINK("https://ntsu.idm.oclc.org/login?url=https://www.airitibooks.com/Detail/Detail?PublicationID=P20190425001", "https://ntsu.idm.oclc.org/login?url=https://www.airitibooks.com/Detail/Detail?PublicationID=P20190425001")</f>
        <v>https://ntsu.idm.oclc.org/login?url=https://www.airitibooks.com/Detail/Detail?PublicationID=P20190425001</v>
      </c>
    </row>
    <row r="614" spans="1:11" ht="68" x14ac:dyDescent="0.4">
      <c r="A614" s="10" t="s">
        <v>11159</v>
      </c>
      <c r="B614" s="10" t="s">
        <v>11160</v>
      </c>
      <c r="C614" s="10" t="s">
        <v>791</v>
      </c>
      <c r="D614" s="10" t="s">
        <v>11161</v>
      </c>
      <c r="E614" s="10" t="s">
        <v>3219</v>
      </c>
      <c r="F614" s="10" t="s">
        <v>11162</v>
      </c>
      <c r="G614" s="10" t="s">
        <v>76</v>
      </c>
      <c r="H614" s="7" t="s">
        <v>24</v>
      </c>
      <c r="I614" s="7" t="s">
        <v>25</v>
      </c>
      <c r="J614" s="13" t="str">
        <f>HYPERLINK("https://www.airitibooks.com/Detail/Detail?PublicationID=P20190425017", "https://www.airitibooks.com/Detail/Detail?PublicationID=P20190425017")</f>
        <v>https://www.airitibooks.com/Detail/Detail?PublicationID=P20190425017</v>
      </c>
      <c r="K614" s="13" t="str">
        <f>HYPERLINK("https://ntsu.idm.oclc.org/login?url=https://www.airitibooks.com/Detail/Detail?PublicationID=P20190425017", "https://ntsu.idm.oclc.org/login?url=https://www.airitibooks.com/Detail/Detail?PublicationID=P20190425017")</f>
        <v>https://ntsu.idm.oclc.org/login?url=https://www.airitibooks.com/Detail/Detail?PublicationID=P20190425017</v>
      </c>
    </row>
    <row r="615" spans="1:11" ht="51" x14ac:dyDescent="0.4">
      <c r="A615" s="10" t="s">
        <v>11322</v>
      </c>
      <c r="B615" s="10" t="s">
        <v>11323</v>
      </c>
      <c r="C615" s="10" t="s">
        <v>9915</v>
      </c>
      <c r="D615" s="10" t="s">
        <v>11324</v>
      </c>
      <c r="E615" s="10" t="s">
        <v>3219</v>
      </c>
      <c r="F615" s="10" t="s">
        <v>5097</v>
      </c>
      <c r="G615" s="10" t="s">
        <v>76</v>
      </c>
      <c r="H615" s="7" t="s">
        <v>24</v>
      </c>
      <c r="I615" s="7" t="s">
        <v>25</v>
      </c>
      <c r="J615" s="13" t="str">
        <f>HYPERLINK("https://www.airitibooks.com/Detail/Detail?PublicationID=P20190510080", "https://www.airitibooks.com/Detail/Detail?PublicationID=P20190510080")</f>
        <v>https://www.airitibooks.com/Detail/Detail?PublicationID=P20190510080</v>
      </c>
      <c r="K615" s="13" t="str">
        <f>HYPERLINK("https://ntsu.idm.oclc.org/login?url=https://www.airitibooks.com/Detail/Detail?PublicationID=P20190510080", "https://ntsu.idm.oclc.org/login?url=https://www.airitibooks.com/Detail/Detail?PublicationID=P20190510080")</f>
        <v>https://ntsu.idm.oclc.org/login?url=https://www.airitibooks.com/Detail/Detail?PublicationID=P20190510080</v>
      </c>
    </row>
    <row r="616" spans="1:11" ht="51" x14ac:dyDescent="0.4">
      <c r="A616" s="10" t="s">
        <v>11495</v>
      </c>
      <c r="B616" s="10" t="s">
        <v>11496</v>
      </c>
      <c r="C616" s="10" t="s">
        <v>938</v>
      </c>
      <c r="D616" s="10" t="s">
        <v>4563</v>
      </c>
      <c r="E616" s="10" t="s">
        <v>3219</v>
      </c>
      <c r="F616" s="10" t="s">
        <v>4564</v>
      </c>
      <c r="G616" s="10" t="s">
        <v>76</v>
      </c>
      <c r="H616" s="7" t="s">
        <v>24</v>
      </c>
      <c r="I616" s="7" t="s">
        <v>25</v>
      </c>
      <c r="J616" s="13" t="str">
        <f>HYPERLINK("https://www.airitibooks.com/Detail/Detail?PublicationID=P20190523024", "https://www.airitibooks.com/Detail/Detail?PublicationID=P20190523024")</f>
        <v>https://www.airitibooks.com/Detail/Detail?PublicationID=P20190523024</v>
      </c>
      <c r="K616" s="13" t="str">
        <f>HYPERLINK("https://ntsu.idm.oclc.org/login?url=https://www.airitibooks.com/Detail/Detail?PublicationID=P20190523024", "https://ntsu.idm.oclc.org/login?url=https://www.airitibooks.com/Detail/Detail?PublicationID=P20190523024")</f>
        <v>https://ntsu.idm.oclc.org/login?url=https://www.airitibooks.com/Detail/Detail?PublicationID=P20190523024</v>
      </c>
    </row>
    <row r="617" spans="1:11" ht="51" x14ac:dyDescent="0.4">
      <c r="A617" s="10" t="s">
        <v>11497</v>
      </c>
      <c r="B617" s="10" t="s">
        <v>11498</v>
      </c>
      <c r="C617" s="10" t="s">
        <v>938</v>
      </c>
      <c r="D617" s="10" t="s">
        <v>8961</v>
      </c>
      <c r="E617" s="10" t="s">
        <v>3219</v>
      </c>
      <c r="F617" s="10" t="s">
        <v>3731</v>
      </c>
      <c r="G617" s="10" t="s">
        <v>76</v>
      </c>
      <c r="H617" s="7" t="s">
        <v>24</v>
      </c>
      <c r="I617" s="7" t="s">
        <v>25</v>
      </c>
      <c r="J617" s="13" t="str">
        <f>HYPERLINK("https://www.airitibooks.com/Detail/Detail?PublicationID=P20190523026", "https://www.airitibooks.com/Detail/Detail?PublicationID=P20190523026")</f>
        <v>https://www.airitibooks.com/Detail/Detail?PublicationID=P20190523026</v>
      </c>
      <c r="K617" s="13" t="str">
        <f>HYPERLINK("https://ntsu.idm.oclc.org/login?url=https://www.airitibooks.com/Detail/Detail?PublicationID=P20190523026", "https://ntsu.idm.oclc.org/login?url=https://www.airitibooks.com/Detail/Detail?PublicationID=P20190523026")</f>
        <v>https://ntsu.idm.oclc.org/login?url=https://www.airitibooks.com/Detail/Detail?PublicationID=P20190523026</v>
      </c>
    </row>
    <row r="618" spans="1:11" ht="68" x14ac:dyDescent="0.4">
      <c r="A618" s="10" t="s">
        <v>11777</v>
      </c>
      <c r="B618" s="10" t="s">
        <v>11778</v>
      </c>
      <c r="C618" s="10" t="s">
        <v>791</v>
      </c>
      <c r="D618" s="10" t="s">
        <v>11779</v>
      </c>
      <c r="E618" s="10" t="s">
        <v>3219</v>
      </c>
      <c r="F618" s="10" t="s">
        <v>294</v>
      </c>
      <c r="G618" s="10" t="s">
        <v>76</v>
      </c>
      <c r="H618" s="7" t="s">
        <v>24</v>
      </c>
      <c r="I618" s="7" t="s">
        <v>25</v>
      </c>
      <c r="J618" s="13" t="str">
        <f>HYPERLINK("https://www.airitibooks.com/Detail/Detail?PublicationID=P20190620044", "https://www.airitibooks.com/Detail/Detail?PublicationID=P20190620044")</f>
        <v>https://www.airitibooks.com/Detail/Detail?PublicationID=P20190620044</v>
      </c>
      <c r="K618" s="13" t="str">
        <f>HYPERLINK("https://ntsu.idm.oclc.org/login?url=https://www.airitibooks.com/Detail/Detail?PublicationID=P20190620044", "https://ntsu.idm.oclc.org/login?url=https://www.airitibooks.com/Detail/Detail?PublicationID=P20190620044")</f>
        <v>https://ntsu.idm.oclc.org/login?url=https://www.airitibooks.com/Detail/Detail?PublicationID=P20190620044</v>
      </c>
    </row>
    <row r="619" spans="1:11" ht="51" x14ac:dyDescent="0.4">
      <c r="A619" s="10" t="s">
        <v>11867</v>
      </c>
      <c r="B619" s="10" t="s">
        <v>11868</v>
      </c>
      <c r="C619" s="10" t="s">
        <v>11869</v>
      </c>
      <c r="D619" s="10" t="s">
        <v>11870</v>
      </c>
      <c r="E619" s="10" t="s">
        <v>3219</v>
      </c>
      <c r="F619" s="10" t="s">
        <v>5299</v>
      </c>
      <c r="G619" s="10" t="s">
        <v>76</v>
      </c>
      <c r="H619" s="7" t="s">
        <v>24</v>
      </c>
      <c r="I619" s="7" t="s">
        <v>25</v>
      </c>
      <c r="J619" s="13" t="str">
        <f>HYPERLINK("https://www.airitibooks.com/Detail/Detail?PublicationID=P20190620283", "https://www.airitibooks.com/Detail/Detail?PublicationID=P20190620283")</f>
        <v>https://www.airitibooks.com/Detail/Detail?PublicationID=P20190620283</v>
      </c>
      <c r="K619" s="13" t="str">
        <f>HYPERLINK("https://ntsu.idm.oclc.org/login?url=https://www.airitibooks.com/Detail/Detail?PublicationID=P20190620283", "https://ntsu.idm.oclc.org/login?url=https://www.airitibooks.com/Detail/Detail?PublicationID=P20190620283")</f>
        <v>https://ntsu.idm.oclc.org/login?url=https://www.airitibooks.com/Detail/Detail?PublicationID=P20190620283</v>
      </c>
    </row>
    <row r="620" spans="1:11" ht="51" x14ac:dyDescent="0.4">
      <c r="A620" s="10" t="s">
        <v>11871</v>
      </c>
      <c r="B620" s="10" t="s">
        <v>11872</v>
      </c>
      <c r="C620" s="10" t="s">
        <v>11869</v>
      </c>
      <c r="D620" s="10" t="s">
        <v>11870</v>
      </c>
      <c r="E620" s="10" t="s">
        <v>3219</v>
      </c>
      <c r="F620" s="10" t="s">
        <v>10171</v>
      </c>
      <c r="G620" s="10" t="s">
        <v>76</v>
      </c>
      <c r="H620" s="7" t="s">
        <v>24</v>
      </c>
      <c r="I620" s="7" t="s">
        <v>25</v>
      </c>
      <c r="J620" s="13" t="str">
        <f>HYPERLINK("https://www.airitibooks.com/Detail/Detail?PublicationID=P20190620285", "https://www.airitibooks.com/Detail/Detail?PublicationID=P20190620285")</f>
        <v>https://www.airitibooks.com/Detail/Detail?PublicationID=P20190620285</v>
      </c>
      <c r="K620" s="13" t="str">
        <f>HYPERLINK("https://ntsu.idm.oclc.org/login?url=https://www.airitibooks.com/Detail/Detail?PublicationID=P20190620285", "https://ntsu.idm.oclc.org/login?url=https://www.airitibooks.com/Detail/Detail?PublicationID=P20190620285")</f>
        <v>https://ntsu.idm.oclc.org/login?url=https://www.airitibooks.com/Detail/Detail?PublicationID=P20190620285</v>
      </c>
    </row>
    <row r="621" spans="1:11" ht="51" x14ac:dyDescent="0.4">
      <c r="A621" s="10" t="s">
        <v>11903</v>
      </c>
      <c r="B621" s="10" t="s">
        <v>11904</v>
      </c>
      <c r="C621" s="10" t="s">
        <v>11905</v>
      </c>
      <c r="D621" s="10" t="s">
        <v>11906</v>
      </c>
      <c r="E621" s="10" t="s">
        <v>3219</v>
      </c>
      <c r="F621" s="10" t="s">
        <v>2475</v>
      </c>
      <c r="G621" s="10" t="s">
        <v>76</v>
      </c>
      <c r="H621" s="7" t="s">
        <v>1031</v>
      </c>
      <c r="I621" s="7" t="s">
        <v>25</v>
      </c>
      <c r="J621" s="13" t="str">
        <f>HYPERLINK("https://www.airitibooks.com/Detail/Detail?PublicationID=P20190627125", "https://www.airitibooks.com/Detail/Detail?PublicationID=P20190627125")</f>
        <v>https://www.airitibooks.com/Detail/Detail?PublicationID=P20190627125</v>
      </c>
      <c r="K621" s="13" t="str">
        <f>HYPERLINK("https://ntsu.idm.oclc.org/login?url=https://www.airitibooks.com/Detail/Detail?PublicationID=P20190627125", "https://ntsu.idm.oclc.org/login?url=https://www.airitibooks.com/Detail/Detail?PublicationID=P20190627125")</f>
        <v>https://ntsu.idm.oclc.org/login?url=https://www.airitibooks.com/Detail/Detail?PublicationID=P20190627125</v>
      </c>
    </row>
    <row r="622" spans="1:11" ht="51" x14ac:dyDescent="0.4">
      <c r="A622" s="10" t="s">
        <v>11907</v>
      </c>
      <c r="B622" s="10" t="s">
        <v>11908</v>
      </c>
      <c r="C622" s="10" t="s">
        <v>11905</v>
      </c>
      <c r="D622" s="10" t="s">
        <v>11909</v>
      </c>
      <c r="E622" s="10" t="s">
        <v>3219</v>
      </c>
      <c r="F622" s="10" t="s">
        <v>2475</v>
      </c>
      <c r="G622" s="10" t="s">
        <v>76</v>
      </c>
      <c r="H622" s="7" t="s">
        <v>1031</v>
      </c>
      <c r="I622" s="7" t="s">
        <v>25</v>
      </c>
      <c r="J622" s="13" t="str">
        <f>HYPERLINK("https://www.airitibooks.com/Detail/Detail?PublicationID=P20190627126", "https://www.airitibooks.com/Detail/Detail?PublicationID=P20190627126")</f>
        <v>https://www.airitibooks.com/Detail/Detail?PublicationID=P20190627126</v>
      </c>
      <c r="K622" s="13" t="str">
        <f>HYPERLINK("https://ntsu.idm.oclc.org/login?url=https://www.airitibooks.com/Detail/Detail?PublicationID=P20190627126", "https://ntsu.idm.oclc.org/login?url=https://www.airitibooks.com/Detail/Detail?PublicationID=P20190627126")</f>
        <v>https://ntsu.idm.oclc.org/login?url=https://www.airitibooks.com/Detail/Detail?PublicationID=P20190627126</v>
      </c>
    </row>
    <row r="623" spans="1:11" ht="51" x14ac:dyDescent="0.4">
      <c r="A623" s="10" t="s">
        <v>8906</v>
      </c>
      <c r="B623" s="10" t="s">
        <v>11941</v>
      </c>
      <c r="C623" s="10" t="s">
        <v>938</v>
      </c>
      <c r="D623" s="10" t="s">
        <v>8908</v>
      </c>
      <c r="E623" s="10" t="s">
        <v>3219</v>
      </c>
      <c r="F623" s="10" t="s">
        <v>4606</v>
      </c>
      <c r="G623" s="10" t="s">
        <v>76</v>
      </c>
      <c r="H623" s="7" t="s">
        <v>24</v>
      </c>
      <c r="I623" s="7" t="s">
        <v>25</v>
      </c>
      <c r="J623" s="13" t="str">
        <f>HYPERLINK("https://www.airitibooks.com/Detail/Detail?PublicationID=P20190711007", "https://www.airitibooks.com/Detail/Detail?PublicationID=P20190711007")</f>
        <v>https://www.airitibooks.com/Detail/Detail?PublicationID=P20190711007</v>
      </c>
      <c r="K623" s="13" t="str">
        <f>HYPERLINK("https://ntsu.idm.oclc.org/login?url=https://www.airitibooks.com/Detail/Detail?PublicationID=P20190711007", "https://ntsu.idm.oclc.org/login?url=https://www.airitibooks.com/Detail/Detail?PublicationID=P20190711007")</f>
        <v>https://ntsu.idm.oclc.org/login?url=https://www.airitibooks.com/Detail/Detail?PublicationID=P20190711007</v>
      </c>
    </row>
    <row r="624" spans="1:11" ht="51" x14ac:dyDescent="0.4">
      <c r="A624" s="10" t="s">
        <v>11944</v>
      </c>
      <c r="B624" s="10" t="s">
        <v>11945</v>
      </c>
      <c r="C624" s="10" t="s">
        <v>938</v>
      </c>
      <c r="D624" s="10" t="s">
        <v>4563</v>
      </c>
      <c r="E624" s="10" t="s">
        <v>3219</v>
      </c>
      <c r="F624" s="10" t="s">
        <v>4564</v>
      </c>
      <c r="G624" s="10" t="s">
        <v>76</v>
      </c>
      <c r="H624" s="7" t="s">
        <v>24</v>
      </c>
      <c r="I624" s="7" t="s">
        <v>25</v>
      </c>
      <c r="J624" s="13" t="str">
        <f>HYPERLINK("https://www.airitibooks.com/Detail/Detail?PublicationID=P20190711032", "https://www.airitibooks.com/Detail/Detail?PublicationID=P20190711032")</f>
        <v>https://www.airitibooks.com/Detail/Detail?PublicationID=P20190711032</v>
      </c>
      <c r="K624" s="13" t="str">
        <f>HYPERLINK("https://ntsu.idm.oclc.org/login?url=https://www.airitibooks.com/Detail/Detail?PublicationID=P20190711032", "https://ntsu.idm.oclc.org/login?url=https://www.airitibooks.com/Detail/Detail?PublicationID=P20190711032")</f>
        <v>https://ntsu.idm.oclc.org/login?url=https://www.airitibooks.com/Detail/Detail?PublicationID=P20190711032</v>
      </c>
    </row>
    <row r="625" spans="1:11" ht="102" x14ac:dyDescent="0.4">
      <c r="A625" s="10" t="s">
        <v>11986</v>
      </c>
      <c r="B625" s="10" t="s">
        <v>11987</v>
      </c>
      <c r="C625" s="10" t="s">
        <v>791</v>
      </c>
      <c r="D625" s="10" t="s">
        <v>11988</v>
      </c>
      <c r="E625" s="10" t="s">
        <v>3219</v>
      </c>
      <c r="F625" s="10" t="s">
        <v>11989</v>
      </c>
      <c r="G625" s="10" t="s">
        <v>76</v>
      </c>
      <c r="H625" s="7" t="s">
        <v>24</v>
      </c>
      <c r="I625" s="7" t="s">
        <v>25</v>
      </c>
      <c r="J625" s="13" t="str">
        <f>HYPERLINK("https://www.airitibooks.com/Detail/Detail?PublicationID=P20190718035", "https://www.airitibooks.com/Detail/Detail?PublicationID=P20190718035")</f>
        <v>https://www.airitibooks.com/Detail/Detail?PublicationID=P20190718035</v>
      </c>
      <c r="K625" s="13" t="str">
        <f>HYPERLINK("https://ntsu.idm.oclc.org/login?url=https://www.airitibooks.com/Detail/Detail?PublicationID=P20190718035", "https://ntsu.idm.oclc.org/login?url=https://www.airitibooks.com/Detail/Detail?PublicationID=P20190718035")</f>
        <v>https://ntsu.idm.oclc.org/login?url=https://www.airitibooks.com/Detail/Detail?PublicationID=P20190718035</v>
      </c>
    </row>
    <row r="626" spans="1:11" ht="85" x14ac:dyDescent="0.4">
      <c r="A626" s="10" t="s">
        <v>11993</v>
      </c>
      <c r="B626" s="10" t="s">
        <v>11994</v>
      </c>
      <c r="C626" s="10" t="s">
        <v>11995</v>
      </c>
      <c r="D626" s="10" t="s">
        <v>11996</v>
      </c>
      <c r="E626" s="10" t="s">
        <v>3219</v>
      </c>
      <c r="F626" s="10" t="s">
        <v>11997</v>
      </c>
      <c r="G626" s="10" t="s">
        <v>76</v>
      </c>
      <c r="H626" s="7" t="s">
        <v>24</v>
      </c>
      <c r="I626" s="7" t="s">
        <v>25</v>
      </c>
      <c r="J626" s="13" t="str">
        <f>HYPERLINK("https://www.airitibooks.com/Detail/Detail?PublicationID=P20190718045", "https://www.airitibooks.com/Detail/Detail?PublicationID=P20190718045")</f>
        <v>https://www.airitibooks.com/Detail/Detail?PublicationID=P20190718045</v>
      </c>
      <c r="K626" s="13" t="str">
        <f>HYPERLINK("https://ntsu.idm.oclc.org/login?url=https://www.airitibooks.com/Detail/Detail?PublicationID=P20190718045", "https://ntsu.idm.oclc.org/login?url=https://www.airitibooks.com/Detail/Detail?PublicationID=P20190718045")</f>
        <v>https://ntsu.idm.oclc.org/login?url=https://www.airitibooks.com/Detail/Detail?PublicationID=P20190718045</v>
      </c>
    </row>
    <row r="627" spans="1:11" ht="51" x14ac:dyDescent="0.4">
      <c r="A627" s="10" t="s">
        <v>12006</v>
      </c>
      <c r="B627" s="10" t="s">
        <v>12007</v>
      </c>
      <c r="C627" s="10" t="s">
        <v>11905</v>
      </c>
      <c r="D627" s="10" t="s">
        <v>11906</v>
      </c>
      <c r="E627" s="10" t="s">
        <v>3219</v>
      </c>
      <c r="F627" s="10" t="s">
        <v>2475</v>
      </c>
      <c r="G627" s="10" t="s">
        <v>76</v>
      </c>
      <c r="H627" s="7" t="s">
        <v>1031</v>
      </c>
      <c r="I627" s="7" t="s">
        <v>25</v>
      </c>
      <c r="J627" s="13" t="str">
        <f>HYPERLINK("https://www.airitibooks.com/Detail/Detail?PublicationID=P20190718068", "https://www.airitibooks.com/Detail/Detail?PublicationID=P20190718068")</f>
        <v>https://www.airitibooks.com/Detail/Detail?PublicationID=P20190718068</v>
      </c>
      <c r="K627" s="13" t="str">
        <f>HYPERLINK("https://ntsu.idm.oclc.org/login?url=https://www.airitibooks.com/Detail/Detail?PublicationID=P20190718068", "https://ntsu.idm.oclc.org/login?url=https://www.airitibooks.com/Detail/Detail?PublicationID=P20190718068")</f>
        <v>https://ntsu.idm.oclc.org/login?url=https://www.airitibooks.com/Detail/Detail?PublicationID=P20190718068</v>
      </c>
    </row>
    <row r="628" spans="1:11" ht="51" x14ac:dyDescent="0.4">
      <c r="A628" s="10" t="s">
        <v>12014</v>
      </c>
      <c r="B628" s="10" t="s">
        <v>12015</v>
      </c>
      <c r="C628" s="10" t="s">
        <v>11905</v>
      </c>
      <c r="D628" s="10" t="s">
        <v>12016</v>
      </c>
      <c r="E628" s="10" t="s">
        <v>3219</v>
      </c>
      <c r="F628" s="10" t="s">
        <v>2475</v>
      </c>
      <c r="G628" s="10" t="s">
        <v>76</v>
      </c>
      <c r="H628" s="7" t="s">
        <v>1031</v>
      </c>
      <c r="I628" s="7" t="s">
        <v>25</v>
      </c>
      <c r="J628" s="13" t="str">
        <f>HYPERLINK("https://www.airitibooks.com/Detail/Detail?PublicationID=P20190718073", "https://www.airitibooks.com/Detail/Detail?PublicationID=P20190718073")</f>
        <v>https://www.airitibooks.com/Detail/Detail?PublicationID=P20190718073</v>
      </c>
      <c r="K628" s="13" t="str">
        <f>HYPERLINK("https://ntsu.idm.oclc.org/login?url=https://www.airitibooks.com/Detail/Detail?PublicationID=P20190718073", "https://ntsu.idm.oclc.org/login?url=https://www.airitibooks.com/Detail/Detail?PublicationID=P20190718073")</f>
        <v>https://ntsu.idm.oclc.org/login?url=https://www.airitibooks.com/Detail/Detail?PublicationID=P20190718073</v>
      </c>
    </row>
    <row r="629" spans="1:11" ht="51" x14ac:dyDescent="0.4">
      <c r="A629" s="10" t="s">
        <v>12017</v>
      </c>
      <c r="B629" s="10" t="s">
        <v>12018</v>
      </c>
      <c r="C629" s="10" t="s">
        <v>197</v>
      </c>
      <c r="D629" s="10" t="s">
        <v>12019</v>
      </c>
      <c r="E629" s="10" t="s">
        <v>3219</v>
      </c>
      <c r="F629" s="10" t="s">
        <v>12020</v>
      </c>
      <c r="G629" s="10" t="s">
        <v>76</v>
      </c>
      <c r="H629" s="7" t="s">
        <v>24</v>
      </c>
      <c r="I629" s="7" t="s">
        <v>25</v>
      </c>
      <c r="J629" s="13" t="str">
        <f>HYPERLINK("https://www.airitibooks.com/Detail/Detail?PublicationID=P20190816004", "https://www.airitibooks.com/Detail/Detail?PublicationID=P20190816004")</f>
        <v>https://www.airitibooks.com/Detail/Detail?PublicationID=P20190816004</v>
      </c>
      <c r="K629" s="13" t="str">
        <f>HYPERLINK("https://ntsu.idm.oclc.org/login?url=https://www.airitibooks.com/Detail/Detail?PublicationID=P20190816004", "https://ntsu.idm.oclc.org/login?url=https://www.airitibooks.com/Detail/Detail?PublicationID=P20190816004")</f>
        <v>https://ntsu.idm.oclc.org/login?url=https://www.airitibooks.com/Detail/Detail?PublicationID=P20190816004</v>
      </c>
    </row>
    <row r="630" spans="1:11" ht="68" x14ac:dyDescent="0.4">
      <c r="A630" s="10" t="s">
        <v>12041</v>
      </c>
      <c r="B630" s="10" t="s">
        <v>12042</v>
      </c>
      <c r="C630" s="10" t="s">
        <v>568</v>
      </c>
      <c r="D630" s="10" t="s">
        <v>12043</v>
      </c>
      <c r="E630" s="10" t="s">
        <v>3219</v>
      </c>
      <c r="F630" s="10" t="s">
        <v>12044</v>
      </c>
      <c r="G630" s="10" t="s">
        <v>76</v>
      </c>
      <c r="H630" s="7" t="s">
        <v>24</v>
      </c>
      <c r="I630" s="7" t="s">
        <v>25</v>
      </c>
      <c r="J630" s="13" t="str">
        <f>HYPERLINK("https://www.airitibooks.com/Detail/Detail?PublicationID=P20190816073", "https://www.airitibooks.com/Detail/Detail?PublicationID=P20190816073")</f>
        <v>https://www.airitibooks.com/Detail/Detail?PublicationID=P20190816073</v>
      </c>
      <c r="K630" s="13" t="str">
        <f>HYPERLINK("https://ntsu.idm.oclc.org/login?url=https://www.airitibooks.com/Detail/Detail?PublicationID=P20190816073", "https://ntsu.idm.oclc.org/login?url=https://www.airitibooks.com/Detail/Detail?PublicationID=P20190816073")</f>
        <v>https://ntsu.idm.oclc.org/login?url=https://www.airitibooks.com/Detail/Detail?PublicationID=P20190816073</v>
      </c>
    </row>
    <row r="631" spans="1:11" ht="51" x14ac:dyDescent="0.4">
      <c r="A631" s="10" t="s">
        <v>12076</v>
      </c>
      <c r="B631" s="10" t="s">
        <v>12077</v>
      </c>
      <c r="C631" s="10" t="s">
        <v>746</v>
      </c>
      <c r="D631" s="10" t="s">
        <v>12078</v>
      </c>
      <c r="E631" s="10" t="s">
        <v>3219</v>
      </c>
      <c r="F631" s="10" t="s">
        <v>12079</v>
      </c>
      <c r="G631" s="10" t="s">
        <v>76</v>
      </c>
      <c r="H631" s="7" t="s">
        <v>24</v>
      </c>
      <c r="I631" s="7" t="s">
        <v>25</v>
      </c>
      <c r="J631" s="13" t="str">
        <f>HYPERLINK("https://www.airitibooks.com/Detail/Detail?PublicationID=P20190816096", "https://www.airitibooks.com/Detail/Detail?PublicationID=P20190816096")</f>
        <v>https://www.airitibooks.com/Detail/Detail?PublicationID=P20190816096</v>
      </c>
      <c r="K631" s="13" t="str">
        <f>HYPERLINK("https://ntsu.idm.oclc.org/login?url=https://www.airitibooks.com/Detail/Detail?PublicationID=P20190816096", "https://ntsu.idm.oclc.org/login?url=https://www.airitibooks.com/Detail/Detail?PublicationID=P20190816096")</f>
        <v>https://ntsu.idm.oclc.org/login?url=https://www.airitibooks.com/Detail/Detail?PublicationID=P20190816096</v>
      </c>
    </row>
    <row r="632" spans="1:11" ht="51" x14ac:dyDescent="0.4">
      <c r="A632" s="10" t="s">
        <v>12142</v>
      </c>
      <c r="B632" s="10" t="s">
        <v>12143</v>
      </c>
      <c r="C632" s="10" t="s">
        <v>9915</v>
      </c>
      <c r="D632" s="10" t="s">
        <v>12144</v>
      </c>
      <c r="E632" s="10" t="s">
        <v>3219</v>
      </c>
      <c r="F632" s="10" t="s">
        <v>5097</v>
      </c>
      <c r="G632" s="10" t="s">
        <v>76</v>
      </c>
      <c r="H632" s="7" t="s">
        <v>24</v>
      </c>
      <c r="I632" s="7" t="s">
        <v>25</v>
      </c>
      <c r="J632" s="13" t="str">
        <f>HYPERLINK("https://www.airitibooks.com/Detail/Detail?PublicationID=P20190816190", "https://www.airitibooks.com/Detail/Detail?PublicationID=P20190816190")</f>
        <v>https://www.airitibooks.com/Detail/Detail?PublicationID=P20190816190</v>
      </c>
      <c r="K632" s="13" t="str">
        <f>HYPERLINK("https://ntsu.idm.oclc.org/login?url=https://www.airitibooks.com/Detail/Detail?PublicationID=P20190816190", "https://ntsu.idm.oclc.org/login?url=https://www.airitibooks.com/Detail/Detail?PublicationID=P20190816190")</f>
        <v>https://ntsu.idm.oclc.org/login?url=https://www.airitibooks.com/Detail/Detail?PublicationID=P20190816190</v>
      </c>
    </row>
    <row r="633" spans="1:11" ht="51" x14ac:dyDescent="0.4">
      <c r="A633" s="10" t="s">
        <v>12145</v>
      </c>
      <c r="B633" s="10" t="s">
        <v>12146</v>
      </c>
      <c r="C633" s="10" t="s">
        <v>9915</v>
      </c>
      <c r="D633" s="10" t="s">
        <v>12147</v>
      </c>
      <c r="E633" s="10" t="s">
        <v>3219</v>
      </c>
      <c r="F633" s="10" t="s">
        <v>12148</v>
      </c>
      <c r="G633" s="10" t="s">
        <v>76</v>
      </c>
      <c r="H633" s="7" t="s">
        <v>24</v>
      </c>
      <c r="I633" s="7" t="s">
        <v>25</v>
      </c>
      <c r="J633" s="13" t="str">
        <f>HYPERLINK("https://www.airitibooks.com/Detail/Detail?PublicationID=P20190816191", "https://www.airitibooks.com/Detail/Detail?PublicationID=P20190816191")</f>
        <v>https://www.airitibooks.com/Detail/Detail?PublicationID=P20190816191</v>
      </c>
      <c r="K633" s="13" t="str">
        <f>HYPERLINK("https://ntsu.idm.oclc.org/login?url=https://www.airitibooks.com/Detail/Detail?PublicationID=P20190816191", "https://ntsu.idm.oclc.org/login?url=https://www.airitibooks.com/Detail/Detail?PublicationID=P20190816191")</f>
        <v>https://ntsu.idm.oclc.org/login?url=https://www.airitibooks.com/Detail/Detail?PublicationID=P20190816191</v>
      </c>
    </row>
    <row r="634" spans="1:11" ht="51" x14ac:dyDescent="0.4">
      <c r="A634" s="10" t="s">
        <v>12149</v>
      </c>
      <c r="B634" s="10" t="s">
        <v>12150</v>
      </c>
      <c r="C634" s="10" t="s">
        <v>9915</v>
      </c>
      <c r="D634" s="10" t="s">
        <v>12147</v>
      </c>
      <c r="E634" s="10" t="s">
        <v>3219</v>
      </c>
      <c r="F634" s="10" t="s">
        <v>12151</v>
      </c>
      <c r="G634" s="10" t="s">
        <v>76</v>
      </c>
      <c r="H634" s="7" t="s">
        <v>24</v>
      </c>
      <c r="I634" s="7" t="s">
        <v>25</v>
      </c>
      <c r="J634" s="13" t="str">
        <f>HYPERLINK("https://www.airitibooks.com/Detail/Detail?PublicationID=P20190816192", "https://www.airitibooks.com/Detail/Detail?PublicationID=P20190816192")</f>
        <v>https://www.airitibooks.com/Detail/Detail?PublicationID=P20190816192</v>
      </c>
      <c r="K634" s="13" t="str">
        <f>HYPERLINK("https://ntsu.idm.oclc.org/login?url=https://www.airitibooks.com/Detail/Detail?PublicationID=P20190816192", "https://ntsu.idm.oclc.org/login?url=https://www.airitibooks.com/Detail/Detail?PublicationID=P20190816192")</f>
        <v>https://ntsu.idm.oclc.org/login?url=https://www.airitibooks.com/Detail/Detail?PublicationID=P20190816192</v>
      </c>
    </row>
    <row r="635" spans="1:11" ht="119" x14ac:dyDescent="0.4">
      <c r="A635" s="10" t="s">
        <v>12155</v>
      </c>
      <c r="B635" s="10" t="s">
        <v>12156</v>
      </c>
      <c r="C635" s="10" t="s">
        <v>12154</v>
      </c>
      <c r="D635" s="10" t="s">
        <v>12157</v>
      </c>
      <c r="E635" s="10" t="s">
        <v>3219</v>
      </c>
      <c r="F635" s="10" t="s">
        <v>12158</v>
      </c>
      <c r="G635" s="10" t="s">
        <v>76</v>
      </c>
      <c r="H635" s="7" t="s">
        <v>24</v>
      </c>
      <c r="I635" s="7" t="s">
        <v>25</v>
      </c>
      <c r="J635" s="13" t="str">
        <f>HYPERLINK("https://www.airitibooks.com/Detail/Detail?PublicationID=P20190816272", "https://www.airitibooks.com/Detail/Detail?PublicationID=P20190816272")</f>
        <v>https://www.airitibooks.com/Detail/Detail?PublicationID=P20190816272</v>
      </c>
      <c r="K635" s="13" t="str">
        <f>HYPERLINK("https://ntsu.idm.oclc.org/login?url=https://www.airitibooks.com/Detail/Detail?PublicationID=P20190816272", "https://ntsu.idm.oclc.org/login?url=https://www.airitibooks.com/Detail/Detail?PublicationID=P20190816272")</f>
        <v>https://ntsu.idm.oclc.org/login?url=https://www.airitibooks.com/Detail/Detail?PublicationID=P20190816272</v>
      </c>
    </row>
    <row r="636" spans="1:11" ht="51" x14ac:dyDescent="0.4">
      <c r="A636" s="10" t="s">
        <v>12196</v>
      </c>
      <c r="B636" s="10" t="s">
        <v>12197</v>
      </c>
      <c r="C636" s="10" t="s">
        <v>287</v>
      </c>
      <c r="D636" s="10" t="s">
        <v>12198</v>
      </c>
      <c r="E636" s="10" t="s">
        <v>3219</v>
      </c>
      <c r="F636" s="10" t="s">
        <v>1000</v>
      </c>
      <c r="G636" s="10" t="s">
        <v>76</v>
      </c>
      <c r="H636" s="7" t="s">
        <v>24</v>
      </c>
      <c r="I636" s="7" t="s">
        <v>25</v>
      </c>
      <c r="J636" s="13" t="str">
        <f>HYPERLINK("https://www.airitibooks.com/Detail/Detail?PublicationID=P20190902001", "https://www.airitibooks.com/Detail/Detail?PublicationID=P20190902001")</f>
        <v>https://www.airitibooks.com/Detail/Detail?PublicationID=P20190902001</v>
      </c>
      <c r="K636" s="13" t="str">
        <f>HYPERLINK("https://ntsu.idm.oclc.org/login?url=https://www.airitibooks.com/Detail/Detail?PublicationID=P20190902001", "https://ntsu.idm.oclc.org/login?url=https://www.airitibooks.com/Detail/Detail?PublicationID=P20190902001")</f>
        <v>https://ntsu.idm.oclc.org/login?url=https://www.airitibooks.com/Detail/Detail?PublicationID=P20190902001</v>
      </c>
    </row>
    <row r="637" spans="1:11" ht="51" x14ac:dyDescent="0.4">
      <c r="A637" s="10" t="s">
        <v>12243</v>
      </c>
      <c r="B637" s="10" t="s">
        <v>12244</v>
      </c>
      <c r="C637" s="10" t="s">
        <v>11995</v>
      </c>
      <c r="D637" s="10" t="s">
        <v>12245</v>
      </c>
      <c r="E637" s="10" t="s">
        <v>3219</v>
      </c>
      <c r="F637" s="10" t="s">
        <v>12246</v>
      </c>
      <c r="G637" s="10" t="s">
        <v>76</v>
      </c>
      <c r="H637" s="7" t="s">
        <v>24</v>
      </c>
      <c r="I637" s="7" t="s">
        <v>25</v>
      </c>
      <c r="J637" s="13" t="str">
        <f>HYPERLINK("https://www.airitibooks.com/Detail/Detail?PublicationID=P20190905315", "https://www.airitibooks.com/Detail/Detail?PublicationID=P20190905315")</f>
        <v>https://www.airitibooks.com/Detail/Detail?PublicationID=P20190905315</v>
      </c>
      <c r="K637" s="13" t="str">
        <f>HYPERLINK("https://ntsu.idm.oclc.org/login?url=https://www.airitibooks.com/Detail/Detail?PublicationID=P20190905315", "https://ntsu.idm.oclc.org/login?url=https://www.airitibooks.com/Detail/Detail?PublicationID=P20190905315")</f>
        <v>https://ntsu.idm.oclc.org/login?url=https://www.airitibooks.com/Detail/Detail?PublicationID=P20190905315</v>
      </c>
    </row>
    <row r="638" spans="1:11" ht="51" x14ac:dyDescent="0.4">
      <c r="A638" s="10" t="s">
        <v>12259</v>
      </c>
      <c r="B638" s="10" t="s">
        <v>12260</v>
      </c>
      <c r="C638" s="10" t="s">
        <v>12261</v>
      </c>
      <c r="D638" s="10" t="s">
        <v>12262</v>
      </c>
      <c r="E638" s="10" t="s">
        <v>3219</v>
      </c>
      <c r="F638" s="10" t="s">
        <v>1078</v>
      </c>
      <c r="G638" s="10" t="s">
        <v>76</v>
      </c>
      <c r="H638" s="7" t="s">
        <v>24</v>
      </c>
      <c r="I638" s="7" t="s">
        <v>25</v>
      </c>
      <c r="J638" s="13" t="str">
        <f>HYPERLINK("https://www.airitibooks.com/Detail/Detail?PublicationID=P20190911152", "https://www.airitibooks.com/Detail/Detail?PublicationID=P20190911152")</f>
        <v>https://www.airitibooks.com/Detail/Detail?PublicationID=P20190911152</v>
      </c>
      <c r="K638" s="13" t="str">
        <f>HYPERLINK("https://ntsu.idm.oclc.org/login?url=https://www.airitibooks.com/Detail/Detail?PublicationID=P20190911152", "https://ntsu.idm.oclc.org/login?url=https://www.airitibooks.com/Detail/Detail?PublicationID=P20190911152")</f>
        <v>https://ntsu.idm.oclc.org/login?url=https://www.airitibooks.com/Detail/Detail?PublicationID=P20190911152</v>
      </c>
    </row>
    <row r="639" spans="1:11" ht="51" x14ac:dyDescent="0.4">
      <c r="A639" s="10" t="s">
        <v>12263</v>
      </c>
      <c r="B639" s="10" t="s">
        <v>12264</v>
      </c>
      <c r="C639" s="10" t="s">
        <v>10921</v>
      </c>
      <c r="D639" s="10" t="s">
        <v>12265</v>
      </c>
      <c r="E639" s="10" t="s">
        <v>3219</v>
      </c>
      <c r="F639" s="10" t="s">
        <v>3731</v>
      </c>
      <c r="G639" s="10" t="s">
        <v>76</v>
      </c>
      <c r="H639" s="7" t="s">
        <v>24</v>
      </c>
      <c r="I639" s="7" t="s">
        <v>25</v>
      </c>
      <c r="J639" s="13" t="str">
        <f>HYPERLINK("https://www.airitibooks.com/Detail/Detail?PublicationID=P20190911154", "https://www.airitibooks.com/Detail/Detail?PublicationID=P20190911154")</f>
        <v>https://www.airitibooks.com/Detail/Detail?PublicationID=P20190911154</v>
      </c>
      <c r="K639" s="13" t="str">
        <f>HYPERLINK("https://ntsu.idm.oclc.org/login?url=https://www.airitibooks.com/Detail/Detail?PublicationID=P20190911154", "https://ntsu.idm.oclc.org/login?url=https://www.airitibooks.com/Detail/Detail?PublicationID=P20190911154")</f>
        <v>https://ntsu.idm.oclc.org/login?url=https://www.airitibooks.com/Detail/Detail?PublicationID=P20190911154</v>
      </c>
    </row>
    <row r="640" spans="1:11" ht="51" x14ac:dyDescent="0.4">
      <c r="A640" s="10" t="s">
        <v>12342</v>
      </c>
      <c r="B640" s="10" t="s">
        <v>12343</v>
      </c>
      <c r="C640" s="10" t="s">
        <v>812</v>
      </c>
      <c r="D640" s="10" t="s">
        <v>12344</v>
      </c>
      <c r="E640" s="10" t="s">
        <v>3219</v>
      </c>
      <c r="F640" s="10" t="s">
        <v>538</v>
      </c>
      <c r="G640" s="10" t="s">
        <v>76</v>
      </c>
      <c r="H640" s="7" t="s">
        <v>24</v>
      </c>
      <c r="I640" s="7" t="s">
        <v>25</v>
      </c>
      <c r="J640" s="13" t="str">
        <f>HYPERLINK("https://www.airitibooks.com/Detail/Detail?PublicationID=P20190920122", "https://www.airitibooks.com/Detail/Detail?PublicationID=P20190920122")</f>
        <v>https://www.airitibooks.com/Detail/Detail?PublicationID=P20190920122</v>
      </c>
      <c r="K640" s="13" t="str">
        <f>HYPERLINK("https://ntsu.idm.oclc.org/login?url=https://www.airitibooks.com/Detail/Detail?PublicationID=P20190920122", "https://ntsu.idm.oclc.org/login?url=https://www.airitibooks.com/Detail/Detail?PublicationID=P20190920122")</f>
        <v>https://ntsu.idm.oclc.org/login?url=https://www.airitibooks.com/Detail/Detail?PublicationID=P20190920122</v>
      </c>
    </row>
    <row r="641" spans="1:11" ht="85" x14ac:dyDescent="0.4">
      <c r="A641" s="10" t="s">
        <v>12394</v>
      </c>
      <c r="B641" s="10" t="s">
        <v>12395</v>
      </c>
      <c r="C641" s="10" t="s">
        <v>791</v>
      </c>
      <c r="D641" s="10" t="s">
        <v>12396</v>
      </c>
      <c r="E641" s="10" t="s">
        <v>3219</v>
      </c>
      <c r="F641" s="10" t="s">
        <v>12397</v>
      </c>
      <c r="G641" s="10" t="s">
        <v>76</v>
      </c>
      <c r="H641" s="7" t="s">
        <v>24</v>
      </c>
      <c r="I641" s="7" t="s">
        <v>25</v>
      </c>
      <c r="J641" s="13" t="str">
        <f>HYPERLINK("https://www.airitibooks.com/Detail/Detail?PublicationID=P20190927242", "https://www.airitibooks.com/Detail/Detail?PublicationID=P20190927242")</f>
        <v>https://www.airitibooks.com/Detail/Detail?PublicationID=P20190927242</v>
      </c>
      <c r="K641" s="13" t="str">
        <f>HYPERLINK("https://ntsu.idm.oclc.org/login?url=https://www.airitibooks.com/Detail/Detail?PublicationID=P20190927242", "https://ntsu.idm.oclc.org/login?url=https://www.airitibooks.com/Detail/Detail?PublicationID=P20190927242")</f>
        <v>https://ntsu.idm.oclc.org/login?url=https://www.airitibooks.com/Detail/Detail?PublicationID=P20190927242</v>
      </c>
    </row>
    <row r="642" spans="1:11" ht="51" x14ac:dyDescent="0.4">
      <c r="A642" s="10" t="s">
        <v>12398</v>
      </c>
      <c r="B642" s="10" t="s">
        <v>12399</v>
      </c>
      <c r="C642" s="10" t="s">
        <v>791</v>
      </c>
      <c r="D642" s="10" t="s">
        <v>3197</v>
      </c>
      <c r="E642" s="10" t="s">
        <v>3219</v>
      </c>
      <c r="F642" s="10" t="s">
        <v>1921</v>
      </c>
      <c r="G642" s="10" t="s">
        <v>76</v>
      </c>
      <c r="H642" s="7" t="s">
        <v>24</v>
      </c>
      <c r="I642" s="7" t="s">
        <v>25</v>
      </c>
      <c r="J642" s="13" t="str">
        <f>HYPERLINK("https://www.airitibooks.com/Detail/Detail?PublicationID=P20190927243", "https://www.airitibooks.com/Detail/Detail?PublicationID=P20190927243")</f>
        <v>https://www.airitibooks.com/Detail/Detail?PublicationID=P20190927243</v>
      </c>
      <c r="K642" s="13" t="str">
        <f>HYPERLINK("https://ntsu.idm.oclc.org/login?url=https://www.airitibooks.com/Detail/Detail?PublicationID=P20190927243", "https://ntsu.idm.oclc.org/login?url=https://www.airitibooks.com/Detail/Detail?PublicationID=P20190927243")</f>
        <v>https://ntsu.idm.oclc.org/login?url=https://www.airitibooks.com/Detail/Detail?PublicationID=P20190927243</v>
      </c>
    </row>
    <row r="643" spans="1:11" ht="170" x14ac:dyDescent="0.4">
      <c r="A643" s="10" t="s">
        <v>12400</v>
      </c>
      <c r="B643" s="10" t="s">
        <v>12401</v>
      </c>
      <c r="C643" s="10" t="s">
        <v>791</v>
      </c>
      <c r="D643" s="10" t="s">
        <v>12402</v>
      </c>
      <c r="E643" s="10" t="s">
        <v>3219</v>
      </c>
      <c r="F643" s="10" t="s">
        <v>12403</v>
      </c>
      <c r="G643" s="10" t="s">
        <v>76</v>
      </c>
      <c r="H643" s="7" t="s">
        <v>24</v>
      </c>
      <c r="I643" s="7" t="s">
        <v>25</v>
      </c>
      <c r="J643" s="13" t="str">
        <f>HYPERLINK("https://www.airitibooks.com/Detail/Detail?PublicationID=P20190927244", "https://www.airitibooks.com/Detail/Detail?PublicationID=P20190927244")</f>
        <v>https://www.airitibooks.com/Detail/Detail?PublicationID=P20190927244</v>
      </c>
      <c r="K643" s="13" t="str">
        <f>HYPERLINK("https://ntsu.idm.oclc.org/login?url=https://www.airitibooks.com/Detail/Detail?PublicationID=P20190927244", "https://ntsu.idm.oclc.org/login?url=https://www.airitibooks.com/Detail/Detail?PublicationID=P20190927244")</f>
        <v>https://ntsu.idm.oclc.org/login?url=https://www.airitibooks.com/Detail/Detail?PublicationID=P20190927244</v>
      </c>
    </row>
    <row r="644" spans="1:11" ht="85" x14ac:dyDescent="0.4">
      <c r="A644" s="10" t="s">
        <v>12547</v>
      </c>
      <c r="B644" s="10" t="s">
        <v>12548</v>
      </c>
      <c r="C644" s="10" t="s">
        <v>12549</v>
      </c>
      <c r="D644" s="10" t="s">
        <v>12550</v>
      </c>
      <c r="E644" s="10" t="s">
        <v>3219</v>
      </c>
      <c r="F644" s="10" t="s">
        <v>6226</v>
      </c>
      <c r="G644" s="10" t="s">
        <v>76</v>
      </c>
      <c r="H644" s="7" t="s">
        <v>24</v>
      </c>
      <c r="I644" s="7" t="s">
        <v>25</v>
      </c>
      <c r="J644" s="13" t="str">
        <f>HYPERLINK("https://www.airitibooks.com/Detail/Detail?PublicationID=P20191009023", "https://www.airitibooks.com/Detail/Detail?PublicationID=P20191009023")</f>
        <v>https://www.airitibooks.com/Detail/Detail?PublicationID=P20191009023</v>
      </c>
      <c r="K644" s="13" t="str">
        <f>HYPERLINK("https://ntsu.idm.oclc.org/login?url=https://www.airitibooks.com/Detail/Detail?PublicationID=P20191009023", "https://ntsu.idm.oclc.org/login?url=https://www.airitibooks.com/Detail/Detail?PublicationID=P20191009023")</f>
        <v>https://ntsu.idm.oclc.org/login?url=https://www.airitibooks.com/Detail/Detail?PublicationID=P20191009023</v>
      </c>
    </row>
    <row r="645" spans="1:11" ht="51" x14ac:dyDescent="0.4">
      <c r="A645" s="10" t="s">
        <v>12551</v>
      </c>
      <c r="B645" s="10" t="s">
        <v>12552</v>
      </c>
      <c r="C645" s="10" t="s">
        <v>12553</v>
      </c>
      <c r="D645" s="10" t="s">
        <v>12554</v>
      </c>
      <c r="E645" s="10" t="s">
        <v>3219</v>
      </c>
      <c r="F645" s="10" t="s">
        <v>7422</v>
      </c>
      <c r="G645" s="10" t="s">
        <v>76</v>
      </c>
      <c r="H645" s="7" t="s">
        <v>24</v>
      </c>
      <c r="I645" s="7" t="s">
        <v>25</v>
      </c>
      <c r="J645" s="13" t="str">
        <f>HYPERLINK("https://www.airitibooks.com/Detail/Detail?PublicationID=P20191009024", "https://www.airitibooks.com/Detail/Detail?PublicationID=P20191009024")</f>
        <v>https://www.airitibooks.com/Detail/Detail?PublicationID=P20191009024</v>
      </c>
      <c r="K645" s="13" t="str">
        <f>HYPERLINK("https://ntsu.idm.oclc.org/login?url=https://www.airitibooks.com/Detail/Detail?PublicationID=P20191009024", "https://ntsu.idm.oclc.org/login?url=https://www.airitibooks.com/Detail/Detail?PublicationID=P20191009024")</f>
        <v>https://ntsu.idm.oclc.org/login?url=https://www.airitibooks.com/Detail/Detail?PublicationID=P20191009024</v>
      </c>
    </row>
    <row r="646" spans="1:11" ht="51" x14ac:dyDescent="0.4">
      <c r="A646" s="10" t="s">
        <v>12746</v>
      </c>
      <c r="B646" s="10" t="s">
        <v>12747</v>
      </c>
      <c r="C646" s="10" t="s">
        <v>1095</v>
      </c>
      <c r="D646" s="10" t="s">
        <v>12748</v>
      </c>
      <c r="E646" s="10" t="s">
        <v>3219</v>
      </c>
      <c r="F646" s="10" t="s">
        <v>12749</v>
      </c>
      <c r="G646" s="10" t="s">
        <v>76</v>
      </c>
      <c r="H646" s="7" t="s">
        <v>24</v>
      </c>
      <c r="I646" s="7" t="s">
        <v>25</v>
      </c>
      <c r="J646" s="13" t="str">
        <f>HYPERLINK("https://www.airitibooks.com/Detail/Detail?PublicationID=P20191031003", "https://www.airitibooks.com/Detail/Detail?PublicationID=P20191031003")</f>
        <v>https://www.airitibooks.com/Detail/Detail?PublicationID=P20191031003</v>
      </c>
      <c r="K646" s="13" t="str">
        <f>HYPERLINK("https://ntsu.idm.oclc.org/login?url=https://www.airitibooks.com/Detail/Detail?PublicationID=P20191031003", "https://ntsu.idm.oclc.org/login?url=https://www.airitibooks.com/Detail/Detail?PublicationID=P20191031003")</f>
        <v>https://ntsu.idm.oclc.org/login?url=https://www.airitibooks.com/Detail/Detail?PublicationID=P20191031003</v>
      </c>
    </row>
    <row r="647" spans="1:11" ht="51" x14ac:dyDescent="0.4">
      <c r="A647" s="10" t="s">
        <v>12781</v>
      </c>
      <c r="B647" s="10" t="s">
        <v>12782</v>
      </c>
      <c r="C647" s="10" t="s">
        <v>11995</v>
      </c>
      <c r="D647" s="10" t="s">
        <v>12783</v>
      </c>
      <c r="E647" s="10" t="s">
        <v>3219</v>
      </c>
      <c r="F647" s="10" t="s">
        <v>12784</v>
      </c>
      <c r="G647" s="10" t="s">
        <v>76</v>
      </c>
      <c r="H647" s="7" t="s">
        <v>24</v>
      </c>
      <c r="I647" s="7" t="s">
        <v>25</v>
      </c>
      <c r="J647" s="13" t="str">
        <f>HYPERLINK("https://www.airitibooks.com/Detail/Detail?PublicationID=P20191031038", "https://www.airitibooks.com/Detail/Detail?PublicationID=P20191031038")</f>
        <v>https://www.airitibooks.com/Detail/Detail?PublicationID=P20191031038</v>
      </c>
      <c r="K647" s="13" t="str">
        <f>HYPERLINK("https://ntsu.idm.oclc.org/login?url=https://www.airitibooks.com/Detail/Detail?PublicationID=P20191031038", "https://ntsu.idm.oclc.org/login?url=https://www.airitibooks.com/Detail/Detail?PublicationID=P20191031038")</f>
        <v>https://ntsu.idm.oclc.org/login?url=https://www.airitibooks.com/Detail/Detail?PublicationID=P20191031038</v>
      </c>
    </row>
    <row r="648" spans="1:11" ht="68" x14ac:dyDescent="0.4">
      <c r="A648" s="10" t="s">
        <v>12958</v>
      </c>
      <c r="B648" s="10" t="s">
        <v>12959</v>
      </c>
      <c r="C648" s="10" t="s">
        <v>8732</v>
      </c>
      <c r="D648" s="10" t="s">
        <v>12960</v>
      </c>
      <c r="E648" s="10" t="s">
        <v>3219</v>
      </c>
      <c r="F648" s="10" t="s">
        <v>12961</v>
      </c>
      <c r="G648" s="10" t="s">
        <v>76</v>
      </c>
      <c r="H648" s="7" t="s">
        <v>24</v>
      </c>
      <c r="I648" s="7" t="s">
        <v>25</v>
      </c>
      <c r="J648" s="13" t="str">
        <f>HYPERLINK("https://www.airitibooks.com/Detail/Detail?PublicationID=P20191108045", "https://www.airitibooks.com/Detail/Detail?PublicationID=P20191108045")</f>
        <v>https://www.airitibooks.com/Detail/Detail?PublicationID=P20191108045</v>
      </c>
      <c r="K648" s="13" t="str">
        <f>HYPERLINK("https://ntsu.idm.oclc.org/login?url=https://www.airitibooks.com/Detail/Detail?PublicationID=P20191108045", "https://ntsu.idm.oclc.org/login?url=https://www.airitibooks.com/Detail/Detail?PublicationID=P20191108045")</f>
        <v>https://ntsu.idm.oclc.org/login?url=https://www.airitibooks.com/Detail/Detail?PublicationID=P20191108045</v>
      </c>
    </row>
    <row r="649" spans="1:11" ht="102" x14ac:dyDescent="0.4">
      <c r="A649" s="10" t="s">
        <v>13040</v>
      </c>
      <c r="B649" s="10" t="s">
        <v>13041</v>
      </c>
      <c r="C649" s="10" t="s">
        <v>12154</v>
      </c>
      <c r="D649" s="10" t="s">
        <v>13042</v>
      </c>
      <c r="E649" s="10" t="s">
        <v>3219</v>
      </c>
      <c r="F649" s="10" t="s">
        <v>13043</v>
      </c>
      <c r="G649" s="10" t="s">
        <v>76</v>
      </c>
      <c r="H649" s="7" t="s">
        <v>24</v>
      </c>
      <c r="I649" s="7" t="s">
        <v>25</v>
      </c>
      <c r="J649" s="13" t="str">
        <f>HYPERLINK("https://www.airitibooks.com/Detail/Detail?PublicationID=P20191128136", "https://www.airitibooks.com/Detail/Detail?PublicationID=P20191128136")</f>
        <v>https://www.airitibooks.com/Detail/Detail?PublicationID=P20191128136</v>
      </c>
      <c r="K649" s="13" t="str">
        <f>HYPERLINK("https://ntsu.idm.oclc.org/login?url=https://www.airitibooks.com/Detail/Detail?PublicationID=P20191128136", "https://ntsu.idm.oclc.org/login?url=https://www.airitibooks.com/Detail/Detail?PublicationID=P20191128136")</f>
        <v>https://ntsu.idm.oclc.org/login?url=https://www.airitibooks.com/Detail/Detail?PublicationID=P20191128136</v>
      </c>
    </row>
    <row r="650" spans="1:11" ht="51" x14ac:dyDescent="0.4">
      <c r="A650" s="10" t="s">
        <v>13061</v>
      </c>
      <c r="B650" s="10" t="s">
        <v>13062</v>
      </c>
      <c r="C650" s="10" t="s">
        <v>9915</v>
      </c>
      <c r="D650" s="10" t="s">
        <v>13063</v>
      </c>
      <c r="E650" s="10" t="s">
        <v>3219</v>
      </c>
      <c r="F650" s="10" t="s">
        <v>13064</v>
      </c>
      <c r="G650" s="10" t="s">
        <v>76</v>
      </c>
      <c r="H650" s="7" t="s">
        <v>24</v>
      </c>
      <c r="I650" s="7" t="s">
        <v>25</v>
      </c>
      <c r="J650" s="13" t="str">
        <f>HYPERLINK("https://www.airitibooks.com/Detail/Detail?PublicationID=P20191213194", "https://www.airitibooks.com/Detail/Detail?PublicationID=P20191213194")</f>
        <v>https://www.airitibooks.com/Detail/Detail?PublicationID=P20191213194</v>
      </c>
      <c r="K650" s="13" t="str">
        <f>HYPERLINK("https://ntsu.idm.oclc.org/login?url=https://www.airitibooks.com/Detail/Detail?PublicationID=P20191213194", "https://ntsu.idm.oclc.org/login?url=https://www.airitibooks.com/Detail/Detail?PublicationID=P20191213194")</f>
        <v>https://ntsu.idm.oclc.org/login?url=https://www.airitibooks.com/Detail/Detail?PublicationID=P20191213194</v>
      </c>
    </row>
    <row r="651" spans="1:11" ht="51" x14ac:dyDescent="0.4">
      <c r="A651" s="10" t="s">
        <v>13065</v>
      </c>
      <c r="B651" s="10" t="s">
        <v>13066</v>
      </c>
      <c r="C651" s="10" t="s">
        <v>9915</v>
      </c>
      <c r="D651" s="10" t="s">
        <v>13067</v>
      </c>
      <c r="E651" s="10" t="s">
        <v>3219</v>
      </c>
      <c r="F651" s="10" t="s">
        <v>13068</v>
      </c>
      <c r="G651" s="10" t="s">
        <v>76</v>
      </c>
      <c r="H651" s="7" t="s">
        <v>24</v>
      </c>
      <c r="I651" s="7" t="s">
        <v>25</v>
      </c>
      <c r="J651" s="13" t="str">
        <f>HYPERLINK("https://www.airitibooks.com/Detail/Detail?PublicationID=P20191213195", "https://www.airitibooks.com/Detail/Detail?PublicationID=P20191213195")</f>
        <v>https://www.airitibooks.com/Detail/Detail?PublicationID=P20191213195</v>
      </c>
      <c r="K651" s="13" t="str">
        <f>HYPERLINK("https://ntsu.idm.oclc.org/login?url=https://www.airitibooks.com/Detail/Detail?PublicationID=P20191213195", "https://ntsu.idm.oclc.org/login?url=https://www.airitibooks.com/Detail/Detail?PublicationID=P20191213195")</f>
        <v>https://ntsu.idm.oclc.org/login?url=https://www.airitibooks.com/Detail/Detail?PublicationID=P20191213195</v>
      </c>
    </row>
    <row r="652" spans="1:11" ht="51" x14ac:dyDescent="0.4">
      <c r="A652" s="10" t="s">
        <v>13081</v>
      </c>
      <c r="B652" s="10" t="s">
        <v>13082</v>
      </c>
      <c r="C652" s="10" t="s">
        <v>467</v>
      </c>
      <c r="D652" s="10" t="s">
        <v>13083</v>
      </c>
      <c r="E652" s="10" t="s">
        <v>3219</v>
      </c>
      <c r="F652" s="10" t="s">
        <v>13084</v>
      </c>
      <c r="G652" s="10" t="s">
        <v>76</v>
      </c>
      <c r="H652" s="7" t="s">
        <v>24</v>
      </c>
      <c r="I652" s="7" t="s">
        <v>25</v>
      </c>
      <c r="J652" s="13" t="str">
        <f>HYPERLINK("https://www.airitibooks.com/Detail/Detail?PublicationID=P20191224012", "https://www.airitibooks.com/Detail/Detail?PublicationID=P20191224012")</f>
        <v>https://www.airitibooks.com/Detail/Detail?PublicationID=P20191224012</v>
      </c>
      <c r="K652" s="13" t="str">
        <f>HYPERLINK("https://ntsu.idm.oclc.org/login?url=https://www.airitibooks.com/Detail/Detail?PublicationID=P20191224012", "https://ntsu.idm.oclc.org/login?url=https://www.airitibooks.com/Detail/Detail?PublicationID=P20191224012")</f>
        <v>https://ntsu.idm.oclc.org/login?url=https://www.airitibooks.com/Detail/Detail?PublicationID=P20191224012</v>
      </c>
    </row>
    <row r="653" spans="1:11" ht="51" x14ac:dyDescent="0.4">
      <c r="A653" s="10" t="s">
        <v>13089</v>
      </c>
      <c r="B653" s="10" t="s">
        <v>13090</v>
      </c>
      <c r="C653" s="10" t="s">
        <v>467</v>
      </c>
      <c r="D653" s="10" t="s">
        <v>13083</v>
      </c>
      <c r="E653" s="10" t="s">
        <v>3219</v>
      </c>
      <c r="F653" s="10" t="s">
        <v>13084</v>
      </c>
      <c r="G653" s="10" t="s">
        <v>76</v>
      </c>
      <c r="H653" s="7" t="s">
        <v>24</v>
      </c>
      <c r="I653" s="7" t="s">
        <v>25</v>
      </c>
      <c r="J653" s="13" t="str">
        <f>HYPERLINK("https://www.airitibooks.com/Detail/Detail?PublicationID=P20191224016", "https://www.airitibooks.com/Detail/Detail?PublicationID=P20191224016")</f>
        <v>https://www.airitibooks.com/Detail/Detail?PublicationID=P20191224016</v>
      </c>
      <c r="K653" s="13" t="str">
        <f>HYPERLINK("https://ntsu.idm.oclc.org/login?url=https://www.airitibooks.com/Detail/Detail?PublicationID=P20191224016", "https://ntsu.idm.oclc.org/login?url=https://www.airitibooks.com/Detail/Detail?PublicationID=P20191224016")</f>
        <v>https://ntsu.idm.oclc.org/login?url=https://www.airitibooks.com/Detail/Detail?PublicationID=P20191224016</v>
      </c>
    </row>
    <row r="654" spans="1:11" ht="51" x14ac:dyDescent="0.4">
      <c r="A654" s="10" t="s">
        <v>13095</v>
      </c>
      <c r="B654" s="10" t="s">
        <v>13096</v>
      </c>
      <c r="C654" s="10" t="s">
        <v>990</v>
      </c>
      <c r="D654" s="10" t="s">
        <v>13097</v>
      </c>
      <c r="E654" s="10" t="s">
        <v>3219</v>
      </c>
      <c r="F654" s="10" t="s">
        <v>13098</v>
      </c>
      <c r="G654" s="10" t="s">
        <v>76</v>
      </c>
      <c r="H654" s="7" t="s">
        <v>24</v>
      </c>
      <c r="I654" s="7" t="s">
        <v>25</v>
      </c>
      <c r="J654" s="13" t="str">
        <f>HYPERLINK("https://www.airitibooks.com/Detail/Detail?PublicationID=P20191224021", "https://www.airitibooks.com/Detail/Detail?PublicationID=P20191224021")</f>
        <v>https://www.airitibooks.com/Detail/Detail?PublicationID=P20191224021</v>
      </c>
      <c r="K654" s="13" t="str">
        <f>HYPERLINK("https://ntsu.idm.oclc.org/login?url=https://www.airitibooks.com/Detail/Detail?PublicationID=P20191224021", "https://ntsu.idm.oclc.org/login?url=https://www.airitibooks.com/Detail/Detail?PublicationID=P20191224021")</f>
        <v>https://ntsu.idm.oclc.org/login?url=https://www.airitibooks.com/Detail/Detail?PublicationID=P20191224021</v>
      </c>
    </row>
    <row r="655" spans="1:11" ht="51" x14ac:dyDescent="0.4">
      <c r="A655" s="10" t="s">
        <v>13107</v>
      </c>
      <c r="B655" s="10" t="s">
        <v>13108</v>
      </c>
      <c r="C655" s="10" t="s">
        <v>2731</v>
      </c>
      <c r="D655" s="10" t="s">
        <v>13109</v>
      </c>
      <c r="E655" s="10" t="s">
        <v>3219</v>
      </c>
      <c r="F655" s="10" t="s">
        <v>13110</v>
      </c>
      <c r="G655" s="10" t="s">
        <v>76</v>
      </c>
      <c r="H655" s="7" t="s">
        <v>24</v>
      </c>
      <c r="I655" s="7" t="s">
        <v>25</v>
      </c>
      <c r="J655" s="13" t="str">
        <f>HYPERLINK("https://www.airitibooks.com/Detail/Detail?PublicationID=P20191224027", "https://www.airitibooks.com/Detail/Detail?PublicationID=P20191224027")</f>
        <v>https://www.airitibooks.com/Detail/Detail?PublicationID=P20191224027</v>
      </c>
      <c r="K655" s="13" t="str">
        <f>HYPERLINK("https://ntsu.idm.oclc.org/login?url=https://www.airitibooks.com/Detail/Detail?PublicationID=P20191224027", "https://ntsu.idm.oclc.org/login?url=https://www.airitibooks.com/Detail/Detail?PublicationID=P20191224027")</f>
        <v>https://ntsu.idm.oclc.org/login?url=https://www.airitibooks.com/Detail/Detail?PublicationID=P20191224027</v>
      </c>
    </row>
    <row r="656" spans="1:11" ht="51" x14ac:dyDescent="0.4">
      <c r="A656" s="10" t="s">
        <v>13111</v>
      </c>
      <c r="B656" s="10" t="s">
        <v>13112</v>
      </c>
      <c r="C656" s="10" t="s">
        <v>2731</v>
      </c>
      <c r="D656" s="10" t="s">
        <v>13113</v>
      </c>
      <c r="E656" s="10" t="s">
        <v>3219</v>
      </c>
      <c r="F656" s="10" t="s">
        <v>13114</v>
      </c>
      <c r="G656" s="10" t="s">
        <v>76</v>
      </c>
      <c r="H656" s="7" t="s">
        <v>24</v>
      </c>
      <c r="I656" s="7" t="s">
        <v>25</v>
      </c>
      <c r="J656" s="13" t="str">
        <f>HYPERLINK("https://www.airitibooks.com/Detail/Detail?PublicationID=P20191224028", "https://www.airitibooks.com/Detail/Detail?PublicationID=P20191224028")</f>
        <v>https://www.airitibooks.com/Detail/Detail?PublicationID=P20191224028</v>
      </c>
      <c r="K656" s="13" t="str">
        <f>HYPERLINK("https://ntsu.idm.oclc.org/login?url=https://www.airitibooks.com/Detail/Detail?PublicationID=P20191224028", "https://ntsu.idm.oclc.org/login?url=https://www.airitibooks.com/Detail/Detail?PublicationID=P20191224028")</f>
        <v>https://ntsu.idm.oclc.org/login?url=https://www.airitibooks.com/Detail/Detail?PublicationID=P20191224028</v>
      </c>
    </row>
    <row r="657" spans="1:11" ht="85" x14ac:dyDescent="0.4">
      <c r="A657" s="10" t="s">
        <v>13176</v>
      </c>
      <c r="B657" s="10" t="s">
        <v>13177</v>
      </c>
      <c r="C657" s="10" t="s">
        <v>791</v>
      </c>
      <c r="D657" s="10" t="s">
        <v>3197</v>
      </c>
      <c r="E657" s="10" t="s">
        <v>3219</v>
      </c>
      <c r="F657" s="10" t="s">
        <v>774</v>
      </c>
      <c r="G657" s="10" t="s">
        <v>76</v>
      </c>
      <c r="H657" s="7" t="s">
        <v>24</v>
      </c>
      <c r="I657" s="7" t="s">
        <v>25</v>
      </c>
      <c r="J657" s="13" t="str">
        <f>HYPERLINK("https://www.airitibooks.com/Detail/Detail?PublicationID=P20191226026", "https://www.airitibooks.com/Detail/Detail?PublicationID=P20191226026")</f>
        <v>https://www.airitibooks.com/Detail/Detail?PublicationID=P20191226026</v>
      </c>
      <c r="K657" s="13" t="str">
        <f>HYPERLINK("https://ntsu.idm.oclc.org/login?url=https://www.airitibooks.com/Detail/Detail?PublicationID=P20191226026", "https://ntsu.idm.oclc.org/login?url=https://www.airitibooks.com/Detail/Detail?PublicationID=P20191226026")</f>
        <v>https://ntsu.idm.oclc.org/login?url=https://www.airitibooks.com/Detail/Detail?PublicationID=P20191226026</v>
      </c>
    </row>
    <row r="658" spans="1:11" ht="51" x14ac:dyDescent="0.4">
      <c r="A658" s="10" t="s">
        <v>13249</v>
      </c>
      <c r="B658" s="10" t="s">
        <v>13250</v>
      </c>
      <c r="C658" s="10" t="s">
        <v>938</v>
      </c>
      <c r="D658" s="10" t="s">
        <v>5861</v>
      </c>
      <c r="E658" s="10" t="s">
        <v>3219</v>
      </c>
      <c r="F658" s="10" t="s">
        <v>632</v>
      </c>
      <c r="G658" s="10" t="s">
        <v>76</v>
      </c>
      <c r="H658" s="7" t="s">
        <v>24</v>
      </c>
      <c r="I658" s="7" t="s">
        <v>25</v>
      </c>
      <c r="J658" s="13" t="str">
        <f>HYPERLINK("https://www.airitibooks.com/Detail/Detail?PublicationID=P20200103244", "https://www.airitibooks.com/Detail/Detail?PublicationID=P20200103244")</f>
        <v>https://www.airitibooks.com/Detail/Detail?PublicationID=P20200103244</v>
      </c>
      <c r="K658" s="13" t="str">
        <f>HYPERLINK("https://ntsu.idm.oclc.org/login?url=https://www.airitibooks.com/Detail/Detail?PublicationID=P20200103244", "https://ntsu.idm.oclc.org/login?url=https://www.airitibooks.com/Detail/Detail?PublicationID=P20200103244")</f>
        <v>https://ntsu.idm.oclc.org/login?url=https://www.airitibooks.com/Detail/Detail?PublicationID=P20200103244</v>
      </c>
    </row>
    <row r="659" spans="1:11" ht="68" x14ac:dyDescent="0.4">
      <c r="A659" s="10" t="s">
        <v>10395</v>
      </c>
      <c r="B659" s="10" t="s">
        <v>13251</v>
      </c>
      <c r="C659" s="10" t="s">
        <v>938</v>
      </c>
      <c r="D659" s="10" t="s">
        <v>6032</v>
      </c>
      <c r="E659" s="10" t="s">
        <v>3219</v>
      </c>
      <c r="F659" s="10" t="s">
        <v>632</v>
      </c>
      <c r="G659" s="10" t="s">
        <v>76</v>
      </c>
      <c r="H659" s="7" t="s">
        <v>7839</v>
      </c>
      <c r="I659" s="7" t="s">
        <v>25</v>
      </c>
      <c r="J659" s="13" t="str">
        <f>HYPERLINK("https://www.airitibooks.com/Detail/Detail?PublicationID=P20200103246", "https://www.airitibooks.com/Detail/Detail?PublicationID=P20200103246")</f>
        <v>https://www.airitibooks.com/Detail/Detail?PublicationID=P20200103246</v>
      </c>
      <c r="K659" s="13" t="str">
        <f>HYPERLINK("https://ntsu.idm.oclc.org/login?url=https://www.airitibooks.com/Detail/Detail?PublicationID=P20200103246", "https://ntsu.idm.oclc.org/login?url=https://www.airitibooks.com/Detail/Detail?PublicationID=P20200103246")</f>
        <v>https://ntsu.idm.oclc.org/login?url=https://www.airitibooks.com/Detail/Detail?PublicationID=P20200103246</v>
      </c>
    </row>
    <row r="660" spans="1:11" ht="51" x14ac:dyDescent="0.4">
      <c r="A660" s="10" t="s">
        <v>13252</v>
      </c>
      <c r="B660" s="10" t="s">
        <v>13253</v>
      </c>
      <c r="C660" s="10" t="s">
        <v>938</v>
      </c>
      <c r="D660" s="10" t="s">
        <v>10753</v>
      </c>
      <c r="E660" s="10" t="s">
        <v>3219</v>
      </c>
      <c r="F660" s="10" t="s">
        <v>1998</v>
      </c>
      <c r="G660" s="10" t="s">
        <v>76</v>
      </c>
      <c r="H660" s="7" t="s">
        <v>24</v>
      </c>
      <c r="I660" s="7" t="s">
        <v>25</v>
      </c>
      <c r="J660" s="13" t="str">
        <f>HYPERLINK("https://www.airitibooks.com/Detail/Detail?PublicationID=P20200103248", "https://www.airitibooks.com/Detail/Detail?PublicationID=P20200103248")</f>
        <v>https://www.airitibooks.com/Detail/Detail?PublicationID=P20200103248</v>
      </c>
      <c r="K660" s="13" t="str">
        <f>HYPERLINK("https://ntsu.idm.oclc.org/login?url=https://www.airitibooks.com/Detail/Detail?PublicationID=P20200103248", "https://ntsu.idm.oclc.org/login?url=https://www.airitibooks.com/Detail/Detail?PublicationID=P20200103248")</f>
        <v>https://ntsu.idm.oclc.org/login?url=https://www.airitibooks.com/Detail/Detail?PublicationID=P20200103248</v>
      </c>
    </row>
    <row r="661" spans="1:11" ht="51" x14ac:dyDescent="0.4">
      <c r="A661" s="10" t="s">
        <v>13254</v>
      </c>
      <c r="B661" s="10" t="s">
        <v>13255</v>
      </c>
      <c r="C661" s="10" t="s">
        <v>938</v>
      </c>
      <c r="D661" s="10" t="s">
        <v>4025</v>
      </c>
      <c r="E661" s="10" t="s">
        <v>3219</v>
      </c>
      <c r="F661" s="10" t="s">
        <v>12397</v>
      </c>
      <c r="G661" s="10" t="s">
        <v>76</v>
      </c>
      <c r="H661" s="7" t="s">
        <v>24</v>
      </c>
      <c r="I661" s="7" t="s">
        <v>25</v>
      </c>
      <c r="J661" s="13" t="str">
        <f>HYPERLINK("https://www.airitibooks.com/Detail/Detail?PublicationID=P20200103249", "https://www.airitibooks.com/Detail/Detail?PublicationID=P20200103249")</f>
        <v>https://www.airitibooks.com/Detail/Detail?PublicationID=P20200103249</v>
      </c>
      <c r="K661" s="13" t="str">
        <f>HYPERLINK("https://ntsu.idm.oclc.org/login?url=https://www.airitibooks.com/Detail/Detail?PublicationID=P20200103249", "https://ntsu.idm.oclc.org/login?url=https://www.airitibooks.com/Detail/Detail?PublicationID=P20200103249")</f>
        <v>https://ntsu.idm.oclc.org/login?url=https://www.airitibooks.com/Detail/Detail?PublicationID=P20200103249</v>
      </c>
    </row>
    <row r="662" spans="1:11" ht="51" x14ac:dyDescent="0.4">
      <c r="A662" s="10" t="s">
        <v>13256</v>
      </c>
      <c r="B662" s="10" t="s">
        <v>13257</v>
      </c>
      <c r="C662" s="10" t="s">
        <v>938</v>
      </c>
      <c r="D662" s="10" t="s">
        <v>4025</v>
      </c>
      <c r="E662" s="10" t="s">
        <v>3219</v>
      </c>
      <c r="F662" s="10" t="s">
        <v>13258</v>
      </c>
      <c r="G662" s="10" t="s">
        <v>76</v>
      </c>
      <c r="H662" s="7" t="s">
        <v>24</v>
      </c>
      <c r="I662" s="7" t="s">
        <v>25</v>
      </c>
      <c r="J662" s="13" t="str">
        <f>HYPERLINK("https://www.airitibooks.com/Detail/Detail?PublicationID=P20200103250", "https://www.airitibooks.com/Detail/Detail?PublicationID=P20200103250")</f>
        <v>https://www.airitibooks.com/Detail/Detail?PublicationID=P20200103250</v>
      </c>
      <c r="K662" s="13" t="str">
        <f>HYPERLINK("https://ntsu.idm.oclc.org/login?url=https://www.airitibooks.com/Detail/Detail?PublicationID=P20200103250", "https://ntsu.idm.oclc.org/login?url=https://www.airitibooks.com/Detail/Detail?PublicationID=P20200103250")</f>
        <v>https://ntsu.idm.oclc.org/login?url=https://www.airitibooks.com/Detail/Detail?PublicationID=P20200103250</v>
      </c>
    </row>
    <row r="663" spans="1:11" ht="51" x14ac:dyDescent="0.4">
      <c r="A663" s="10" t="s">
        <v>13259</v>
      </c>
      <c r="B663" s="10" t="s">
        <v>13260</v>
      </c>
      <c r="C663" s="10" t="s">
        <v>938</v>
      </c>
      <c r="D663" s="10" t="s">
        <v>13261</v>
      </c>
      <c r="E663" s="10" t="s">
        <v>3219</v>
      </c>
      <c r="F663" s="10" t="s">
        <v>13262</v>
      </c>
      <c r="G663" s="10" t="s">
        <v>76</v>
      </c>
      <c r="H663" s="7" t="s">
        <v>24</v>
      </c>
      <c r="I663" s="7" t="s">
        <v>25</v>
      </c>
      <c r="J663" s="13" t="str">
        <f>HYPERLINK("https://www.airitibooks.com/Detail/Detail?PublicationID=P20200103251", "https://www.airitibooks.com/Detail/Detail?PublicationID=P20200103251")</f>
        <v>https://www.airitibooks.com/Detail/Detail?PublicationID=P20200103251</v>
      </c>
      <c r="K663" s="13" t="str">
        <f>HYPERLINK("https://ntsu.idm.oclc.org/login?url=https://www.airitibooks.com/Detail/Detail?PublicationID=P20200103251", "https://ntsu.idm.oclc.org/login?url=https://www.airitibooks.com/Detail/Detail?PublicationID=P20200103251")</f>
        <v>https://ntsu.idm.oclc.org/login?url=https://www.airitibooks.com/Detail/Detail?PublicationID=P20200103251</v>
      </c>
    </row>
    <row r="664" spans="1:11" ht="51" x14ac:dyDescent="0.4">
      <c r="A664" s="10" t="s">
        <v>13263</v>
      </c>
      <c r="B664" s="10" t="s">
        <v>13264</v>
      </c>
      <c r="C664" s="10" t="s">
        <v>938</v>
      </c>
      <c r="D664" s="10" t="s">
        <v>13265</v>
      </c>
      <c r="E664" s="10" t="s">
        <v>3219</v>
      </c>
      <c r="F664" s="10" t="s">
        <v>13266</v>
      </c>
      <c r="G664" s="10" t="s">
        <v>76</v>
      </c>
      <c r="H664" s="7" t="s">
        <v>24</v>
      </c>
      <c r="I664" s="7" t="s">
        <v>25</v>
      </c>
      <c r="J664" s="13" t="str">
        <f>HYPERLINK("https://www.airitibooks.com/Detail/Detail?PublicationID=P20200103252", "https://www.airitibooks.com/Detail/Detail?PublicationID=P20200103252")</f>
        <v>https://www.airitibooks.com/Detail/Detail?PublicationID=P20200103252</v>
      </c>
      <c r="K664" s="13" t="str">
        <f>HYPERLINK("https://ntsu.idm.oclc.org/login?url=https://www.airitibooks.com/Detail/Detail?PublicationID=P20200103252", "https://ntsu.idm.oclc.org/login?url=https://www.airitibooks.com/Detail/Detail?PublicationID=P20200103252")</f>
        <v>https://ntsu.idm.oclc.org/login?url=https://www.airitibooks.com/Detail/Detail?PublicationID=P20200103252</v>
      </c>
    </row>
    <row r="665" spans="1:11" ht="85" x14ac:dyDescent="0.4">
      <c r="A665" s="10" t="s">
        <v>13282</v>
      </c>
      <c r="B665" s="10" t="s">
        <v>13283</v>
      </c>
      <c r="C665" s="10" t="s">
        <v>8805</v>
      </c>
      <c r="D665" s="10" t="s">
        <v>13284</v>
      </c>
      <c r="E665" s="10" t="s">
        <v>3219</v>
      </c>
      <c r="F665" s="10" t="s">
        <v>13285</v>
      </c>
      <c r="G665" s="10" t="s">
        <v>76</v>
      </c>
      <c r="H665" s="7" t="s">
        <v>24</v>
      </c>
      <c r="I665" s="7" t="s">
        <v>25</v>
      </c>
      <c r="J665" s="13" t="str">
        <f>HYPERLINK("https://www.airitibooks.com/Detail/Detail?PublicationID=P20200110117", "https://www.airitibooks.com/Detail/Detail?PublicationID=P20200110117")</f>
        <v>https://www.airitibooks.com/Detail/Detail?PublicationID=P20200110117</v>
      </c>
      <c r="K665" s="13" t="str">
        <f>HYPERLINK("https://ntsu.idm.oclc.org/login?url=https://www.airitibooks.com/Detail/Detail?PublicationID=P20200110117", "https://ntsu.idm.oclc.org/login?url=https://www.airitibooks.com/Detail/Detail?PublicationID=P20200110117")</f>
        <v>https://ntsu.idm.oclc.org/login?url=https://www.airitibooks.com/Detail/Detail?PublicationID=P20200110117</v>
      </c>
    </row>
    <row r="666" spans="1:11" ht="68" x14ac:dyDescent="0.4">
      <c r="A666" s="10" t="s">
        <v>13391</v>
      </c>
      <c r="B666" s="10" t="s">
        <v>13392</v>
      </c>
      <c r="C666" s="10" t="s">
        <v>10704</v>
      </c>
      <c r="D666" s="10" t="s">
        <v>10704</v>
      </c>
      <c r="E666" s="10" t="s">
        <v>3219</v>
      </c>
      <c r="F666" s="10" t="s">
        <v>5854</v>
      </c>
      <c r="G666" s="10" t="s">
        <v>76</v>
      </c>
      <c r="H666" s="7" t="s">
        <v>24</v>
      </c>
      <c r="I666" s="7" t="s">
        <v>25</v>
      </c>
      <c r="J666" s="13" t="str">
        <f>HYPERLINK("https://www.airitibooks.com/Detail/Detail?PublicationID=P20200211002", "https://www.airitibooks.com/Detail/Detail?PublicationID=P20200211002")</f>
        <v>https://www.airitibooks.com/Detail/Detail?PublicationID=P20200211002</v>
      </c>
      <c r="K666" s="13" t="str">
        <f>HYPERLINK("https://ntsu.idm.oclc.org/login?url=https://www.airitibooks.com/Detail/Detail?PublicationID=P20200211002", "https://ntsu.idm.oclc.org/login?url=https://www.airitibooks.com/Detail/Detail?PublicationID=P20200211002")</f>
        <v>https://ntsu.idm.oclc.org/login?url=https://www.airitibooks.com/Detail/Detail?PublicationID=P20200211002</v>
      </c>
    </row>
    <row r="667" spans="1:11" ht="51" x14ac:dyDescent="0.4">
      <c r="A667" s="10" t="s">
        <v>13462</v>
      </c>
      <c r="B667" s="10" t="s">
        <v>13463</v>
      </c>
      <c r="C667" s="10" t="s">
        <v>3473</v>
      </c>
      <c r="D667" s="10" t="s">
        <v>13464</v>
      </c>
      <c r="E667" s="10" t="s">
        <v>3219</v>
      </c>
      <c r="F667" s="10" t="s">
        <v>2305</v>
      </c>
      <c r="G667" s="10" t="s">
        <v>76</v>
      </c>
      <c r="H667" s="7" t="s">
        <v>7839</v>
      </c>
      <c r="I667" s="7" t="s">
        <v>25</v>
      </c>
      <c r="J667" s="13" t="str">
        <f>HYPERLINK("https://www.airitibooks.com/Detail/Detail?PublicationID=P20200215037", "https://www.airitibooks.com/Detail/Detail?PublicationID=P20200215037")</f>
        <v>https://www.airitibooks.com/Detail/Detail?PublicationID=P20200215037</v>
      </c>
      <c r="K667" s="13" t="str">
        <f>HYPERLINK("https://ntsu.idm.oclc.org/login?url=https://www.airitibooks.com/Detail/Detail?PublicationID=P20200215037", "https://ntsu.idm.oclc.org/login?url=https://www.airitibooks.com/Detail/Detail?PublicationID=P20200215037")</f>
        <v>https://ntsu.idm.oclc.org/login?url=https://www.airitibooks.com/Detail/Detail?PublicationID=P20200215037</v>
      </c>
    </row>
    <row r="668" spans="1:11" ht="51" x14ac:dyDescent="0.4">
      <c r="A668" s="10" t="s">
        <v>13484</v>
      </c>
      <c r="B668" s="10" t="s">
        <v>13485</v>
      </c>
      <c r="C668" s="10" t="s">
        <v>11995</v>
      </c>
      <c r="D668" s="10" t="s">
        <v>13486</v>
      </c>
      <c r="E668" s="10" t="s">
        <v>3219</v>
      </c>
      <c r="F668" s="10" t="s">
        <v>13487</v>
      </c>
      <c r="G668" s="10" t="s">
        <v>76</v>
      </c>
      <c r="H668" s="7" t="s">
        <v>24</v>
      </c>
      <c r="I668" s="7" t="s">
        <v>25</v>
      </c>
      <c r="J668" s="13" t="str">
        <f>HYPERLINK("https://www.airitibooks.com/Detail/Detail?PublicationID=P20200215052", "https://www.airitibooks.com/Detail/Detail?PublicationID=P20200215052")</f>
        <v>https://www.airitibooks.com/Detail/Detail?PublicationID=P20200215052</v>
      </c>
      <c r="K668" s="13" t="str">
        <f>HYPERLINK("https://ntsu.idm.oclc.org/login?url=https://www.airitibooks.com/Detail/Detail?PublicationID=P20200215052", "https://ntsu.idm.oclc.org/login?url=https://www.airitibooks.com/Detail/Detail?PublicationID=P20200215052")</f>
        <v>https://ntsu.idm.oclc.org/login?url=https://www.airitibooks.com/Detail/Detail?PublicationID=P20200215052</v>
      </c>
    </row>
    <row r="669" spans="1:11" ht="85" x14ac:dyDescent="0.4">
      <c r="A669" s="10" t="s">
        <v>13559</v>
      </c>
      <c r="B669" s="10" t="s">
        <v>13560</v>
      </c>
      <c r="C669" s="10" t="s">
        <v>5050</v>
      </c>
      <c r="D669" s="10" t="s">
        <v>13561</v>
      </c>
      <c r="E669" s="10" t="s">
        <v>3219</v>
      </c>
      <c r="F669" s="10" t="s">
        <v>13562</v>
      </c>
      <c r="G669" s="10" t="s">
        <v>76</v>
      </c>
      <c r="H669" s="7" t="s">
        <v>24</v>
      </c>
      <c r="I669" s="7" t="s">
        <v>25</v>
      </c>
      <c r="J669" s="13" t="str">
        <f>HYPERLINK("https://www.airitibooks.com/Detail/Detail?PublicationID=P20200221100", "https://www.airitibooks.com/Detail/Detail?PublicationID=P20200221100")</f>
        <v>https://www.airitibooks.com/Detail/Detail?PublicationID=P20200221100</v>
      </c>
      <c r="K669" s="13" t="str">
        <f>HYPERLINK("https://ntsu.idm.oclc.org/login?url=https://www.airitibooks.com/Detail/Detail?PublicationID=P20200221100", "https://ntsu.idm.oclc.org/login?url=https://www.airitibooks.com/Detail/Detail?PublicationID=P20200221100")</f>
        <v>https://ntsu.idm.oclc.org/login?url=https://www.airitibooks.com/Detail/Detail?PublicationID=P20200221100</v>
      </c>
    </row>
    <row r="670" spans="1:11" ht="51" x14ac:dyDescent="0.4">
      <c r="A670" s="10" t="s">
        <v>13625</v>
      </c>
      <c r="B670" s="10" t="s">
        <v>13626</v>
      </c>
      <c r="C670" s="10" t="s">
        <v>938</v>
      </c>
      <c r="D670" s="10" t="s">
        <v>4563</v>
      </c>
      <c r="E670" s="10" t="s">
        <v>3219</v>
      </c>
      <c r="F670" s="10" t="s">
        <v>4564</v>
      </c>
      <c r="G670" s="10" t="s">
        <v>76</v>
      </c>
      <c r="H670" s="7" t="s">
        <v>24</v>
      </c>
      <c r="I670" s="7" t="s">
        <v>25</v>
      </c>
      <c r="J670" s="13" t="str">
        <f>HYPERLINK("https://www.airitibooks.com/Detail/Detail?PublicationID=P20200321005", "https://www.airitibooks.com/Detail/Detail?PublicationID=P20200321005")</f>
        <v>https://www.airitibooks.com/Detail/Detail?PublicationID=P20200321005</v>
      </c>
      <c r="K670" s="13" t="str">
        <f>HYPERLINK("https://ntsu.idm.oclc.org/login?url=https://www.airitibooks.com/Detail/Detail?PublicationID=P20200321005", "https://ntsu.idm.oclc.org/login?url=https://www.airitibooks.com/Detail/Detail?PublicationID=P20200321005")</f>
        <v>https://ntsu.idm.oclc.org/login?url=https://www.airitibooks.com/Detail/Detail?PublicationID=P20200321005</v>
      </c>
    </row>
    <row r="671" spans="1:11" ht="51" x14ac:dyDescent="0.4">
      <c r="A671" s="10" t="s">
        <v>13627</v>
      </c>
      <c r="B671" s="10" t="s">
        <v>13628</v>
      </c>
      <c r="C671" s="10" t="s">
        <v>938</v>
      </c>
      <c r="D671" s="10" t="s">
        <v>13629</v>
      </c>
      <c r="E671" s="10" t="s">
        <v>3219</v>
      </c>
      <c r="F671" s="10" t="s">
        <v>105</v>
      </c>
      <c r="G671" s="10" t="s">
        <v>76</v>
      </c>
      <c r="H671" s="7" t="s">
        <v>24</v>
      </c>
      <c r="I671" s="7" t="s">
        <v>25</v>
      </c>
      <c r="J671" s="13" t="str">
        <f>HYPERLINK("https://www.airitibooks.com/Detail/Detail?PublicationID=P20200321006", "https://www.airitibooks.com/Detail/Detail?PublicationID=P20200321006")</f>
        <v>https://www.airitibooks.com/Detail/Detail?PublicationID=P20200321006</v>
      </c>
      <c r="K671" s="13" t="str">
        <f>HYPERLINK("https://ntsu.idm.oclc.org/login?url=https://www.airitibooks.com/Detail/Detail?PublicationID=P20200321006", "https://ntsu.idm.oclc.org/login?url=https://www.airitibooks.com/Detail/Detail?PublicationID=P20200321006")</f>
        <v>https://ntsu.idm.oclc.org/login?url=https://www.airitibooks.com/Detail/Detail?PublicationID=P20200321006</v>
      </c>
    </row>
    <row r="672" spans="1:11" ht="51" x14ac:dyDescent="0.4">
      <c r="A672" s="10" t="s">
        <v>13630</v>
      </c>
      <c r="B672" s="10" t="s">
        <v>13631</v>
      </c>
      <c r="C672" s="10" t="s">
        <v>938</v>
      </c>
      <c r="D672" s="10" t="s">
        <v>13629</v>
      </c>
      <c r="E672" s="10" t="s">
        <v>3219</v>
      </c>
      <c r="F672" s="10" t="s">
        <v>13632</v>
      </c>
      <c r="G672" s="10" t="s">
        <v>76</v>
      </c>
      <c r="H672" s="7" t="s">
        <v>24</v>
      </c>
      <c r="I672" s="7" t="s">
        <v>25</v>
      </c>
      <c r="J672" s="13" t="str">
        <f>HYPERLINK("https://www.airitibooks.com/Detail/Detail?PublicationID=P20200321007", "https://www.airitibooks.com/Detail/Detail?PublicationID=P20200321007")</f>
        <v>https://www.airitibooks.com/Detail/Detail?PublicationID=P20200321007</v>
      </c>
      <c r="K672" s="13" t="str">
        <f>HYPERLINK("https://ntsu.idm.oclc.org/login?url=https://www.airitibooks.com/Detail/Detail?PublicationID=P20200321007", "https://ntsu.idm.oclc.org/login?url=https://www.airitibooks.com/Detail/Detail?PublicationID=P20200321007")</f>
        <v>https://ntsu.idm.oclc.org/login?url=https://www.airitibooks.com/Detail/Detail?PublicationID=P20200321007</v>
      </c>
    </row>
    <row r="673" spans="1:11" ht="51" x14ac:dyDescent="0.4">
      <c r="A673" s="10" t="s">
        <v>13669</v>
      </c>
      <c r="B673" s="10" t="s">
        <v>13670</v>
      </c>
      <c r="C673" s="10" t="s">
        <v>544</v>
      </c>
      <c r="D673" s="10" t="s">
        <v>13671</v>
      </c>
      <c r="E673" s="10" t="s">
        <v>3219</v>
      </c>
      <c r="F673" s="10" t="s">
        <v>13672</v>
      </c>
      <c r="G673" s="10" t="s">
        <v>76</v>
      </c>
      <c r="H673" s="7" t="s">
        <v>24</v>
      </c>
      <c r="I673" s="7" t="s">
        <v>25</v>
      </c>
      <c r="J673" s="13" t="str">
        <f>HYPERLINK("https://www.airitibooks.com/Detail/Detail?PublicationID=P20200321049", "https://www.airitibooks.com/Detail/Detail?PublicationID=P20200321049")</f>
        <v>https://www.airitibooks.com/Detail/Detail?PublicationID=P20200321049</v>
      </c>
      <c r="K673" s="13" t="str">
        <f>HYPERLINK("https://ntsu.idm.oclc.org/login?url=https://www.airitibooks.com/Detail/Detail?PublicationID=P20200321049", "https://ntsu.idm.oclc.org/login?url=https://www.airitibooks.com/Detail/Detail?PublicationID=P20200321049")</f>
        <v>https://ntsu.idm.oclc.org/login?url=https://www.airitibooks.com/Detail/Detail?PublicationID=P20200321049</v>
      </c>
    </row>
    <row r="674" spans="1:11" ht="51" x14ac:dyDescent="0.4">
      <c r="A674" s="10" t="s">
        <v>13787</v>
      </c>
      <c r="B674" s="10" t="s">
        <v>13788</v>
      </c>
      <c r="C674" s="10" t="s">
        <v>13789</v>
      </c>
      <c r="D674" s="10" t="s">
        <v>13790</v>
      </c>
      <c r="E674" s="10" t="s">
        <v>3219</v>
      </c>
      <c r="F674" s="10" t="s">
        <v>13791</v>
      </c>
      <c r="G674" s="10" t="s">
        <v>76</v>
      </c>
      <c r="H674" s="7" t="s">
        <v>24</v>
      </c>
      <c r="I674" s="7" t="s">
        <v>25</v>
      </c>
      <c r="J674" s="13" t="str">
        <f>HYPERLINK("https://www.airitibooks.com/Detail/Detail?PublicationID=P20200402045", "https://www.airitibooks.com/Detail/Detail?PublicationID=P20200402045")</f>
        <v>https://www.airitibooks.com/Detail/Detail?PublicationID=P20200402045</v>
      </c>
      <c r="K674" s="13" t="str">
        <f>HYPERLINK("https://ntsu.idm.oclc.org/login?url=https://www.airitibooks.com/Detail/Detail?PublicationID=P20200402045", "https://ntsu.idm.oclc.org/login?url=https://www.airitibooks.com/Detail/Detail?PublicationID=P20200402045")</f>
        <v>https://ntsu.idm.oclc.org/login?url=https://www.airitibooks.com/Detail/Detail?PublicationID=P20200402045</v>
      </c>
    </row>
    <row r="675" spans="1:11" ht="51" x14ac:dyDescent="0.4">
      <c r="A675" s="10" t="s">
        <v>13910</v>
      </c>
      <c r="B675" s="10" t="s">
        <v>13911</v>
      </c>
      <c r="C675" s="10" t="s">
        <v>10384</v>
      </c>
      <c r="D675" s="10" t="s">
        <v>13912</v>
      </c>
      <c r="E675" s="10" t="s">
        <v>3219</v>
      </c>
      <c r="F675" s="10" t="s">
        <v>13913</v>
      </c>
      <c r="G675" s="10" t="s">
        <v>76</v>
      </c>
      <c r="H675" s="7" t="s">
        <v>24</v>
      </c>
      <c r="I675" s="7" t="s">
        <v>25</v>
      </c>
      <c r="J675" s="13" t="str">
        <f>HYPERLINK("https://www.airitibooks.com/Detail/Detail?PublicationID=P20200424033", "https://www.airitibooks.com/Detail/Detail?PublicationID=P20200424033")</f>
        <v>https://www.airitibooks.com/Detail/Detail?PublicationID=P20200424033</v>
      </c>
      <c r="K675" s="13" t="str">
        <f>HYPERLINK("https://ntsu.idm.oclc.org/login?url=https://www.airitibooks.com/Detail/Detail?PublicationID=P20200424033", "https://ntsu.idm.oclc.org/login?url=https://www.airitibooks.com/Detail/Detail?PublicationID=P20200424033")</f>
        <v>https://ntsu.idm.oclc.org/login?url=https://www.airitibooks.com/Detail/Detail?PublicationID=P20200424033</v>
      </c>
    </row>
    <row r="676" spans="1:11" ht="85" x14ac:dyDescent="0.4">
      <c r="A676" s="10" t="s">
        <v>13984</v>
      </c>
      <c r="B676" s="10" t="s">
        <v>13985</v>
      </c>
      <c r="C676" s="10" t="s">
        <v>544</v>
      </c>
      <c r="D676" s="10" t="s">
        <v>13986</v>
      </c>
      <c r="E676" s="10" t="s">
        <v>3219</v>
      </c>
      <c r="F676" s="10" t="s">
        <v>13987</v>
      </c>
      <c r="G676" s="10" t="s">
        <v>76</v>
      </c>
      <c r="H676" s="7" t="s">
        <v>24</v>
      </c>
      <c r="I676" s="7" t="s">
        <v>25</v>
      </c>
      <c r="J676" s="13" t="str">
        <f>HYPERLINK("https://www.airitibooks.com/Detail/Detail?PublicationID=P20200430054", "https://www.airitibooks.com/Detail/Detail?PublicationID=P20200430054")</f>
        <v>https://www.airitibooks.com/Detail/Detail?PublicationID=P20200430054</v>
      </c>
      <c r="K676" s="13" t="str">
        <f>HYPERLINK("https://ntsu.idm.oclc.org/login?url=https://www.airitibooks.com/Detail/Detail?PublicationID=P20200430054", "https://ntsu.idm.oclc.org/login?url=https://www.airitibooks.com/Detail/Detail?PublicationID=P20200430054")</f>
        <v>https://ntsu.idm.oclc.org/login?url=https://www.airitibooks.com/Detail/Detail?PublicationID=P20200430054</v>
      </c>
    </row>
    <row r="677" spans="1:11" ht="51" x14ac:dyDescent="0.4">
      <c r="A677" s="10" t="s">
        <v>14053</v>
      </c>
      <c r="B677" s="10" t="s">
        <v>14054</v>
      </c>
      <c r="C677" s="10" t="s">
        <v>3705</v>
      </c>
      <c r="D677" s="10" t="s">
        <v>14055</v>
      </c>
      <c r="E677" s="10" t="s">
        <v>3219</v>
      </c>
      <c r="F677" s="10" t="s">
        <v>14056</v>
      </c>
      <c r="G677" s="10" t="s">
        <v>76</v>
      </c>
      <c r="H677" s="7" t="s">
        <v>24</v>
      </c>
      <c r="I677" s="7" t="s">
        <v>25</v>
      </c>
      <c r="J677" s="13" t="str">
        <f>HYPERLINK("https://www.airitibooks.com/Detail/Detail?PublicationID=P20200430234", "https://www.airitibooks.com/Detail/Detail?PublicationID=P20200430234")</f>
        <v>https://www.airitibooks.com/Detail/Detail?PublicationID=P20200430234</v>
      </c>
      <c r="K677" s="13" t="str">
        <f>HYPERLINK("https://ntsu.idm.oclc.org/login?url=https://www.airitibooks.com/Detail/Detail?PublicationID=P20200430234", "https://ntsu.idm.oclc.org/login?url=https://www.airitibooks.com/Detail/Detail?PublicationID=P20200430234")</f>
        <v>https://ntsu.idm.oclc.org/login?url=https://www.airitibooks.com/Detail/Detail?PublicationID=P20200430234</v>
      </c>
    </row>
    <row r="678" spans="1:11" ht="51" x14ac:dyDescent="0.4">
      <c r="A678" s="10" t="s">
        <v>14094</v>
      </c>
      <c r="B678" s="10" t="s">
        <v>14095</v>
      </c>
      <c r="C678" s="10" t="s">
        <v>627</v>
      </c>
      <c r="D678" s="10" t="s">
        <v>1237</v>
      </c>
      <c r="E678" s="10" t="s">
        <v>3219</v>
      </c>
      <c r="F678" s="10" t="s">
        <v>580</v>
      </c>
      <c r="G678" s="10" t="s">
        <v>76</v>
      </c>
      <c r="H678" s="7" t="s">
        <v>24</v>
      </c>
      <c r="I678" s="7" t="s">
        <v>25</v>
      </c>
      <c r="J678" s="13" t="str">
        <f>HYPERLINK("https://www.airitibooks.com/Detail/Detail?PublicationID=P20200514011", "https://www.airitibooks.com/Detail/Detail?PublicationID=P20200514011")</f>
        <v>https://www.airitibooks.com/Detail/Detail?PublicationID=P20200514011</v>
      </c>
      <c r="K678" s="13" t="str">
        <f>HYPERLINK("https://ntsu.idm.oclc.org/login?url=https://www.airitibooks.com/Detail/Detail?PublicationID=P20200514011", "https://ntsu.idm.oclc.org/login?url=https://www.airitibooks.com/Detail/Detail?PublicationID=P20200514011")</f>
        <v>https://ntsu.idm.oclc.org/login?url=https://www.airitibooks.com/Detail/Detail?PublicationID=P20200514011</v>
      </c>
    </row>
    <row r="679" spans="1:11" ht="51" x14ac:dyDescent="0.4">
      <c r="A679" s="10" t="s">
        <v>14361</v>
      </c>
      <c r="B679" s="10" t="s">
        <v>14362</v>
      </c>
      <c r="C679" s="10" t="s">
        <v>14330</v>
      </c>
      <c r="D679" s="10" t="s">
        <v>14363</v>
      </c>
      <c r="E679" s="10" t="s">
        <v>3219</v>
      </c>
      <c r="F679" s="10" t="s">
        <v>2871</v>
      </c>
      <c r="G679" s="10" t="s">
        <v>76</v>
      </c>
      <c r="H679" s="7" t="s">
        <v>1031</v>
      </c>
      <c r="I679" s="7" t="s">
        <v>25</v>
      </c>
      <c r="J679" s="13" t="str">
        <f>HYPERLINK("https://www.airitibooks.com/Detail/Detail?PublicationID=P20200612297", "https://www.airitibooks.com/Detail/Detail?PublicationID=P20200612297")</f>
        <v>https://www.airitibooks.com/Detail/Detail?PublicationID=P20200612297</v>
      </c>
      <c r="K679" s="13" t="str">
        <f>HYPERLINK("https://ntsu.idm.oclc.org/login?url=https://www.airitibooks.com/Detail/Detail?PublicationID=P20200612297", "https://ntsu.idm.oclc.org/login?url=https://www.airitibooks.com/Detail/Detail?PublicationID=P20200612297")</f>
        <v>https://ntsu.idm.oclc.org/login?url=https://www.airitibooks.com/Detail/Detail?PublicationID=P20200612297</v>
      </c>
    </row>
    <row r="680" spans="1:11" ht="51" x14ac:dyDescent="0.4">
      <c r="A680" s="10" t="s">
        <v>14369</v>
      </c>
      <c r="B680" s="10" t="s">
        <v>14370</v>
      </c>
      <c r="C680" s="10" t="s">
        <v>14330</v>
      </c>
      <c r="D680" s="10" t="s">
        <v>14371</v>
      </c>
      <c r="E680" s="10" t="s">
        <v>3219</v>
      </c>
      <c r="F680" s="10" t="s">
        <v>632</v>
      </c>
      <c r="G680" s="10" t="s">
        <v>76</v>
      </c>
      <c r="H680" s="7" t="s">
        <v>1031</v>
      </c>
      <c r="I680" s="7" t="s">
        <v>25</v>
      </c>
      <c r="J680" s="13" t="str">
        <f>HYPERLINK("https://www.airitibooks.com/Detail/Detail?PublicationID=P20200612341", "https://www.airitibooks.com/Detail/Detail?PublicationID=P20200612341")</f>
        <v>https://www.airitibooks.com/Detail/Detail?PublicationID=P20200612341</v>
      </c>
      <c r="K680" s="13" t="str">
        <f>HYPERLINK("https://ntsu.idm.oclc.org/login?url=https://www.airitibooks.com/Detail/Detail?PublicationID=P20200612341", "https://ntsu.idm.oclc.org/login?url=https://www.airitibooks.com/Detail/Detail?PublicationID=P20200612341")</f>
        <v>https://ntsu.idm.oclc.org/login?url=https://www.airitibooks.com/Detail/Detail?PublicationID=P20200612341</v>
      </c>
    </row>
    <row r="681" spans="1:11" ht="51" x14ac:dyDescent="0.4">
      <c r="A681" s="10" t="s">
        <v>14375</v>
      </c>
      <c r="B681" s="10" t="s">
        <v>14376</v>
      </c>
      <c r="C681" s="10" t="s">
        <v>14330</v>
      </c>
      <c r="D681" s="10" t="s">
        <v>14377</v>
      </c>
      <c r="E681" s="10" t="s">
        <v>3219</v>
      </c>
      <c r="F681" s="10" t="s">
        <v>632</v>
      </c>
      <c r="G681" s="10" t="s">
        <v>76</v>
      </c>
      <c r="H681" s="7" t="s">
        <v>1031</v>
      </c>
      <c r="I681" s="7" t="s">
        <v>25</v>
      </c>
      <c r="J681" s="13" t="str">
        <f>HYPERLINK("https://www.airitibooks.com/Detail/Detail?PublicationID=P20200612344", "https://www.airitibooks.com/Detail/Detail?PublicationID=P20200612344")</f>
        <v>https://www.airitibooks.com/Detail/Detail?PublicationID=P20200612344</v>
      </c>
      <c r="K681" s="13" t="str">
        <f>HYPERLINK("https://ntsu.idm.oclc.org/login?url=https://www.airitibooks.com/Detail/Detail?PublicationID=P20200612344", "https://ntsu.idm.oclc.org/login?url=https://www.airitibooks.com/Detail/Detail?PublicationID=P20200612344")</f>
        <v>https://ntsu.idm.oclc.org/login?url=https://www.airitibooks.com/Detail/Detail?PublicationID=P20200612344</v>
      </c>
    </row>
    <row r="682" spans="1:11" ht="68" x14ac:dyDescent="0.4">
      <c r="A682" s="10" t="s">
        <v>14441</v>
      </c>
      <c r="B682" s="10" t="s">
        <v>14442</v>
      </c>
      <c r="C682" s="10" t="s">
        <v>12154</v>
      </c>
      <c r="D682" s="10" t="s">
        <v>14443</v>
      </c>
      <c r="E682" s="10" t="s">
        <v>3219</v>
      </c>
      <c r="F682" s="10" t="s">
        <v>2007</v>
      </c>
      <c r="G682" s="10" t="s">
        <v>76</v>
      </c>
      <c r="H682" s="7" t="s">
        <v>24</v>
      </c>
      <c r="I682" s="7" t="s">
        <v>25</v>
      </c>
      <c r="J682" s="13" t="str">
        <f>HYPERLINK("https://www.airitibooks.com/Detail/Detail?PublicationID=P20200703146", "https://www.airitibooks.com/Detail/Detail?PublicationID=P20200703146")</f>
        <v>https://www.airitibooks.com/Detail/Detail?PublicationID=P20200703146</v>
      </c>
      <c r="K682" s="13" t="str">
        <f>HYPERLINK("https://ntsu.idm.oclc.org/login?url=https://www.airitibooks.com/Detail/Detail?PublicationID=P20200703146", "https://ntsu.idm.oclc.org/login?url=https://www.airitibooks.com/Detail/Detail?PublicationID=P20200703146")</f>
        <v>https://ntsu.idm.oclc.org/login?url=https://www.airitibooks.com/Detail/Detail?PublicationID=P20200703146</v>
      </c>
    </row>
    <row r="683" spans="1:11" ht="51" x14ac:dyDescent="0.4">
      <c r="A683" s="10" t="s">
        <v>14743</v>
      </c>
      <c r="B683" s="10" t="s">
        <v>14744</v>
      </c>
      <c r="C683" s="10" t="s">
        <v>14330</v>
      </c>
      <c r="D683" s="10" t="s">
        <v>14745</v>
      </c>
      <c r="E683" s="10" t="s">
        <v>3219</v>
      </c>
      <c r="F683" s="10" t="s">
        <v>9081</v>
      </c>
      <c r="G683" s="10" t="s">
        <v>76</v>
      </c>
      <c r="H683" s="7" t="s">
        <v>1031</v>
      </c>
      <c r="I683" s="7" t="s">
        <v>25</v>
      </c>
      <c r="J683" s="13" t="str">
        <f>HYPERLINK("https://www.airitibooks.com/Detail/Detail?PublicationID=P20200925080", "https://www.airitibooks.com/Detail/Detail?PublicationID=P20200925080")</f>
        <v>https://www.airitibooks.com/Detail/Detail?PublicationID=P20200925080</v>
      </c>
      <c r="K683" s="13" t="str">
        <f>HYPERLINK("https://ntsu.idm.oclc.org/login?url=https://www.airitibooks.com/Detail/Detail?PublicationID=P20200925080", "https://ntsu.idm.oclc.org/login?url=https://www.airitibooks.com/Detail/Detail?PublicationID=P20200925080")</f>
        <v>https://ntsu.idm.oclc.org/login?url=https://www.airitibooks.com/Detail/Detail?PublicationID=P20200925080</v>
      </c>
    </row>
    <row r="684" spans="1:11" ht="51" x14ac:dyDescent="0.4">
      <c r="A684" s="10" t="s">
        <v>14938</v>
      </c>
      <c r="B684" s="10" t="s">
        <v>14939</v>
      </c>
      <c r="C684" s="10" t="s">
        <v>12989</v>
      </c>
      <c r="D684" s="10" t="s">
        <v>14940</v>
      </c>
      <c r="E684" s="10" t="s">
        <v>3219</v>
      </c>
      <c r="F684" s="10" t="s">
        <v>632</v>
      </c>
      <c r="G684" s="10" t="s">
        <v>76</v>
      </c>
      <c r="H684" s="7" t="s">
        <v>1031</v>
      </c>
      <c r="I684" s="7" t="s">
        <v>25</v>
      </c>
      <c r="J684" s="13" t="str">
        <f>HYPERLINK("https://www.airitibooks.com/Detail/Detail?PublicationID=P20201120123", "https://www.airitibooks.com/Detail/Detail?PublicationID=P20201120123")</f>
        <v>https://www.airitibooks.com/Detail/Detail?PublicationID=P20201120123</v>
      </c>
      <c r="K684" s="13" t="str">
        <f>HYPERLINK("https://ntsu.idm.oclc.org/login?url=https://www.airitibooks.com/Detail/Detail?PublicationID=P20201120123", "https://ntsu.idm.oclc.org/login?url=https://www.airitibooks.com/Detail/Detail?PublicationID=P20201120123")</f>
        <v>https://ntsu.idm.oclc.org/login?url=https://www.airitibooks.com/Detail/Detail?PublicationID=P20201120123</v>
      </c>
    </row>
    <row r="685" spans="1:11" ht="51" x14ac:dyDescent="0.4">
      <c r="A685" s="10" t="s">
        <v>14947</v>
      </c>
      <c r="B685" s="10" t="s">
        <v>14948</v>
      </c>
      <c r="C685" s="10" t="s">
        <v>12989</v>
      </c>
      <c r="D685" s="10" t="s">
        <v>14949</v>
      </c>
      <c r="E685" s="10" t="s">
        <v>3219</v>
      </c>
      <c r="F685" s="10" t="s">
        <v>105</v>
      </c>
      <c r="G685" s="10" t="s">
        <v>76</v>
      </c>
      <c r="H685" s="7" t="s">
        <v>1031</v>
      </c>
      <c r="I685" s="7" t="s">
        <v>25</v>
      </c>
      <c r="J685" s="13" t="str">
        <f>HYPERLINK("https://www.airitibooks.com/Detail/Detail?PublicationID=P20201120153", "https://www.airitibooks.com/Detail/Detail?PublicationID=P20201120153")</f>
        <v>https://www.airitibooks.com/Detail/Detail?PublicationID=P20201120153</v>
      </c>
      <c r="K685" s="13" t="str">
        <f>HYPERLINK("https://ntsu.idm.oclc.org/login?url=https://www.airitibooks.com/Detail/Detail?PublicationID=P20201120153", "https://ntsu.idm.oclc.org/login?url=https://www.airitibooks.com/Detail/Detail?PublicationID=P20201120153")</f>
        <v>https://ntsu.idm.oclc.org/login?url=https://www.airitibooks.com/Detail/Detail?PublicationID=P20201120153</v>
      </c>
    </row>
    <row r="686" spans="1:11" ht="51" x14ac:dyDescent="0.4">
      <c r="A686" s="10" t="s">
        <v>14975</v>
      </c>
      <c r="B686" s="10" t="s">
        <v>14976</v>
      </c>
      <c r="C686" s="10" t="s">
        <v>990</v>
      </c>
      <c r="D686" s="10" t="s">
        <v>8061</v>
      </c>
      <c r="E686" s="10" t="s">
        <v>3219</v>
      </c>
      <c r="F686" s="10" t="s">
        <v>8729</v>
      </c>
      <c r="G686" s="10" t="s">
        <v>76</v>
      </c>
      <c r="H686" s="7" t="s">
        <v>24</v>
      </c>
      <c r="I686" s="7" t="s">
        <v>25</v>
      </c>
      <c r="J686" s="13" t="str">
        <f>HYPERLINK("https://www.airitibooks.com/Detail/Detail?PublicationID=P20201127097", "https://www.airitibooks.com/Detail/Detail?PublicationID=P20201127097")</f>
        <v>https://www.airitibooks.com/Detail/Detail?PublicationID=P20201127097</v>
      </c>
      <c r="K686" s="13" t="str">
        <f>HYPERLINK("https://ntsu.idm.oclc.org/login?url=https://www.airitibooks.com/Detail/Detail?PublicationID=P20201127097", "https://ntsu.idm.oclc.org/login?url=https://www.airitibooks.com/Detail/Detail?PublicationID=P20201127097")</f>
        <v>https://ntsu.idm.oclc.org/login?url=https://www.airitibooks.com/Detail/Detail?PublicationID=P20201127097</v>
      </c>
    </row>
    <row r="687" spans="1:11" ht="51" x14ac:dyDescent="0.4">
      <c r="A687" s="10" t="s">
        <v>15178</v>
      </c>
      <c r="B687" s="10" t="s">
        <v>15179</v>
      </c>
      <c r="C687" s="10" t="s">
        <v>9915</v>
      </c>
      <c r="D687" s="10" t="s">
        <v>15180</v>
      </c>
      <c r="E687" s="10" t="s">
        <v>3219</v>
      </c>
      <c r="F687" s="10" t="s">
        <v>15181</v>
      </c>
      <c r="G687" s="10" t="s">
        <v>76</v>
      </c>
      <c r="H687" s="7" t="s">
        <v>24</v>
      </c>
      <c r="I687" s="7" t="s">
        <v>25</v>
      </c>
      <c r="J687" s="13" t="str">
        <f>HYPERLINK("https://www.airitibooks.com/Detail/Detail?PublicationID=P20210111060", "https://www.airitibooks.com/Detail/Detail?PublicationID=P20210111060")</f>
        <v>https://www.airitibooks.com/Detail/Detail?PublicationID=P20210111060</v>
      </c>
      <c r="K687" s="13" t="str">
        <f>HYPERLINK("https://ntsu.idm.oclc.org/login?url=https://www.airitibooks.com/Detail/Detail?PublicationID=P20210111060", "https://ntsu.idm.oclc.org/login?url=https://www.airitibooks.com/Detail/Detail?PublicationID=P20210111060")</f>
        <v>https://ntsu.idm.oclc.org/login?url=https://www.airitibooks.com/Detail/Detail?PublicationID=P20210111060</v>
      </c>
    </row>
    <row r="688" spans="1:11" ht="51" x14ac:dyDescent="0.4">
      <c r="A688" s="10" t="s">
        <v>15182</v>
      </c>
      <c r="B688" s="10" t="s">
        <v>15183</v>
      </c>
      <c r="C688" s="10" t="s">
        <v>9915</v>
      </c>
      <c r="D688" s="10" t="s">
        <v>15184</v>
      </c>
      <c r="E688" s="10" t="s">
        <v>3219</v>
      </c>
      <c r="F688" s="10" t="s">
        <v>15185</v>
      </c>
      <c r="G688" s="10" t="s">
        <v>76</v>
      </c>
      <c r="H688" s="7" t="s">
        <v>24</v>
      </c>
      <c r="I688" s="7" t="s">
        <v>25</v>
      </c>
      <c r="J688" s="13" t="str">
        <f>HYPERLINK("https://www.airitibooks.com/Detail/Detail?PublicationID=P20210111061", "https://www.airitibooks.com/Detail/Detail?PublicationID=P20210111061")</f>
        <v>https://www.airitibooks.com/Detail/Detail?PublicationID=P20210111061</v>
      </c>
      <c r="K688" s="13" t="str">
        <f>HYPERLINK("https://ntsu.idm.oclc.org/login?url=https://www.airitibooks.com/Detail/Detail?PublicationID=P20210111061", "https://ntsu.idm.oclc.org/login?url=https://www.airitibooks.com/Detail/Detail?PublicationID=P20210111061")</f>
        <v>https://ntsu.idm.oclc.org/login?url=https://www.airitibooks.com/Detail/Detail?PublicationID=P20210111061</v>
      </c>
    </row>
    <row r="689" spans="1:11" ht="102" x14ac:dyDescent="0.4">
      <c r="A689" s="10" t="s">
        <v>15295</v>
      </c>
      <c r="B689" s="10" t="s">
        <v>15296</v>
      </c>
      <c r="C689" s="10" t="s">
        <v>15293</v>
      </c>
      <c r="D689" s="10" t="s">
        <v>15297</v>
      </c>
      <c r="E689" s="10" t="s">
        <v>3219</v>
      </c>
      <c r="F689" s="10" t="s">
        <v>9821</v>
      </c>
      <c r="G689" s="10" t="s">
        <v>76</v>
      </c>
      <c r="H689" s="7" t="s">
        <v>1031</v>
      </c>
      <c r="I689" s="7" t="s">
        <v>25</v>
      </c>
      <c r="J689" s="13" t="str">
        <f>HYPERLINK("https://www.airitibooks.com/Detail/Detail?PublicationID=P20210225242", "https://www.airitibooks.com/Detail/Detail?PublicationID=P20210225242")</f>
        <v>https://www.airitibooks.com/Detail/Detail?PublicationID=P20210225242</v>
      </c>
      <c r="K689" s="13" t="str">
        <f>HYPERLINK("https://ntsu.idm.oclc.org/login?url=https://www.airitibooks.com/Detail/Detail?PublicationID=P20210225242", "https://ntsu.idm.oclc.org/login?url=https://www.airitibooks.com/Detail/Detail?PublicationID=P20210225242")</f>
        <v>https://ntsu.idm.oclc.org/login?url=https://www.airitibooks.com/Detail/Detail?PublicationID=P20210225242</v>
      </c>
    </row>
    <row r="690" spans="1:11" ht="51" x14ac:dyDescent="0.4">
      <c r="A690" s="10" t="s">
        <v>15542</v>
      </c>
      <c r="B690" s="10" t="s">
        <v>15543</v>
      </c>
      <c r="C690" s="10" t="s">
        <v>13223</v>
      </c>
      <c r="D690" s="10" t="s">
        <v>15544</v>
      </c>
      <c r="E690" s="10" t="s">
        <v>3219</v>
      </c>
      <c r="F690" s="10" t="s">
        <v>15545</v>
      </c>
      <c r="G690" s="10" t="s">
        <v>76</v>
      </c>
      <c r="H690" s="7" t="s">
        <v>1031</v>
      </c>
      <c r="I690" s="7" t="s">
        <v>25</v>
      </c>
      <c r="J690" s="13" t="str">
        <f>HYPERLINK("https://www.airitibooks.com/Detail/Detail?PublicationID=P20210726332", "https://www.airitibooks.com/Detail/Detail?PublicationID=P20210726332")</f>
        <v>https://www.airitibooks.com/Detail/Detail?PublicationID=P20210726332</v>
      </c>
      <c r="K690" s="13" t="str">
        <f>HYPERLINK("https://ntsu.idm.oclc.org/login?url=https://www.airitibooks.com/Detail/Detail?PublicationID=P20210726332", "https://ntsu.idm.oclc.org/login?url=https://www.airitibooks.com/Detail/Detail?PublicationID=P20210726332")</f>
        <v>https://ntsu.idm.oclc.org/login?url=https://www.airitibooks.com/Detail/Detail?PublicationID=P20210726332</v>
      </c>
    </row>
    <row r="691" spans="1:11" ht="51" x14ac:dyDescent="0.4">
      <c r="A691" s="10" t="s">
        <v>15550</v>
      </c>
      <c r="B691" s="10" t="s">
        <v>15551</v>
      </c>
      <c r="C691" s="10" t="s">
        <v>13223</v>
      </c>
      <c r="D691" s="10" t="s">
        <v>15552</v>
      </c>
      <c r="E691" s="10" t="s">
        <v>3219</v>
      </c>
      <c r="F691" s="10" t="s">
        <v>15553</v>
      </c>
      <c r="G691" s="10" t="s">
        <v>76</v>
      </c>
      <c r="H691" s="7" t="s">
        <v>1031</v>
      </c>
      <c r="I691" s="7" t="s">
        <v>25</v>
      </c>
      <c r="J691" s="13" t="str">
        <f>HYPERLINK("https://www.airitibooks.com/Detail/Detail?PublicationID=P20210726334", "https://www.airitibooks.com/Detail/Detail?PublicationID=P20210726334")</f>
        <v>https://www.airitibooks.com/Detail/Detail?PublicationID=P20210726334</v>
      </c>
      <c r="K691" s="13" t="str">
        <f>HYPERLINK("https://ntsu.idm.oclc.org/login?url=https://www.airitibooks.com/Detail/Detail?PublicationID=P20210726334", "https://ntsu.idm.oclc.org/login?url=https://www.airitibooks.com/Detail/Detail?PublicationID=P20210726334")</f>
        <v>https://ntsu.idm.oclc.org/login?url=https://www.airitibooks.com/Detail/Detail?PublicationID=P20210726334</v>
      </c>
    </row>
    <row r="692" spans="1:11" ht="51" x14ac:dyDescent="0.4">
      <c r="A692" s="10" t="s">
        <v>15558</v>
      </c>
      <c r="B692" s="10" t="s">
        <v>15559</v>
      </c>
      <c r="C692" s="10" t="s">
        <v>13223</v>
      </c>
      <c r="D692" s="10" t="s">
        <v>15560</v>
      </c>
      <c r="E692" s="10" t="s">
        <v>3219</v>
      </c>
      <c r="F692" s="10" t="s">
        <v>15561</v>
      </c>
      <c r="G692" s="10" t="s">
        <v>76</v>
      </c>
      <c r="H692" s="7" t="s">
        <v>1031</v>
      </c>
      <c r="I692" s="7" t="s">
        <v>25</v>
      </c>
      <c r="J692" s="13" t="str">
        <f>HYPERLINK("https://www.airitibooks.com/Detail/Detail?PublicationID=P20210726336", "https://www.airitibooks.com/Detail/Detail?PublicationID=P20210726336")</f>
        <v>https://www.airitibooks.com/Detail/Detail?PublicationID=P20210726336</v>
      </c>
      <c r="K692" s="13" t="str">
        <f>HYPERLINK("https://ntsu.idm.oclc.org/login?url=https://www.airitibooks.com/Detail/Detail?PublicationID=P20210726336", "https://ntsu.idm.oclc.org/login?url=https://www.airitibooks.com/Detail/Detail?PublicationID=P20210726336")</f>
        <v>https://ntsu.idm.oclc.org/login?url=https://www.airitibooks.com/Detail/Detail?PublicationID=P20210726336</v>
      </c>
    </row>
    <row r="693" spans="1:11" ht="51" x14ac:dyDescent="0.4">
      <c r="A693" s="10" t="s">
        <v>10923</v>
      </c>
      <c r="B693" s="10" t="s">
        <v>10924</v>
      </c>
      <c r="C693" s="10" t="s">
        <v>938</v>
      </c>
      <c r="D693" s="10" t="s">
        <v>10925</v>
      </c>
      <c r="E693" s="10" t="s">
        <v>3219</v>
      </c>
      <c r="F693" s="10" t="s">
        <v>10568</v>
      </c>
      <c r="G693" s="10" t="s">
        <v>55</v>
      </c>
      <c r="H693" s="7" t="s">
        <v>24</v>
      </c>
      <c r="I693" s="7" t="s">
        <v>25</v>
      </c>
      <c r="J693" s="13" t="str">
        <f>HYPERLINK("https://www.airitibooks.com/Detail/Detail?PublicationID=P20190322013", "https://www.airitibooks.com/Detail/Detail?PublicationID=P20190322013")</f>
        <v>https://www.airitibooks.com/Detail/Detail?PublicationID=P20190322013</v>
      </c>
      <c r="K693" s="13" t="str">
        <f>HYPERLINK("https://ntsu.idm.oclc.org/login?url=https://www.airitibooks.com/Detail/Detail?PublicationID=P20190322013", "https://ntsu.idm.oclc.org/login?url=https://www.airitibooks.com/Detail/Detail?PublicationID=P20190322013")</f>
        <v>https://ntsu.idm.oclc.org/login?url=https://www.airitibooks.com/Detail/Detail?PublicationID=P20190322013</v>
      </c>
    </row>
    <row r="694" spans="1:11" ht="51" x14ac:dyDescent="0.4">
      <c r="A694" s="10" t="s">
        <v>11501</v>
      </c>
      <c r="B694" s="10" t="s">
        <v>11502</v>
      </c>
      <c r="C694" s="10" t="s">
        <v>1034</v>
      </c>
      <c r="D694" s="10" t="s">
        <v>11503</v>
      </c>
      <c r="E694" s="10" t="s">
        <v>3219</v>
      </c>
      <c r="F694" s="10" t="s">
        <v>10568</v>
      </c>
      <c r="G694" s="10" t="s">
        <v>55</v>
      </c>
      <c r="H694" s="7" t="s">
        <v>24</v>
      </c>
      <c r="I694" s="7" t="s">
        <v>25</v>
      </c>
      <c r="J694" s="13" t="str">
        <f>HYPERLINK("https://www.airitibooks.com/Detail/Detail?PublicationID=P20190523052", "https://www.airitibooks.com/Detail/Detail?PublicationID=P20190523052")</f>
        <v>https://www.airitibooks.com/Detail/Detail?PublicationID=P20190523052</v>
      </c>
      <c r="K694" s="13" t="str">
        <f>HYPERLINK("https://ntsu.idm.oclc.org/login?url=https://www.airitibooks.com/Detail/Detail?PublicationID=P20190523052", "https://ntsu.idm.oclc.org/login?url=https://www.airitibooks.com/Detail/Detail?PublicationID=P20190523052")</f>
        <v>https://ntsu.idm.oclc.org/login?url=https://www.airitibooks.com/Detail/Detail?PublicationID=P20190523052</v>
      </c>
    </row>
    <row r="695" spans="1:11" ht="51" x14ac:dyDescent="0.4">
      <c r="A695" s="10" t="s">
        <v>11507</v>
      </c>
      <c r="B695" s="10" t="s">
        <v>11508</v>
      </c>
      <c r="C695" s="10" t="s">
        <v>1340</v>
      </c>
      <c r="D695" s="10" t="s">
        <v>11509</v>
      </c>
      <c r="E695" s="10" t="s">
        <v>3219</v>
      </c>
      <c r="F695" s="10" t="s">
        <v>7196</v>
      </c>
      <c r="G695" s="10" t="s">
        <v>55</v>
      </c>
      <c r="H695" s="7" t="s">
        <v>24</v>
      </c>
      <c r="I695" s="7" t="s">
        <v>25</v>
      </c>
      <c r="J695" s="13" t="str">
        <f>HYPERLINK("https://www.airitibooks.com/Detail/Detail?PublicationID=P20190523072", "https://www.airitibooks.com/Detail/Detail?PublicationID=P20190523072")</f>
        <v>https://www.airitibooks.com/Detail/Detail?PublicationID=P20190523072</v>
      </c>
      <c r="K695" s="13" t="str">
        <f>HYPERLINK("https://ntsu.idm.oclc.org/login?url=https://www.airitibooks.com/Detail/Detail?PublicationID=P20190523072", "https://ntsu.idm.oclc.org/login?url=https://www.airitibooks.com/Detail/Detail?PublicationID=P20190523072")</f>
        <v>https://ntsu.idm.oclc.org/login?url=https://www.airitibooks.com/Detail/Detail?PublicationID=P20190523072</v>
      </c>
    </row>
    <row r="696" spans="1:11" ht="51" x14ac:dyDescent="0.4">
      <c r="A696" s="10" t="s">
        <v>11757</v>
      </c>
      <c r="B696" s="10" t="s">
        <v>11758</v>
      </c>
      <c r="C696" s="10" t="s">
        <v>130</v>
      </c>
      <c r="D696" s="10" t="s">
        <v>5490</v>
      </c>
      <c r="E696" s="10" t="s">
        <v>3219</v>
      </c>
      <c r="F696" s="10" t="s">
        <v>11759</v>
      </c>
      <c r="G696" s="10" t="s">
        <v>55</v>
      </c>
      <c r="H696" s="7" t="s">
        <v>24</v>
      </c>
      <c r="I696" s="7" t="s">
        <v>25</v>
      </c>
      <c r="J696" s="13" t="str">
        <f>HYPERLINK("https://www.airitibooks.com/Detail/Detail?PublicationID=P20190620023", "https://www.airitibooks.com/Detail/Detail?PublicationID=P20190620023")</f>
        <v>https://www.airitibooks.com/Detail/Detail?PublicationID=P20190620023</v>
      </c>
      <c r="K696" s="13" t="str">
        <f>HYPERLINK("https://ntsu.idm.oclc.org/login?url=https://www.airitibooks.com/Detail/Detail?PublicationID=P20190620023", "https://ntsu.idm.oclc.org/login?url=https://www.airitibooks.com/Detail/Detail?PublicationID=P20190620023")</f>
        <v>https://ntsu.idm.oclc.org/login?url=https://www.airitibooks.com/Detail/Detail?PublicationID=P20190620023</v>
      </c>
    </row>
    <row r="697" spans="1:11" ht="51" x14ac:dyDescent="0.4">
      <c r="A697" s="10" t="s">
        <v>11810</v>
      </c>
      <c r="B697" s="10" t="s">
        <v>11811</v>
      </c>
      <c r="C697" s="10" t="s">
        <v>297</v>
      </c>
      <c r="D697" s="10" t="s">
        <v>11812</v>
      </c>
      <c r="E697" s="10" t="s">
        <v>3219</v>
      </c>
      <c r="F697" s="10" t="s">
        <v>512</v>
      </c>
      <c r="G697" s="10" t="s">
        <v>55</v>
      </c>
      <c r="H697" s="7" t="s">
        <v>24</v>
      </c>
      <c r="I697" s="7" t="s">
        <v>25</v>
      </c>
      <c r="J697" s="13" t="str">
        <f>HYPERLINK("https://www.airitibooks.com/Detail/Detail?PublicationID=P20190620060", "https://www.airitibooks.com/Detail/Detail?PublicationID=P20190620060")</f>
        <v>https://www.airitibooks.com/Detail/Detail?PublicationID=P20190620060</v>
      </c>
      <c r="K697" s="13" t="str">
        <f>HYPERLINK("https://ntsu.idm.oclc.org/login?url=https://www.airitibooks.com/Detail/Detail?PublicationID=P20190620060", "https://ntsu.idm.oclc.org/login?url=https://www.airitibooks.com/Detail/Detail?PublicationID=P20190620060")</f>
        <v>https://ntsu.idm.oclc.org/login?url=https://www.airitibooks.com/Detail/Detail?PublicationID=P20190620060</v>
      </c>
    </row>
    <row r="698" spans="1:11" ht="51" x14ac:dyDescent="0.4">
      <c r="A698" s="10" t="s">
        <v>11821</v>
      </c>
      <c r="B698" s="10" t="s">
        <v>11822</v>
      </c>
      <c r="C698" s="10" t="s">
        <v>297</v>
      </c>
      <c r="D698" s="10" t="s">
        <v>11823</v>
      </c>
      <c r="E698" s="10" t="s">
        <v>3219</v>
      </c>
      <c r="F698" s="10" t="s">
        <v>59</v>
      </c>
      <c r="G698" s="10" t="s">
        <v>55</v>
      </c>
      <c r="H698" s="7" t="s">
        <v>24</v>
      </c>
      <c r="I698" s="7" t="s">
        <v>25</v>
      </c>
      <c r="J698" s="13" t="str">
        <f>HYPERLINK("https://www.airitibooks.com/Detail/Detail?PublicationID=P20190620067", "https://www.airitibooks.com/Detail/Detail?PublicationID=P20190620067")</f>
        <v>https://www.airitibooks.com/Detail/Detail?PublicationID=P20190620067</v>
      </c>
      <c r="K698" s="13" t="str">
        <f>HYPERLINK("https://ntsu.idm.oclc.org/login?url=https://www.airitibooks.com/Detail/Detail?PublicationID=P20190620067", "https://ntsu.idm.oclc.org/login?url=https://www.airitibooks.com/Detail/Detail?PublicationID=P20190620067")</f>
        <v>https://ntsu.idm.oclc.org/login?url=https://www.airitibooks.com/Detail/Detail?PublicationID=P20190620067</v>
      </c>
    </row>
    <row r="699" spans="1:11" ht="51" x14ac:dyDescent="0.4">
      <c r="A699" s="10" t="s">
        <v>11826</v>
      </c>
      <c r="B699" s="10" t="s">
        <v>11827</v>
      </c>
      <c r="C699" s="10" t="s">
        <v>297</v>
      </c>
      <c r="D699" s="10" t="s">
        <v>11828</v>
      </c>
      <c r="E699" s="10" t="s">
        <v>3219</v>
      </c>
      <c r="F699" s="10" t="s">
        <v>21</v>
      </c>
      <c r="G699" s="10" t="s">
        <v>55</v>
      </c>
      <c r="H699" s="7" t="s">
        <v>24</v>
      </c>
      <c r="I699" s="7" t="s">
        <v>25</v>
      </c>
      <c r="J699" s="13" t="str">
        <f>HYPERLINK("https://www.airitibooks.com/Detail/Detail?PublicationID=P20190620069", "https://www.airitibooks.com/Detail/Detail?PublicationID=P20190620069")</f>
        <v>https://www.airitibooks.com/Detail/Detail?PublicationID=P20190620069</v>
      </c>
      <c r="K699" s="13" t="str">
        <f>HYPERLINK("https://ntsu.idm.oclc.org/login?url=https://www.airitibooks.com/Detail/Detail?PublicationID=P20190620069", "https://ntsu.idm.oclc.org/login?url=https://www.airitibooks.com/Detail/Detail?PublicationID=P20190620069")</f>
        <v>https://ntsu.idm.oclc.org/login?url=https://www.airitibooks.com/Detail/Detail?PublicationID=P20190620069</v>
      </c>
    </row>
    <row r="700" spans="1:11" ht="51" x14ac:dyDescent="0.4">
      <c r="A700" s="10" t="s">
        <v>11829</v>
      </c>
      <c r="B700" s="10" t="s">
        <v>11830</v>
      </c>
      <c r="C700" s="10" t="s">
        <v>297</v>
      </c>
      <c r="D700" s="10" t="s">
        <v>11831</v>
      </c>
      <c r="E700" s="10" t="s">
        <v>3219</v>
      </c>
      <c r="F700" s="10" t="s">
        <v>946</v>
      </c>
      <c r="G700" s="10" t="s">
        <v>55</v>
      </c>
      <c r="H700" s="7" t="s">
        <v>24</v>
      </c>
      <c r="I700" s="7" t="s">
        <v>25</v>
      </c>
      <c r="J700" s="13" t="str">
        <f>HYPERLINK("https://www.airitibooks.com/Detail/Detail?PublicationID=P20190620070", "https://www.airitibooks.com/Detail/Detail?PublicationID=P20190620070")</f>
        <v>https://www.airitibooks.com/Detail/Detail?PublicationID=P20190620070</v>
      </c>
      <c r="K700" s="13" t="str">
        <f>HYPERLINK("https://ntsu.idm.oclc.org/login?url=https://www.airitibooks.com/Detail/Detail?PublicationID=P20190620070", "https://ntsu.idm.oclc.org/login?url=https://www.airitibooks.com/Detail/Detail?PublicationID=P20190620070")</f>
        <v>https://ntsu.idm.oclc.org/login?url=https://www.airitibooks.com/Detail/Detail?PublicationID=P20190620070</v>
      </c>
    </row>
    <row r="701" spans="1:11" ht="51" x14ac:dyDescent="0.4">
      <c r="A701" s="10" t="s">
        <v>11852</v>
      </c>
      <c r="B701" s="10" t="s">
        <v>11853</v>
      </c>
      <c r="C701" s="10" t="s">
        <v>439</v>
      </c>
      <c r="D701" s="10" t="s">
        <v>11854</v>
      </c>
      <c r="E701" s="10" t="s">
        <v>3219</v>
      </c>
      <c r="F701" s="10" t="s">
        <v>11855</v>
      </c>
      <c r="G701" s="10" t="s">
        <v>55</v>
      </c>
      <c r="H701" s="7" t="s">
        <v>24</v>
      </c>
      <c r="I701" s="7" t="s">
        <v>25</v>
      </c>
      <c r="J701" s="13" t="str">
        <f>HYPERLINK("https://www.airitibooks.com/Detail/Detail?PublicationID=P20190620083", "https://www.airitibooks.com/Detail/Detail?PublicationID=P20190620083")</f>
        <v>https://www.airitibooks.com/Detail/Detail?PublicationID=P20190620083</v>
      </c>
      <c r="K701" s="13" t="str">
        <f>HYPERLINK("https://ntsu.idm.oclc.org/login?url=https://www.airitibooks.com/Detail/Detail?PublicationID=P20190620083", "https://ntsu.idm.oclc.org/login?url=https://www.airitibooks.com/Detail/Detail?PublicationID=P20190620083")</f>
        <v>https://ntsu.idm.oclc.org/login?url=https://www.airitibooks.com/Detail/Detail?PublicationID=P20190620083</v>
      </c>
    </row>
    <row r="702" spans="1:11" ht="51" x14ac:dyDescent="0.4">
      <c r="A702" s="10" t="s">
        <v>11856</v>
      </c>
      <c r="B702" s="10" t="s">
        <v>11857</v>
      </c>
      <c r="C702" s="10" t="s">
        <v>439</v>
      </c>
      <c r="D702" s="10" t="s">
        <v>11858</v>
      </c>
      <c r="E702" s="10" t="s">
        <v>3219</v>
      </c>
      <c r="F702" s="10" t="s">
        <v>6605</v>
      </c>
      <c r="G702" s="10" t="s">
        <v>55</v>
      </c>
      <c r="H702" s="7" t="s">
        <v>24</v>
      </c>
      <c r="I702" s="7" t="s">
        <v>25</v>
      </c>
      <c r="J702" s="13" t="str">
        <f>HYPERLINK("https://www.airitibooks.com/Detail/Detail?PublicationID=P20190620084", "https://www.airitibooks.com/Detail/Detail?PublicationID=P20190620084")</f>
        <v>https://www.airitibooks.com/Detail/Detail?PublicationID=P20190620084</v>
      </c>
      <c r="K702" s="13" t="str">
        <f>HYPERLINK("https://ntsu.idm.oclc.org/login?url=https://www.airitibooks.com/Detail/Detail?PublicationID=P20190620084", "https://ntsu.idm.oclc.org/login?url=https://www.airitibooks.com/Detail/Detail?PublicationID=P20190620084")</f>
        <v>https://ntsu.idm.oclc.org/login?url=https://www.airitibooks.com/Detail/Detail?PublicationID=P20190620084</v>
      </c>
    </row>
    <row r="703" spans="1:11" ht="51" x14ac:dyDescent="0.4">
      <c r="A703" s="10" t="s">
        <v>12404</v>
      </c>
      <c r="B703" s="10" t="s">
        <v>12405</v>
      </c>
      <c r="C703" s="10" t="s">
        <v>10384</v>
      </c>
      <c r="D703" s="10" t="s">
        <v>12406</v>
      </c>
      <c r="E703" s="10" t="s">
        <v>3219</v>
      </c>
      <c r="F703" s="10" t="s">
        <v>12407</v>
      </c>
      <c r="G703" s="10" t="s">
        <v>55</v>
      </c>
      <c r="H703" s="7" t="s">
        <v>24</v>
      </c>
      <c r="I703" s="7" t="s">
        <v>25</v>
      </c>
      <c r="J703" s="13" t="str">
        <f>HYPERLINK("https://www.airitibooks.com/Detail/Detail?PublicationID=P20190927245", "https://www.airitibooks.com/Detail/Detail?PublicationID=P20190927245")</f>
        <v>https://www.airitibooks.com/Detail/Detail?PublicationID=P20190927245</v>
      </c>
      <c r="K703" s="13" t="str">
        <f>HYPERLINK("https://ntsu.idm.oclc.org/login?url=https://www.airitibooks.com/Detail/Detail?PublicationID=P20190927245", "https://ntsu.idm.oclc.org/login?url=https://www.airitibooks.com/Detail/Detail?PublicationID=P20190927245")</f>
        <v>https://ntsu.idm.oclc.org/login?url=https://www.airitibooks.com/Detail/Detail?PublicationID=P20190927245</v>
      </c>
    </row>
    <row r="704" spans="1:11" ht="68" x14ac:dyDescent="0.4">
      <c r="A704" s="10" t="s">
        <v>12714</v>
      </c>
      <c r="B704" s="10" t="s">
        <v>12715</v>
      </c>
      <c r="C704" s="10" t="s">
        <v>1504</v>
      </c>
      <c r="D704" s="10" t="s">
        <v>8112</v>
      </c>
      <c r="E704" s="10" t="s">
        <v>3219</v>
      </c>
      <c r="F704" s="10" t="s">
        <v>6902</v>
      </c>
      <c r="G704" s="10" t="s">
        <v>55</v>
      </c>
      <c r="H704" s="7" t="s">
        <v>24</v>
      </c>
      <c r="I704" s="7" t="s">
        <v>25</v>
      </c>
      <c r="J704" s="13" t="str">
        <f>HYPERLINK("https://www.airitibooks.com/Detail/Detail?PublicationID=P20191023092", "https://www.airitibooks.com/Detail/Detail?PublicationID=P20191023092")</f>
        <v>https://www.airitibooks.com/Detail/Detail?PublicationID=P20191023092</v>
      </c>
      <c r="K704" s="13" t="str">
        <f>HYPERLINK("https://ntsu.idm.oclc.org/login?url=https://www.airitibooks.com/Detail/Detail?PublicationID=P20191023092", "https://ntsu.idm.oclc.org/login?url=https://www.airitibooks.com/Detail/Detail?PublicationID=P20191023092")</f>
        <v>https://ntsu.idm.oclc.org/login?url=https://www.airitibooks.com/Detail/Detail?PublicationID=P20191023092</v>
      </c>
    </row>
    <row r="705" spans="1:11" ht="51" x14ac:dyDescent="0.4">
      <c r="A705" s="10" t="s">
        <v>12716</v>
      </c>
      <c r="B705" s="10" t="s">
        <v>12717</v>
      </c>
      <c r="C705" s="10" t="s">
        <v>1504</v>
      </c>
      <c r="D705" s="10" t="s">
        <v>12718</v>
      </c>
      <c r="E705" s="10" t="s">
        <v>3219</v>
      </c>
      <c r="F705" s="10" t="s">
        <v>6902</v>
      </c>
      <c r="G705" s="10" t="s">
        <v>55</v>
      </c>
      <c r="H705" s="7" t="s">
        <v>24</v>
      </c>
      <c r="I705" s="7" t="s">
        <v>25</v>
      </c>
      <c r="J705" s="13" t="str">
        <f>HYPERLINK("https://www.airitibooks.com/Detail/Detail?PublicationID=P20191023093", "https://www.airitibooks.com/Detail/Detail?PublicationID=P20191023093")</f>
        <v>https://www.airitibooks.com/Detail/Detail?PublicationID=P20191023093</v>
      </c>
      <c r="K705" s="13" t="str">
        <f>HYPERLINK("https://ntsu.idm.oclc.org/login?url=https://www.airitibooks.com/Detail/Detail?PublicationID=P20191023093", "https://ntsu.idm.oclc.org/login?url=https://www.airitibooks.com/Detail/Detail?PublicationID=P20191023093")</f>
        <v>https://ntsu.idm.oclc.org/login?url=https://www.airitibooks.com/Detail/Detail?PublicationID=P20191023093</v>
      </c>
    </row>
    <row r="706" spans="1:11" ht="51" x14ac:dyDescent="0.4">
      <c r="A706" s="10" t="s">
        <v>12719</v>
      </c>
      <c r="B706" s="10" t="s">
        <v>12720</v>
      </c>
      <c r="C706" s="10" t="s">
        <v>1504</v>
      </c>
      <c r="D706" s="10" t="s">
        <v>12721</v>
      </c>
      <c r="E706" s="10" t="s">
        <v>3219</v>
      </c>
      <c r="F706" s="10" t="s">
        <v>2201</v>
      </c>
      <c r="G706" s="10" t="s">
        <v>55</v>
      </c>
      <c r="H706" s="7" t="s">
        <v>24</v>
      </c>
      <c r="I706" s="7" t="s">
        <v>25</v>
      </c>
      <c r="J706" s="13" t="str">
        <f>HYPERLINK("https://www.airitibooks.com/Detail/Detail?PublicationID=P20191023095", "https://www.airitibooks.com/Detail/Detail?PublicationID=P20191023095")</f>
        <v>https://www.airitibooks.com/Detail/Detail?PublicationID=P20191023095</v>
      </c>
      <c r="K706" s="13" t="str">
        <f>HYPERLINK("https://ntsu.idm.oclc.org/login?url=https://www.airitibooks.com/Detail/Detail?PublicationID=P20191023095", "https://ntsu.idm.oclc.org/login?url=https://www.airitibooks.com/Detail/Detail?PublicationID=P20191023095")</f>
        <v>https://ntsu.idm.oclc.org/login?url=https://www.airitibooks.com/Detail/Detail?PublicationID=P20191023095</v>
      </c>
    </row>
    <row r="707" spans="1:11" ht="51" x14ac:dyDescent="0.4">
      <c r="A707" s="10" t="s">
        <v>12722</v>
      </c>
      <c r="B707" s="10" t="s">
        <v>12723</v>
      </c>
      <c r="C707" s="10" t="s">
        <v>1504</v>
      </c>
      <c r="D707" s="10" t="s">
        <v>2214</v>
      </c>
      <c r="E707" s="10" t="s">
        <v>3219</v>
      </c>
      <c r="F707" s="10" t="s">
        <v>2205</v>
      </c>
      <c r="G707" s="10" t="s">
        <v>55</v>
      </c>
      <c r="H707" s="7" t="s">
        <v>24</v>
      </c>
      <c r="I707" s="7" t="s">
        <v>25</v>
      </c>
      <c r="J707" s="13" t="str">
        <f>HYPERLINK("https://www.airitibooks.com/Detail/Detail?PublicationID=P20191023096", "https://www.airitibooks.com/Detail/Detail?PublicationID=P20191023096")</f>
        <v>https://www.airitibooks.com/Detail/Detail?PublicationID=P20191023096</v>
      </c>
      <c r="K707" s="13" t="str">
        <f>HYPERLINK("https://ntsu.idm.oclc.org/login?url=https://www.airitibooks.com/Detail/Detail?PublicationID=P20191023096", "https://ntsu.idm.oclc.org/login?url=https://www.airitibooks.com/Detail/Detail?PublicationID=P20191023096")</f>
        <v>https://ntsu.idm.oclc.org/login?url=https://www.airitibooks.com/Detail/Detail?PublicationID=P20191023096</v>
      </c>
    </row>
    <row r="708" spans="1:11" ht="85" x14ac:dyDescent="0.4">
      <c r="A708" s="10" t="s">
        <v>12724</v>
      </c>
      <c r="B708" s="10" t="s">
        <v>12725</v>
      </c>
      <c r="C708" s="10" t="s">
        <v>1504</v>
      </c>
      <c r="D708" s="10" t="s">
        <v>2197</v>
      </c>
      <c r="E708" s="10" t="s">
        <v>3219</v>
      </c>
      <c r="F708" s="10" t="s">
        <v>2180</v>
      </c>
      <c r="G708" s="10" t="s">
        <v>55</v>
      </c>
      <c r="H708" s="7" t="s">
        <v>24</v>
      </c>
      <c r="I708" s="7" t="s">
        <v>25</v>
      </c>
      <c r="J708" s="13" t="str">
        <f>HYPERLINK("https://www.airitibooks.com/Detail/Detail?PublicationID=P20191023097", "https://www.airitibooks.com/Detail/Detail?PublicationID=P20191023097")</f>
        <v>https://www.airitibooks.com/Detail/Detail?PublicationID=P20191023097</v>
      </c>
      <c r="K708" s="13" t="str">
        <f>HYPERLINK("https://ntsu.idm.oclc.org/login?url=https://www.airitibooks.com/Detail/Detail?PublicationID=P20191023097", "https://ntsu.idm.oclc.org/login?url=https://www.airitibooks.com/Detail/Detail?PublicationID=P20191023097")</f>
        <v>https://ntsu.idm.oclc.org/login?url=https://www.airitibooks.com/Detail/Detail?PublicationID=P20191023097</v>
      </c>
    </row>
    <row r="709" spans="1:11" ht="51" x14ac:dyDescent="0.4">
      <c r="A709" s="10" t="s">
        <v>12726</v>
      </c>
      <c r="B709" s="10" t="s">
        <v>12727</v>
      </c>
      <c r="C709" s="10" t="s">
        <v>1504</v>
      </c>
      <c r="D709" s="10" t="s">
        <v>6848</v>
      </c>
      <c r="E709" s="10" t="s">
        <v>3219</v>
      </c>
      <c r="F709" s="10" t="s">
        <v>2201</v>
      </c>
      <c r="G709" s="10" t="s">
        <v>55</v>
      </c>
      <c r="H709" s="7" t="s">
        <v>24</v>
      </c>
      <c r="I709" s="7" t="s">
        <v>25</v>
      </c>
      <c r="J709" s="13" t="str">
        <f>HYPERLINK("https://www.airitibooks.com/Detail/Detail?PublicationID=P20191023098", "https://www.airitibooks.com/Detail/Detail?PublicationID=P20191023098")</f>
        <v>https://www.airitibooks.com/Detail/Detail?PublicationID=P20191023098</v>
      </c>
      <c r="K709" s="13" t="str">
        <f>HYPERLINK("https://ntsu.idm.oclc.org/login?url=https://www.airitibooks.com/Detail/Detail?PublicationID=P20191023098", "https://ntsu.idm.oclc.org/login?url=https://www.airitibooks.com/Detail/Detail?PublicationID=P20191023098")</f>
        <v>https://ntsu.idm.oclc.org/login?url=https://www.airitibooks.com/Detail/Detail?PublicationID=P20191023098</v>
      </c>
    </row>
    <row r="710" spans="1:11" ht="51" x14ac:dyDescent="0.4">
      <c r="A710" s="10" t="s">
        <v>12731</v>
      </c>
      <c r="B710" s="10" t="s">
        <v>12732</v>
      </c>
      <c r="C710" s="10" t="s">
        <v>1504</v>
      </c>
      <c r="D710" s="10" t="s">
        <v>6953</v>
      </c>
      <c r="E710" s="10" t="s">
        <v>3219</v>
      </c>
      <c r="F710" s="10" t="s">
        <v>2201</v>
      </c>
      <c r="G710" s="10" t="s">
        <v>55</v>
      </c>
      <c r="H710" s="7" t="s">
        <v>24</v>
      </c>
      <c r="I710" s="7" t="s">
        <v>25</v>
      </c>
      <c r="J710" s="13" t="str">
        <f>HYPERLINK("https://www.airitibooks.com/Detail/Detail?PublicationID=P20191023101", "https://www.airitibooks.com/Detail/Detail?PublicationID=P20191023101")</f>
        <v>https://www.airitibooks.com/Detail/Detail?PublicationID=P20191023101</v>
      </c>
      <c r="K710" s="13" t="str">
        <f>HYPERLINK("https://ntsu.idm.oclc.org/login?url=https://www.airitibooks.com/Detail/Detail?PublicationID=P20191023101", "https://ntsu.idm.oclc.org/login?url=https://www.airitibooks.com/Detail/Detail?PublicationID=P20191023101")</f>
        <v>https://ntsu.idm.oclc.org/login?url=https://www.airitibooks.com/Detail/Detail?PublicationID=P20191023101</v>
      </c>
    </row>
    <row r="711" spans="1:11" ht="68" x14ac:dyDescent="0.4">
      <c r="A711" s="10" t="s">
        <v>12733</v>
      </c>
      <c r="B711" s="10" t="s">
        <v>12734</v>
      </c>
      <c r="C711" s="10" t="s">
        <v>1504</v>
      </c>
      <c r="D711" s="10" t="s">
        <v>12735</v>
      </c>
      <c r="E711" s="10" t="s">
        <v>3219</v>
      </c>
      <c r="F711" s="10" t="s">
        <v>12736</v>
      </c>
      <c r="G711" s="10" t="s">
        <v>55</v>
      </c>
      <c r="H711" s="7" t="s">
        <v>24</v>
      </c>
      <c r="I711" s="7" t="s">
        <v>25</v>
      </c>
      <c r="J711" s="13" t="str">
        <f>HYPERLINK("https://www.airitibooks.com/Detail/Detail?PublicationID=P20191023102", "https://www.airitibooks.com/Detail/Detail?PublicationID=P20191023102")</f>
        <v>https://www.airitibooks.com/Detail/Detail?PublicationID=P20191023102</v>
      </c>
      <c r="K711" s="13" t="str">
        <f>HYPERLINK("https://ntsu.idm.oclc.org/login?url=https://www.airitibooks.com/Detail/Detail?PublicationID=P20191023102", "https://ntsu.idm.oclc.org/login?url=https://www.airitibooks.com/Detail/Detail?PublicationID=P20191023102")</f>
        <v>https://ntsu.idm.oclc.org/login?url=https://www.airitibooks.com/Detail/Detail?PublicationID=P20191023102</v>
      </c>
    </row>
    <row r="712" spans="1:11" ht="51" x14ac:dyDescent="0.4">
      <c r="A712" s="10" t="s">
        <v>12788</v>
      </c>
      <c r="B712" s="10" t="s">
        <v>12789</v>
      </c>
      <c r="C712" s="10" t="s">
        <v>11995</v>
      </c>
      <c r="D712" s="10" t="s">
        <v>12790</v>
      </c>
      <c r="E712" s="10" t="s">
        <v>3219</v>
      </c>
      <c r="F712" s="10" t="s">
        <v>2180</v>
      </c>
      <c r="G712" s="10" t="s">
        <v>55</v>
      </c>
      <c r="H712" s="7" t="s">
        <v>24</v>
      </c>
      <c r="I712" s="7" t="s">
        <v>25</v>
      </c>
      <c r="J712" s="13" t="str">
        <f>HYPERLINK("https://www.airitibooks.com/Detail/Detail?PublicationID=P20191031041", "https://www.airitibooks.com/Detail/Detail?PublicationID=P20191031041")</f>
        <v>https://www.airitibooks.com/Detail/Detail?PublicationID=P20191031041</v>
      </c>
      <c r="K712" s="13" t="str">
        <f>HYPERLINK("https://ntsu.idm.oclc.org/login?url=https://www.airitibooks.com/Detail/Detail?PublicationID=P20191031041", "https://ntsu.idm.oclc.org/login?url=https://www.airitibooks.com/Detail/Detail?PublicationID=P20191031041")</f>
        <v>https://ntsu.idm.oclc.org/login?url=https://www.airitibooks.com/Detail/Detail?PublicationID=P20191031041</v>
      </c>
    </row>
    <row r="713" spans="1:11" ht="51" x14ac:dyDescent="0.4">
      <c r="A713" s="10" t="s">
        <v>12791</v>
      </c>
      <c r="B713" s="10" t="s">
        <v>12792</v>
      </c>
      <c r="C713" s="10" t="s">
        <v>11995</v>
      </c>
      <c r="D713" s="10" t="s">
        <v>12790</v>
      </c>
      <c r="E713" s="10" t="s">
        <v>3219</v>
      </c>
      <c r="F713" s="10" t="s">
        <v>2180</v>
      </c>
      <c r="G713" s="10" t="s">
        <v>55</v>
      </c>
      <c r="H713" s="7" t="s">
        <v>24</v>
      </c>
      <c r="I713" s="7" t="s">
        <v>25</v>
      </c>
      <c r="J713" s="13" t="str">
        <f>HYPERLINK("https://www.airitibooks.com/Detail/Detail?PublicationID=P20191031042", "https://www.airitibooks.com/Detail/Detail?PublicationID=P20191031042")</f>
        <v>https://www.airitibooks.com/Detail/Detail?PublicationID=P20191031042</v>
      </c>
      <c r="K713" s="13" t="str">
        <f>HYPERLINK("https://ntsu.idm.oclc.org/login?url=https://www.airitibooks.com/Detail/Detail?PublicationID=P20191031042", "https://ntsu.idm.oclc.org/login?url=https://www.airitibooks.com/Detail/Detail?PublicationID=P20191031042")</f>
        <v>https://ntsu.idm.oclc.org/login?url=https://www.airitibooks.com/Detail/Detail?PublicationID=P20191031042</v>
      </c>
    </row>
    <row r="714" spans="1:11" ht="51" x14ac:dyDescent="0.4">
      <c r="A714" s="10" t="s">
        <v>13031</v>
      </c>
      <c r="B714" s="10" t="s">
        <v>13032</v>
      </c>
      <c r="C714" s="10" t="s">
        <v>499</v>
      </c>
      <c r="D714" s="10" t="s">
        <v>13033</v>
      </c>
      <c r="E714" s="10" t="s">
        <v>3219</v>
      </c>
      <c r="F714" s="10" t="s">
        <v>13034</v>
      </c>
      <c r="G714" s="10" t="s">
        <v>55</v>
      </c>
      <c r="H714" s="7" t="s">
        <v>24</v>
      </c>
      <c r="I714" s="7" t="s">
        <v>25</v>
      </c>
      <c r="J714" s="13" t="str">
        <f>HYPERLINK("https://www.airitibooks.com/Detail/Detail?PublicationID=P20191128070", "https://www.airitibooks.com/Detail/Detail?PublicationID=P20191128070")</f>
        <v>https://www.airitibooks.com/Detail/Detail?PublicationID=P20191128070</v>
      </c>
      <c r="K714" s="13" t="str">
        <f>HYPERLINK("https://ntsu.idm.oclc.org/login?url=https://www.airitibooks.com/Detail/Detail?PublicationID=P20191128070", "https://ntsu.idm.oclc.org/login?url=https://www.airitibooks.com/Detail/Detail?PublicationID=P20191128070")</f>
        <v>https://ntsu.idm.oclc.org/login?url=https://www.airitibooks.com/Detail/Detail?PublicationID=P20191128070</v>
      </c>
    </row>
    <row r="715" spans="1:11" ht="85" x14ac:dyDescent="0.4">
      <c r="A715" s="10" t="s">
        <v>13167</v>
      </c>
      <c r="B715" s="10" t="s">
        <v>13168</v>
      </c>
      <c r="C715" s="10" t="s">
        <v>791</v>
      </c>
      <c r="D715" s="10" t="s">
        <v>13169</v>
      </c>
      <c r="E715" s="10" t="s">
        <v>3219</v>
      </c>
      <c r="F715" s="10" t="s">
        <v>13170</v>
      </c>
      <c r="G715" s="10" t="s">
        <v>55</v>
      </c>
      <c r="H715" s="7" t="s">
        <v>24</v>
      </c>
      <c r="I715" s="7" t="s">
        <v>25</v>
      </c>
      <c r="J715" s="13" t="str">
        <f>HYPERLINK("https://www.airitibooks.com/Detail/Detail?PublicationID=P20191226023", "https://www.airitibooks.com/Detail/Detail?PublicationID=P20191226023")</f>
        <v>https://www.airitibooks.com/Detail/Detail?PublicationID=P20191226023</v>
      </c>
      <c r="K715" s="13" t="str">
        <f>HYPERLINK("https://ntsu.idm.oclc.org/login?url=https://www.airitibooks.com/Detail/Detail?PublicationID=P20191226023", "https://ntsu.idm.oclc.org/login?url=https://www.airitibooks.com/Detail/Detail?PublicationID=P20191226023")</f>
        <v>https://ntsu.idm.oclc.org/login?url=https://www.airitibooks.com/Detail/Detail?PublicationID=P20191226023</v>
      </c>
    </row>
    <row r="716" spans="1:11" ht="51" x14ac:dyDescent="0.4">
      <c r="A716" s="10" t="s">
        <v>13488</v>
      </c>
      <c r="B716" s="10" t="s">
        <v>13489</v>
      </c>
      <c r="C716" s="10" t="s">
        <v>7164</v>
      </c>
      <c r="D716" s="10" t="s">
        <v>13490</v>
      </c>
      <c r="E716" s="10" t="s">
        <v>3219</v>
      </c>
      <c r="F716" s="10" t="s">
        <v>13034</v>
      </c>
      <c r="G716" s="10" t="s">
        <v>55</v>
      </c>
      <c r="H716" s="7" t="s">
        <v>24</v>
      </c>
      <c r="I716" s="7" t="s">
        <v>25</v>
      </c>
      <c r="J716" s="13" t="str">
        <f>HYPERLINK("https://www.airitibooks.com/Detail/Detail?PublicationID=P20200215077", "https://www.airitibooks.com/Detail/Detail?PublicationID=P20200215077")</f>
        <v>https://www.airitibooks.com/Detail/Detail?PublicationID=P20200215077</v>
      </c>
      <c r="K716" s="13" t="str">
        <f>HYPERLINK("https://ntsu.idm.oclc.org/login?url=https://www.airitibooks.com/Detail/Detail?PublicationID=P20200215077", "https://ntsu.idm.oclc.org/login?url=https://www.airitibooks.com/Detail/Detail?PublicationID=P20200215077")</f>
        <v>https://ntsu.idm.oclc.org/login?url=https://www.airitibooks.com/Detail/Detail?PublicationID=P20200215077</v>
      </c>
    </row>
    <row r="717" spans="1:11" ht="51" x14ac:dyDescent="0.4">
      <c r="A717" s="10" t="s">
        <v>8120</v>
      </c>
      <c r="B717" s="10" t="s">
        <v>14081</v>
      </c>
      <c r="C717" s="10" t="s">
        <v>1504</v>
      </c>
      <c r="D717" s="10" t="s">
        <v>6848</v>
      </c>
      <c r="E717" s="10" t="s">
        <v>3219</v>
      </c>
      <c r="F717" s="10" t="s">
        <v>6922</v>
      </c>
      <c r="G717" s="10" t="s">
        <v>55</v>
      </c>
      <c r="H717" s="7" t="s">
        <v>24</v>
      </c>
      <c r="I717" s="7" t="s">
        <v>25</v>
      </c>
      <c r="J717" s="13" t="str">
        <f>HYPERLINK("https://www.airitibooks.com/Detail/Detail?PublicationID=P20200507061", "https://www.airitibooks.com/Detail/Detail?PublicationID=P20200507061")</f>
        <v>https://www.airitibooks.com/Detail/Detail?PublicationID=P20200507061</v>
      </c>
      <c r="K717" s="13" t="str">
        <f>HYPERLINK("https://ntsu.idm.oclc.org/login?url=https://www.airitibooks.com/Detail/Detail?PublicationID=P20200507061", "https://ntsu.idm.oclc.org/login?url=https://www.airitibooks.com/Detail/Detail?PublicationID=P20200507061")</f>
        <v>https://ntsu.idm.oclc.org/login?url=https://www.airitibooks.com/Detail/Detail?PublicationID=P20200507061</v>
      </c>
    </row>
    <row r="718" spans="1:11" ht="51" x14ac:dyDescent="0.4">
      <c r="A718" s="10" t="s">
        <v>6919</v>
      </c>
      <c r="B718" s="10" t="s">
        <v>14082</v>
      </c>
      <c r="C718" s="10" t="s">
        <v>1504</v>
      </c>
      <c r="D718" s="10" t="s">
        <v>6921</v>
      </c>
      <c r="E718" s="10" t="s">
        <v>3219</v>
      </c>
      <c r="F718" s="10" t="s">
        <v>6922</v>
      </c>
      <c r="G718" s="10" t="s">
        <v>55</v>
      </c>
      <c r="H718" s="7" t="s">
        <v>24</v>
      </c>
      <c r="I718" s="7" t="s">
        <v>25</v>
      </c>
      <c r="J718" s="13" t="str">
        <f>HYPERLINK("https://www.airitibooks.com/Detail/Detail?PublicationID=P20200507062", "https://www.airitibooks.com/Detail/Detail?PublicationID=P20200507062")</f>
        <v>https://www.airitibooks.com/Detail/Detail?PublicationID=P20200507062</v>
      </c>
      <c r="K718" s="13" t="str">
        <f>HYPERLINK("https://ntsu.idm.oclc.org/login?url=https://www.airitibooks.com/Detail/Detail?PublicationID=P20200507062", "https://ntsu.idm.oclc.org/login?url=https://www.airitibooks.com/Detail/Detail?PublicationID=P20200507062")</f>
        <v>https://ntsu.idm.oclc.org/login?url=https://www.airitibooks.com/Detail/Detail?PublicationID=P20200507062</v>
      </c>
    </row>
    <row r="719" spans="1:11" ht="51" x14ac:dyDescent="0.4">
      <c r="A719" s="10" t="s">
        <v>14228</v>
      </c>
      <c r="B719" s="10" t="s">
        <v>14229</v>
      </c>
      <c r="C719" s="10" t="s">
        <v>7164</v>
      </c>
      <c r="D719" s="10" t="s">
        <v>14230</v>
      </c>
      <c r="E719" s="10" t="s">
        <v>3219</v>
      </c>
      <c r="F719" s="10" t="s">
        <v>1462</v>
      </c>
      <c r="G719" s="10" t="s">
        <v>55</v>
      </c>
      <c r="H719" s="7" t="s">
        <v>24</v>
      </c>
      <c r="I719" s="7" t="s">
        <v>25</v>
      </c>
      <c r="J719" s="13" t="str">
        <f>HYPERLINK("https://www.airitibooks.com/Detail/Detail?PublicationID=P20200521193", "https://www.airitibooks.com/Detail/Detail?PublicationID=P20200521193")</f>
        <v>https://www.airitibooks.com/Detail/Detail?PublicationID=P20200521193</v>
      </c>
      <c r="K719" s="13" t="str">
        <f>HYPERLINK("https://ntsu.idm.oclc.org/login?url=https://www.airitibooks.com/Detail/Detail?PublicationID=P20200521193", "https://ntsu.idm.oclc.org/login?url=https://www.airitibooks.com/Detail/Detail?PublicationID=P20200521193")</f>
        <v>https://ntsu.idm.oclc.org/login?url=https://www.airitibooks.com/Detail/Detail?PublicationID=P20200521193</v>
      </c>
    </row>
    <row r="720" spans="1:11" ht="51" x14ac:dyDescent="0.4">
      <c r="A720" s="10" t="s">
        <v>14231</v>
      </c>
      <c r="B720" s="10" t="s">
        <v>14232</v>
      </c>
      <c r="C720" s="10" t="s">
        <v>7164</v>
      </c>
      <c r="D720" s="10" t="s">
        <v>14233</v>
      </c>
      <c r="E720" s="10" t="s">
        <v>3219</v>
      </c>
      <c r="F720" s="10" t="s">
        <v>946</v>
      </c>
      <c r="G720" s="10" t="s">
        <v>55</v>
      </c>
      <c r="H720" s="7" t="s">
        <v>24</v>
      </c>
      <c r="I720" s="7" t="s">
        <v>25</v>
      </c>
      <c r="J720" s="13" t="str">
        <f>HYPERLINK("https://www.airitibooks.com/Detail/Detail?PublicationID=P20200521194", "https://www.airitibooks.com/Detail/Detail?PublicationID=P20200521194")</f>
        <v>https://www.airitibooks.com/Detail/Detail?PublicationID=P20200521194</v>
      </c>
      <c r="K720" s="13" t="str">
        <f>HYPERLINK("https://ntsu.idm.oclc.org/login?url=https://www.airitibooks.com/Detail/Detail?PublicationID=P20200521194", "https://ntsu.idm.oclc.org/login?url=https://www.airitibooks.com/Detail/Detail?PublicationID=P20200521194")</f>
        <v>https://ntsu.idm.oclc.org/login?url=https://www.airitibooks.com/Detail/Detail?PublicationID=P20200521194</v>
      </c>
    </row>
    <row r="721" spans="1:11" ht="51" x14ac:dyDescent="0.4">
      <c r="A721" s="10" t="s">
        <v>14240</v>
      </c>
      <c r="B721" s="10" t="s">
        <v>14241</v>
      </c>
      <c r="C721" s="10" t="s">
        <v>11995</v>
      </c>
      <c r="D721" s="10" t="s">
        <v>14242</v>
      </c>
      <c r="E721" s="10" t="s">
        <v>3219</v>
      </c>
      <c r="F721" s="10" t="s">
        <v>1462</v>
      </c>
      <c r="G721" s="10" t="s">
        <v>55</v>
      </c>
      <c r="H721" s="7" t="s">
        <v>24</v>
      </c>
      <c r="I721" s="7" t="s">
        <v>25</v>
      </c>
      <c r="J721" s="13" t="str">
        <f>HYPERLINK("https://www.airitibooks.com/Detail/Detail?PublicationID=P20200521220", "https://www.airitibooks.com/Detail/Detail?PublicationID=P20200521220")</f>
        <v>https://www.airitibooks.com/Detail/Detail?PublicationID=P20200521220</v>
      </c>
      <c r="K721" s="13" t="str">
        <f>HYPERLINK("https://ntsu.idm.oclc.org/login?url=https://www.airitibooks.com/Detail/Detail?PublicationID=P20200521220", "https://ntsu.idm.oclc.org/login?url=https://www.airitibooks.com/Detail/Detail?PublicationID=P20200521220")</f>
        <v>https://ntsu.idm.oclc.org/login?url=https://www.airitibooks.com/Detail/Detail?PublicationID=P20200521220</v>
      </c>
    </row>
    <row r="722" spans="1:11" ht="51" x14ac:dyDescent="0.4">
      <c r="A722" s="10" t="s">
        <v>14478</v>
      </c>
      <c r="B722" s="10" t="s">
        <v>14479</v>
      </c>
      <c r="C722" s="10" t="s">
        <v>1504</v>
      </c>
      <c r="D722" s="10" t="s">
        <v>14480</v>
      </c>
      <c r="E722" s="10" t="s">
        <v>3219</v>
      </c>
      <c r="F722" s="10" t="s">
        <v>14481</v>
      </c>
      <c r="G722" s="10" t="s">
        <v>55</v>
      </c>
      <c r="H722" s="7" t="s">
        <v>24</v>
      </c>
      <c r="I722" s="7" t="s">
        <v>25</v>
      </c>
      <c r="J722" s="13" t="str">
        <f>HYPERLINK("https://www.airitibooks.com/Detail/Detail?PublicationID=P20200717053", "https://www.airitibooks.com/Detail/Detail?PublicationID=P20200717053")</f>
        <v>https://www.airitibooks.com/Detail/Detail?PublicationID=P20200717053</v>
      </c>
      <c r="K722" s="13" t="str">
        <f>HYPERLINK("https://ntsu.idm.oclc.org/login?url=https://www.airitibooks.com/Detail/Detail?PublicationID=P20200717053", "https://ntsu.idm.oclc.org/login?url=https://www.airitibooks.com/Detail/Detail?PublicationID=P20200717053")</f>
        <v>https://ntsu.idm.oclc.org/login?url=https://www.airitibooks.com/Detail/Detail?PublicationID=P20200717053</v>
      </c>
    </row>
    <row r="723" spans="1:11" ht="68" x14ac:dyDescent="0.4">
      <c r="A723" s="10" t="s">
        <v>14482</v>
      </c>
      <c r="B723" s="10" t="s">
        <v>14483</v>
      </c>
      <c r="C723" s="10" t="s">
        <v>1504</v>
      </c>
      <c r="D723" s="10" t="s">
        <v>12735</v>
      </c>
      <c r="E723" s="10" t="s">
        <v>3219</v>
      </c>
      <c r="F723" s="10" t="s">
        <v>12736</v>
      </c>
      <c r="G723" s="10" t="s">
        <v>55</v>
      </c>
      <c r="H723" s="7" t="s">
        <v>24</v>
      </c>
      <c r="I723" s="7" t="s">
        <v>25</v>
      </c>
      <c r="J723" s="13" t="str">
        <f>HYPERLINK("https://www.airitibooks.com/Detail/Detail?PublicationID=P20200717064", "https://www.airitibooks.com/Detail/Detail?PublicationID=P20200717064")</f>
        <v>https://www.airitibooks.com/Detail/Detail?PublicationID=P20200717064</v>
      </c>
      <c r="K723" s="13" t="str">
        <f>HYPERLINK("https://ntsu.idm.oclc.org/login?url=https://www.airitibooks.com/Detail/Detail?PublicationID=P20200717064", "https://ntsu.idm.oclc.org/login?url=https://www.airitibooks.com/Detail/Detail?PublicationID=P20200717064")</f>
        <v>https://ntsu.idm.oclc.org/login?url=https://www.airitibooks.com/Detail/Detail?PublicationID=P20200717064</v>
      </c>
    </row>
    <row r="724" spans="1:11" ht="51" x14ac:dyDescent="0.4">
      <c r="A724" s="10" t="s">
        <v>14932</v>
      </c>
      <c r="B724" s="10" t="s">
        <v>14933</v>
      </c>
      <c r="C724" s="10" t="s">
        <v>12989</v>
      </c>
      <c r="D724" s="10" t="s">
        <v>14934</v>
      </c>
      <c r="E724" s="10" t="s">
        <v>3219</v>
      </c>
      <c r="F724" s="10" t="s">
        <v>1462</v>
      </c>
      <c r="G724" s="10" t="s">
        <v>55</v>
      </c>
      <c r="H724" s="7" t="s">
        <v>1031</v>
      </c>
      <c r="I724" s="7" t="s">
        <v>25</v>
      </c>
      <c r="J724" s="13" t="str">
        <f>HYPERLINK("https://www.airitibooks.com/Detail/Detail?PublicationID=P20201120103", "https://www.airitibooks.com/Detail/Detail?PublicationID=P20201120103")</f>
        <v>https://www.airitibooks.com/Detail/Detail?PublicationID=P20201120103</v>
      </c>
      <c r="K724" s="13" t="str">
        <f>HYPERLINK("https://ntsu.idm.oclc.org/login?url=https://www.airitibooks.com/Detail/Detail?PublicationID=P20201120103", "https://ntsu.idm.oclc.org/login?url=https://www.airitibooks.com/Detail/Detail?PublicationID=P20201120103")</f>
        <v>https://ntsu.idm.oclc.org/login?url=https://www.airitibooks.com/Detail/Detail?PublicationID=P20201120103</v>
      </c>
    </row>
    <row r="725" spans="1:11" ht="51" x14ac:dyDescent="0.4">
      <c r="A725" s="10" t="s">
        <v>14960</v>
      </c>
      <c r="B725" s="10" t="s">
        <v>14961</v>
      </c>
      <c r="C725" s="10" t="s">
        <v>14955</v>
      </c>
      <c r="D725" s="10" t="s">
        <v>14962</v>
      </c>
      <c r="E725" s="10" t="s">
        <v>3219</v>
      </c>
      <c r="F725" s="10" t="s">
        <v>14963</v>
      </c>
      <c r="G725" s="10" t="s">
        <v>55</v>
      </c>
      <c r="H725" s="7" t="s">
        <v>1031</v>
      </c>
      <c r="I725" s="7" t="s">
        <v>25</v>
      </c>
      <c r="J725" s="13" t="str">
        <f>HYPERLINK("https://www.airitibooks.com/Detail/Detail?PublicationID=P20201125027", "https://www.airitibooks.com/Detail/Detail?PublicationID=P20201125027")</f>
        <v>https://www.airitibooks.com/Detail/Detail?PublicationID=P20201125027</v>
      </c>
      <c r="K725" s="13" t="str">
        <f>HYPERLINK("https://ntsu.idm.oclc.org/login?url=https://www.airitibooks.com/Detail/Detail?PublicationID=P20201125027", "https://ntsu.idm.oclc.org/login?url=https://www.airitibooks.com/Detail/Detail?PublicationID=P20201125027")</f>
        <v>https://ntsu.idm.oclc.org/login?url=https://www.airitibooks.com/Detail/Detail?PublicationID=P20201125027</v>
      </c>
    </row>
    <row r="726" spans="1:11" ht="51" x14ac:dyDescent="0.4">
      <c r="A726" s="10" t="s">
        <v>10892</v>
      </c>
      <c r="B726" s="10" t="s">
        <v>10893</v>
      </c>
      <c r="C726" s="10" t="s">
        <v>2367</v>
      </c>
      <c r="D726" s="10" t="s">
        <v>10801</v>
      </c>
      <c r="E726" s="10" t="s">
        <v>3219</v>
      </c>
      <c r="F726" s="10" t="s">
        <v>7178</v>
      </c>
      <c r="G726" s="10" t="s">
        <v>87</v>
      </c>
      <c r="H726" s="7" t="s">
        <v>24</v>
      </c>
      <c r="I726" s="7" t="s">
        <v>25</v>
      </c>
      <c r="J726" s="13" t="str">
        <f>HYPERLINK("https://www.airitibooks.com/Detail/Detail?PublicationID=P20190225003", "https://www.airitibooks.com/Detail/Detail?PublicationID=P20190225003")</f>
        <v>https://www.airitibooks.com/Detail/Detail?PublicationID=P20190225003</v>
      </c>
      <c r="K726" s="13" t="str">
        <f>HYPERLINK("https://ntsu.idm.oclc.org/login?url=https://www.airitibooks.com/Detail/Detail?PublicationID=P20190225003", "https://ntsu.idm.oclc.org/login?url=https://www.airitibooks.com/Detail/Detail?PublicationID=P20190225003")</f>
        <v>https://ntsu.idm.oclc.org/login?url=https://www.airitibooks.com/Detail/Detail?PublicationID=P20190225003</v>
      </c>
    </row>
    <row r="727" spans="1:11" ht="85" x14ac:dyDescent="0.4">
      <c r="A727" s="10" t="s">
        <v>11049</v>
      </c>
      <c r="B727" s="10" t="s">
        <v>11050</v>
      </c>
      <c r="C727" s="10" t="s">
        <v>108</v>
      </c>
      <c r="D727" s="10" t="s">
        <v>11051</v>
      </c>
      <c r="E727" s="10" t="s">
        <v>3219</v>
      </c>
      <c r="F727" s="10" t="s">
        <v>3303</v>
      </c>
      <c r="G727" s="10" t="s">
        <v>87</v>
      </c>
      <c r="H727" s="7" t="s">
        <v>24</v>
      </c>
      <c r="I727" s="7" t="s">
        <v>25</v>
      </c>
      <c r="J727" s="13" t="str">
        <f>HYPERLINK("https://www.airitibooks.com/Detail/Detail?PublicationID=P20190419002", "https://www.airitibooks.com/Detail/Detail?PublicationID=P20190419002")</f>
        <v>https://www.airitibooks.com/Detail/Detail?PublicationID=P20190419002</v>
      </c>
      <c r="K727" s="13" t="str">
        <f>HYPERLINK("https://ntsu.idm.oclc.org/login?url=https://www.airitibooks.com/Detail/Detail?PublicationID=P20190419002", "https://ntsu.idm.oclc.org/login?url=https://www.airitibooks.com/Detail/Detail?PublicationID=P20190419002")</f>
        <v>https://ntsu.idm.oclc.org/login?url=https://www.airitibooks.com/Detail/Detail?PublicationID=P20190419002</v>
      </c>
    </row>
    <row r="728" spans="1:11" ht="51" x14ac:dyDescent="0.4">
      <c r="A728" s="10" t="s">
        <v>11215</v>
      </c>
      <c r="B728" s="10" t="s">
        <v>11216</v>
      </c>
      <c r="C728" s="10" t="s">
        <v>11191</v>
      </c>
      <c r="D728" s="10" t="s">
        <v>11217</v>
      </c>
      <c r="E728" s="10" t="s">
        <v>3219</v>
      </c>
      <c r="F728" s="10" t="s">
        <v>232</v>
      </c>
      <c r="G728" s="10" t="s">
        <v>87</v>
      </c>
      <c r="H728" s="7" t="s">
        <v>24</v>
      </c>
      <c r="I728" s="7" t="s">
        <v>25</v>
      </c>
      <c r="J728" s="13" t="str">
        <f>HYPERLINK("https://www.airitibooks.com/Detail/Detail?PublicationID=P20190425136", "https://www.airitibooks.com/Detail/Detail?PublicationID=P20190425136")</f>
        <v>https://www.airitibooks.com/Detail/Detail?PublicationID=P20190425136</v>
      </c>
      <c r="K728" s="13" t="str">
        <f>HYPERLINK("https://ntsu.idm.oclc.org/login?url=https://www.airitibooks.com/Detail/Detail?PublicationID=P20190425136", "https://ntsu.idm.oclc.org/login?url=https://www.airitibooks.com/Detail/Detail?PublicationID=P20190425136")</f>
        <v>https://ntsu.idm.oclc.org/login?url=https://www.airitibooks.com/Detail/Detail?PublicationID=P20190425136</v>
      </c>
    </row>
    <row r="729" spans="1:11" ht="68" x14ac:dyDescent="0.4">
      <c r="A729" s="10" t="s">
        <v>11340</v>
      </c>
      <c r="B729" s="10" t="s">
        <v>11341</v>
      </c>
      <c r="C729" s="10" t="s">
        <v>791</v>
      </c>
      <c r="D729" s="10" t="s">
        <v>11342</v>
      </c>
      <c r="E729" s="10" t="s">
        <v>3219</v>
      </c>
      <c r="F729" s="10" t="s">
        <v>399</v>
      </c>
      <c r="G729" s="10" t="s">
        <v>87</v>
      </c>
      <c r="H729" s="7" t="s">
        <v>24</v>
      </c>
      <c r="I729" s="7" t="s">
        <v>25</v>
      </c>
      <c r="J729" s="13" t="str">
        <f>HYPERLINK("https://www.airitibooks.com/Detail/Detail?PublicationID=P20190517018", "https://www.airitibooks.com/Detail/Detail?PublicationID=P20190517018")</f>
        <v>https://www.airitibooks.com/Detail/Detail?PublicationID=P20190517018</v>
      </c>
      <c r="K729" s="13" t="str">
        <f>HYPERLINK("https://ntsu.idm.oclc.org/login?url=https://www.airitibooks.com/Detail/Detail?PublicationID=P20190517018", "https://ntsu.idm.oclc.org/login?url=https://www.airitibooks.com/Detail/Detail?PublicationID=P20190517018")</f>
        <v>https://ntsu.idm.oclc.org/login?url=https://www.airitibooks.com/Detail/Detail?PublicationID=P20190517018</v>
      </c>
    </row>
    <row r="730" spans="1:11" ht="51" x14ac:dyDescent="0.4">
      <c r="A730" s="10" t="s">
        <v>11343</v>
      </c>
      <c r="B730" s="10" t="s">
        <v>11344</v>
      </c>
      <c r="C730" s="10" t="s">
        <v>499</v>
      </c>
      <c r="D730" s="10" t="s">
        <v>11345</v>
      </c>
      <c r="E730" s="10" t="s">
        <v>3219</v>
      </c>
      <c r="F730" s="10" t="s">
        <v>7178</v>
      </c>
      <c r="G730" s="10" t="s">
        <v>87</v>
      </c>
      <c r="H730" s="7" t="s">
        <v>24</v>
      </c>
      <c r="I730" s="7" t="s">
        <v>25</v>
      </c>
      <c r="J730" s="13" t="str">
        <f>HYPERLINK("https://www.airitibooks.com/Detail/Detail?PublicationID=P20190517026", "https://www.airitibooks.com/Detail/Detail?PublicationID=P20190517026")</f>
        <v>https://www.airitibooks.com/Detail/Detail?PublicationID=P20190517026</v>
      </c>
      <c r="K730" s="13" t="str">
        <f>HYPERLINK("https://ntsu.idm.oclc.org/login?url=https://www.airitibooks.com/Detail/Detail?PublicationID=P20190517026", "https://ntsu.idm.oclc.org/login?url=https://www.airitibooks.com/Detail/Detail?PublicationID=P20190517026")</f>
        <v>https://ntsu.idm.oclc.org/login?url=https://www.airitibooks.com/Detail/Detail?PublicationID=P20190517026</v>
      </c>
    </row>
    <row r="731" spans="1:11" ht="85" x14ac:dyDescent="0.4">
      <c r="A731" s="10" t="s">
        <v>11706</v>
      </c>
      <c r="B731" s="10" t="s">
        <v>11707</v>
      </c>
      <c r="C731" s="10" t="s">
        <v>746</v>
      </c>
      <c r="D731" s="10" t="s">
        <v>11708</v>
      </c>
      <c r="E731" s="10" t="s">
        <v>3219</v>
      </c>
      <c r="F731" s="10" t="s">
        <v>144</v>
      </c>
      <c r="G731" s="10" t="s">
        <v>87</v>
      </c>
      <c r="H731" s="7" t="s">
        <v>24</v>
      </c>
      <c r="I731" s="7" t="s">
        <v>25</v>
      </c>
      <c r="J731" s="13" t="str">
        <f>HYPERLINK("https://www.airitibooks.com/Detail/Detail?PublicationID=P20190614196", "https://www.airitibooks.com/Detail/Detail?PublicationID=P20190614196")</f>
        <v>https://www.airitibooks.com/Detail/Detail?PublicationID=P20190614196</v>
      </c>
      <c r="K731" s="13" t="str">
        <f>HYPERLINK("https://ntsu.idm.oclc.org/login?url=https://www.airitibooks.com/Detail/Detail?PublicationID=P20190614196", "https://ntsu.idm.oclc.org/login?url=https://www.airitibooks.com/Detail/Detail?PublicationID=P20190614196")</f>
        <v>https://ntsu.idm.oclc.org/login?url=https://www.airitibooks.com/Detail/Detail?PublicationID=P20190614196</v>
      </c>
    </row>
    <row r="732" spans="1:11" ht="51" x14ac:dyDescent="0.4">
      <c r="A732" s="10" t="s">
        <v>11760</v>
      </c>
      <c r="B732" s="10" t="s">
        <v>11761</v>
      </c>
      <c r="C732" s="10" t="s">
        <v>130</v>
      </c>
      <c r="D732" s="10" t="s">
        <v>11762</v>
      </c>
      <c r="E732" s="10" t="s">
        <v>3219</v>
      </c>
      <c r="F732" s="10" t="s">
        <v>144</v>
      </c>
      <c r="G732" s="10" t="s">
        <v>87</v>
      </c>
      <c r="H732" s="7" t="s">
        <v>24</v>
      </c>
      <c r="I732" s="7" t="s">
        <v>25</v>
      </c>
      <c r="J732" s="13" t="str">
        <f>HYPERLINK("https://www.airitibooks.com/Detail/Detail?PublicationID=P20190620024", "https://www.airitibooks.com/Detail/Detail?PublicationID=P20190620024")</f>
        <v>https://www.airitibooks.com/Detail/Detail?PublicationID=P20190620024</v>
      </c>
      <c r="K732" s="13" t="str">
        <f>HYPERLINK("https://ntsu.idm.oclc.org/login?url=https://www.airitibooks.com/Detail/Detail?PublicationID=P20190620024", "https://ntsu.idm.oclc.org/login?url=https://www.airitibooks.com/Detail/Detail?PublicationID=P20190620024")</f>
        <v>https://ntsu.idm.oclc.org/login?url=https://www.airitibooks.com/Detail/Detail?PublicationID=P20190620024</v>
      </c>
    </row>
    <row r="733" spans="1:11" ht="51" x14ac:dyDescent="0.4">
      <c r="A733" s="10" t="s">
        <v>11763</v>
      </c>
      <c r="B733" s="10" t="s">
        <v>11764</v>
      </c>
      <c r="C733" s="10" t="s">
        <v>130</v>
      </c>
      <c r="D733" s="10" t="s">
        <v>2775</v>
      </c>
      <c r="E733" s="10" t="s">
        <v>3219</v>
      </c>
      <c r="F733" s="10" t="s">
        <v>381</v>
      </c>
      <c r="G733" s="10" t="s">
        <v>87</v>
      </c>
      <c r="H733" s="7" t="s">
        <v>24</v>
      </c>
      <c r="I733" s="7" t="s">
        <v>25</v>
      </c>
      <c r="J733" s="13" t="str">
        <f>HYPERLINK("https://www.airitibooks.com/Detail/Detail?PublicationID=P20190620025", "https://www.airitibooks.com/Detail/Detail?PublicationID=P20190620025")</f>
        <v>https://www.airitibooks.com/Detail/Detail?PublicationID=P20190620025</v>
      </c>
      <c r="K733" s="13" t="str">
        <f>HYPERLINK("https://ntsu.idm.oclc.org/login?url=https://www.airitibooks.com/Detail/Detail?PublicationID=P20190620025", "https://ntsu.idm.oclc.org/login?url=https://www.airitibooks.com/Detail/Detail?PublicationID=P20190620025")</f>
        <v>https://ntsu.idm.oclc.org/login?url=https://www.airitibooks.com/Detail/Detail?PublicationID=P20190620025</v>
      </c>
    </row>
    <row r="734" spans="1:11" ht="51" x14ac:dyDescent="0.4">
      <c r="A734" s="10" t="s">
        <v>11765</v>
      </c>
      <c r="B734" s="10" t="s">
        <v>11766</v>
      </c>
      <c r="C734" s="10" t="s">
        <v>130</v>
      </c>
      <c r="D734" s="10" t="s">
        <v>11767</v>
      </c>
      <c r="E734" s="10" t="s">
        <v>3219</v>
      </c>
      <c r="F734" s="10" t="s">
        <v>7178</v>
      </c>
      <c r="G734" s="10" t="s">
        <v>87</v>
      </c>
      <c r="H734" s="7" t="s">
        <v>24</v>
      </c>
      <c r="I734" s="7" t="s">
        <v>25</v>
      </c>
      <c r="J734" s="13" t="str">
        <f>HYPERLINK("https://www.airitibooks.com/Detail/Detail?PublicationID=P20190620026", "https://www.airitibooks.com/Detail/Detail?PublicationID=P20190620026")</f>
        <v>https://www.airitibooks.com/Detail/Detail?PublicationID=P20190620026</v>
      </c>
      <c r="K734" s="13" t="str">
        <f>HYPERLINK("https://ntsu.idm.oclc.org/login?url=https://www.airitibooks.com/Detail/Detail?PublicationID=P20190620026", "https://ntsu.idm.oclc.org/login?url=https://www.airitibooks.com/Detail/Detail?PublicationID=P20190620026")</f>
        <v>https://ntsu.idm.oclc.org/login?url=https://www.airitibooks.com/Detail/Detail?PublicationID=P20190620026</v>
      </c>
    </row>
    <row r="735" spans="1:11" ht="51" x14ac:dyDescent="0.4">
      <c r="A735" s="10" t="s">
        <v>11768</v>
      </c>
      <c r="B735" s="10" t="s">
        <v>11769</v>
      </c>
      <c r="C735" s="10" t="s">
        <v>130</v>
      </c>
      <c r="D735" s="10" t="s">
        <v>9175</v>
      </c>
      <c r="E735" s="10" t="s">
        <v>3219</v>
      </c>
      <c r="F735" s="10" t="s">
        <v>7178</v>
      </c>
      <c r="G735" s="10" t="s">
        <v>87</v>
      </c>
      <c r="H735" s="7" t="s">
        <v>24</v>
      </c>
      <c r="I735" s="7" t="s">
        <v>25</v>
      </c>
      <c r="J735" s="13" t="str">
        <f>HYPERLINK("https://www.airitibooks.com/Detail/Detail?PublicationID=P20190620027", "https://www.airitibooks.com/Detail/Detail?PublicationID=P20190620027")</f>
        <v>https://www.airitibooks.com/Detail/Detail?PublicationID=P20190620027</v>
      </c>
      <c r="K735" s="13" t="str">
        <f>HYPERLINK("https://ntsu.idm.oclc.org/login?url=https://www.airitibooks.com/Detail/Detail?PublicationID=P20190620027", "https://ntsu.idm.oclc.org/login?url=https://www.airitibooks.com/Detail/Detail?PublicationID=P20190620027")</f>
        <v>https://ntsu.idm.oclc.org/login?url=https://www.airitibooks.com/Detail/Detail?PublicationID=P20190620027</v>
      </c>
    </row>
    <row r="736" spans="1:11" ht="51" x14ac:dyDescent="0.4">
      <c r="A736" s="10" t="s">
        <v>11787</v>
      </c>
      <c r="B736" s="10" t="s">
        <v>11788</v>
      </c>
      <c r="C736" s="10" t="s">
        <v>428</v>
      </c>
      <c r="D736" s="10" t="s">
        <v>11789</v>
      </c>
      <c r="E736" s="10" t="s">
        <v>3219</v>
      </c>
      <c r="F736" s="10" t="s">
        <v>144</v>
      </c>
      <c r="G736" s="10" t="s">
        <v>87</v>
      </c>
      <c r="H736" s="7" t="s">
        <v>24</v>
      </c>
      <c r="I736" s="7" t="s">
        <v>25</v>
      </c>
      <c r="J736" s="13" t="str">
        <f>HYPERLINK("https://www.airitibooks.com/Detail/Detail?PublicationID=P20190620049", "https://www.airitibooks.com/Detail/Detail?PublicationID=P20190620049")</f>
        <v>https://www.airitibooks.com/Detail/Detail?PublicationID=P20190620049</v>
      </c>
      <c r="K736" s="13" t="str">
        <f>HYPERLINK("https://ntsu.idm.oclc.org/login?url=https://www.airitibooks.com/Detail/Detail?PublicationID=P20190620049", "https://ntsu.idm.oclc.org/login?url=https://www.airitibooks.com/Detail/Detail?PublicationID=P20190620049")</f>
        <v>https://ntsu.idm.oclc.org/login?url=https://www.airitibooks.com/Detail/Detail?PublicationID=P20190620049</v>
      </c>
    </row>
    <row r="737" spans="1:11" ht="51" x14ac:dyDescent="0.4">
      <c r="A737" s="10" t="s">
        <v>11790</v>
      </c>
      <c r="B737" s="10" t="s">
        <v>11791</v>
      </c>
      <c r="C737" s="10" t="s">
        <v>428</v>
      </c>
      <c r="D737" s="10" t="s">
        <v>11792</v>
      </c>
      <c r="E737" s="10" t="s">
        <v>3219</v>
      </c>
      <c r="F737" s="10" t="s">
        <v>1208</v>
      </c>
      <c r="G737" s="10" t="s">
        <v>87</v>
      </c>
      <c r="H737" s="7" t="s">
        <v>24</v>
      </c>
      <c r="I737" s="7" t="s">
        <v>25</v>
      </c>
      <c r="J737" s="13" t="str">
        <f>HYPERLINK("https://www.airitibooks.com/Detail/Detail?PublicationID=P20190620050", "https://www.airitibooks.com/Detail/Detail?PublicationID=P20190620050")</f>
        <v>https://www.airitibooks.com/Detail/Detail?PublicationID=P20190620050</v>
      </c>
      <c r="K737" s="13" t="str">
        <f>HYPERLINK("https://ntsu.idm.oclc.org/login?url=https://www.airitibooks.com/Detail/Detail?PublicationID=P20190620050", "https://ntsu.idm.oclc.org/login?url=https://www.airitibooks.com/Detail/Detail?PublicationID=P20190620050")</f>
        <v>https://ntsu.idm.oclc.org/login?url=https://www.airitibooks.com/Detail/Detail?PublicationID=P20190620050</v>
      </c>
    </row>
    <row r="738" spans="1:11" ht="51" x14ac:dyDescent="0.4">
      <c r="A738" s="10" t="s">
        <v>11793</v>
      </c>
      <c r="B738" s="10" t="s">
        <v>11794</v>
      </c>
      <c r="C738" s="10" t="s">
        <v>428</v>
      </c>
      <c r="D738" s="10" t="s">
        <v>11795</v>
      </c>
      <c r="E738" s="10" t="s">
        <v>3219</v>
      </c>
      <c r="F738" s="10" t="s">
        <v>1208</v>
      </c>
      <c r="G738" s="10" t="s">
        <v>87</v>
      </c>
      <c r="H738" s="7" t="s">
        <v>24</v>
      </c>
      <c r="I738" s="7" t="s">
        <v>25</v>
      </c>
      <c r="J738" s="13" t="str">
        <f>HYPERLINK("https://www.airitibooks.com/Detail/Detail?PublicationID=P20190620052", "https://www.airitibooks.com/Detail/Detail?PublicationID=P20190620052")</f>
        <v>https://www.airitibooks.com/Detail/Detail?PublicationID=P20190620052</v>
      </c>
      <c r="K738" s="13" t="str">
        <f>HYPERLINK("https://ntsu.idm.oclc.org/login?url=https://www.airitibooks.com/Detail/Detail?PublicationID=P20190620052", "https://ntsu.idm.oclc.org/login?url=https://www.airitibooks.com/Detail/Detail?PublicationID=P20190620052")</f>
        <v>https://ntsu.idm.oclc.org/login?url=https://www.airitibooks.com/Detail/Detail?PublicationID=P20190620052</v>
      </c>
    </row>
    <row r="739" spans="1:11" ht="51" x14ac:dyDescent="0.4">
      <c r="A739" s="10" t="s">
        <v>11796</v>
      </c>
      <c r="B739" s="10" t="s">
        <v>11797</v>
      </c>
      <c r="C739" s="10" t="s">
        <v>428</v>
      </c>
      <c r="D739" s="10" t="s">
        <v>7767</v>
      </c>
      <c r="E739" s="10" t="s">
        <v>3219</v>
      </c>
      <c r="F739" s="10" t="s">
        <v>144</v>
      </c>
      <c r="G739" s="10" t="s">
        <v>87</v>
      </c>
      <c r="H739" s="7" t="s">
        <v>24</v>
      </c>
      <c r="I739" s="7" t="s">
        <v>25</v>
      </c>
      <c r="J739" s="13" t="str">
        <f>HYPERLINK("https://www.airitibooks.com/Detail/Detail?PublicationID=P20190620053", "https://www.airitibooks.com/Detail/Detail?PublicationID=P20190620053")</f>
        <v>https://www.airitibooks.com/Detail/Detail?PublicationID=P20190620053</v>
      </c>
      <c r="K739" s="13" t="str">
        <f>HYPERLINK("https://ntsu.idm.oclc.org/login?url=https://www.airitibooks.com/Detail/Detail?PublicationID=P20190620053", "https://ntsu.idm.oclc.org/login?url=https://www.airitibooks.com/Detail/Detail?PublicationID=P20190620053")</f>
        <v>https://ntsu.idm.oclc.org/login?url=https://www.airitibooks.com/Detail/Detail?PublicationID=P20190620053</v>
      </c>
    </row>
    <row r="740" spans="1:11" ht="51" x14ac:dyDescent="0.4">
      <c r="A740" s="10" t="s">
        <v>11798</v>
      </c>
      <c r="B740" s="10" t="s">
        <v>11799</v>
      </c>
      <c r="C740" s="10" t="s">
        <v>428</v>
      </c>
      <c r="D740" s="10" t="s">
        <v>11800</v>
      </c>
      <c r="E740" s="10" t="s">
        <v>3219</v>
      </c>
      <c r="F740" s="10" t="s">
        <v>1208</v>
      </c>
      <c r="G740" s="10" t="s">
        <v>87</v>
      </c>
      <c r="H740" s="7" t="s">
        <v>24</v>
      </c>
      <c r="I740" s="7" t="s">
        <v>25</v>
      </c>
      <c r="J740" s="13" t="str">
        <f>HYPERLINK("https://www.airitibooks.com/Detail/Detail?PublicationID=P20190620054", "https://www.airitibooks.com/Detail/Detail?PublicationID=P20190620054")</f>
        <v>https://www.airitibooks.com/Detail/Detail?PublicationID=P20190620054</v>
      </c>
      <c r="K740" s="13" t="str">
        <f>HYPERLINK("https://ntsu.idm.oclc.org/login?url=https://www.airitibooks.com/Detail/Detail?PublicationID=P20190620054", "https://ntsu.idm.oclc.org/login?url=https://www.airitibooks.com/Detail/Detail?PublicationID=P20190620054")</f>
        <v>https://ntsu.idm.oclc.org/login?url=https://www.airitibooks.com/Detail/Detail?PublicationID=P20190620054</v>
      </c>
    </row>
    <row r="741" spans="1:11" ht="51" x14ac:dyDescent="0.4">
      <c r="A741" s="10" t="s">
        <v>11801</v>
      </c>
      <c r="B741" s="10" t="s">
        <v>11802</v>
      </c>
      <c r="C741" s="10" t="s">
        <v>428</v>
      </c>
      <c r="D741" s="10" t="s">
        <v>11803</v>
      </c>
      <c r="E741" s="10" t="s">
        <v>3219</v>
      </c>
      <c r="F741" s="10" t="s">
        <v>138</v>
      </c>
      <c r="G741" s="10" t="s">
        <v>87</v>
      </c>
      <c r="H741" s="7" t="s">
        <v>24</v>
      </c>
      <c r="I741" s="7" t="s">
        <v>25</v>
      </c>
      <c r="J741" s="13" t="str">
        <f>HYPERLINK("https://www.airitibooks.com/Detail/Detail?PublicationID=P20190620055", "https://www.airitibooks.com/Detail/Detail?PublicationID=P20190620055")</f>
        <v>https://www.airitibooks.com/Detail/Detail?PublicationID=P20190620055</v>
      </c>
      <c r="K741" s="13" t="str">
        <f>HYPERLINK("https://ntsu.idm.oclc.org/login?url=https://www.airitibooks.com/Detail/Detail?PublicationID=P20190620055", "https://ntsu.idm.oclc.org/login?url=https://www.airitibooks.com/Detail/Detail?PublicationID=P20190620055")</f>
        <v>https://ntsu.idm.oclc.org/login?url=https://www.airitibooks.com/Detail/Detail?PublicationID=P20190620055</v>
      </c>
    </row>
    <row r="742" spans="1:11" ht="51" x14ac:dyDescent="0.4">
      <c r="A742" s="10" t="s">
        <v>11804</v>
      </c>
      <c r="B742" s="10" t="s">
        <v>11805</v>
      </c>
      <c r="C742" s="10" t="s">
        <v>428</v>
      </c>
      <c r="D742" s="10" t="s">
        <v>11806</v>
      </c>
      <c r="E742" s="10" t="s">
        <v>3219</v>
      </c>
      <c r="F742" s="10" t="s">
        <v>399</v>
      </c>
      <c r="G742" s="10" t="s">
        <v>87</v>
      </c>
      <c r="H742" s="7" t="s">
        <v>24</v>
      </c>
      <c r="I742" s="7" t="s">
        <v>25</v>
      </c>
      <c r="J742" s="13" t="str">
        <f>HYPERLINK("https://www.airitibooks.com/Detail/Detail?PublicationID=P20190620056", "https://www.airitibooks.com/Detail/Detail?PublicationID=P20190620056")</f>
        <v>https://www.airitibooks.com/Detail/Detail?PublicationID=P20190620056</v>
      </c>
      <c r="K742" s="13" t="str">
        <f>HYPERLINK("https://ntsu.idm.oclc.org/login?url=https://www.airitibooks.com/Detail/Detail?PublicationID=P20190620056", "https://ntsu.idm.oclc.org/login?url=https://www.airitibooks.com/Detail/Detail?PublicationID=P20190620056")</f>
        <v>https://ntsu.idm.oclc.org/login?url=https://www.airitibooks.com/Detail/Detail?PublicationID=P20190620056</v>
      </c>
    </row>
    <row r="743" spans="1:11" ht="51" x14ac:dyDescent="0.4">
      <c r="A743" s="10" t="s">
        <v>11807</v>
      </c>
      <c r="B743" s="10" t="s">
        <v>11808</v>
      </c>
      <c r="C743" s="10" t="s">
        <v>428</v>
      </c>
      <c r="D743" s="10" t="s">
        <v>11809</v>
      </c>
      <c r="E743" s="10" t="s">
        <v>3219</v>
      </c>
      <c r="F743" s="10" t="s">
        <v>144</v>
      </c>
      <c r="G743" s="10" t="s">
        <v>87</v>
      </c>
      <c r="H743" s="7" t="s">
        <v>24</v>
      </c>
      <c r="I743" s="7" t="s">
        <v>25</v>
      </c>
      <c r="J743" s="13" t="str">
        <f>HYPERLINK("https://www.airitibooks.com/Detail/Detail?PublicationID=P20190620059", "https://www.airitibooks.com/Detail/Detail?PublicationID=P20190620059")</f>
        <v>https://www.airitibooks.com/Detail/Detail?PublicationID=P20190620059</v>
      </c>
      <c r="K743" s="13" t="str">
        <f>HYPERLINK("https://ntsu.idm.oclc.org/login?url=https://www.airitibooks.com/Detail/Detail?PublicationID=P20190620059", "https://ntsu.idm.oclc.org/login?url=https://www.airitibooks.com/Detail/Detail?PublicationID=P20190620059")</f>
        <v>https://ntsu.idm.oclc.org/login?url=https://www.airitibooks.com/Detail/Detail?PublicationID=P20190620059</v>
      </c>
    </row>
    <row r="744" spans="1:11" ht="51" x14ac:dyDescent="0.4">
      <c r="A744" s="10" t="s">
        <v>11813</v>
      </c>
      <c r="B744" s="10" t="s">
        <v>11814</v>
      </c>
      <c r="C744" s="10" t="s">
        <v>297</v>
      </c>
      <c r="D744" s="10" t="s">
        <v>5695</v>
      </c>
      <c r="E744" s="10" t="s">
        <v>3219</v>
      </c>
      <c r="F744" s="10" t="s">
        <v>475</v>
      </c>
      <c r="G744" s="10" t="s">
        <v>87</v>
      </c>
      <c r="H744" s="7" t="s">
        <v>24</v>
      </c>
      <c r="I744" s="7" t="s">
        <v>25</v>
      </c>
      <c r="J744" s="13" t="str">
        <f>HYPERLINK("https://www.airitibooks.com/Detail/Detail?PublicationID=P20190620061", "https://www.airitibooks.com/Detail/Detail?PublicationID=P20190620061")</f>
        <v>https://www.airitibooks.com/Detail/Detail?PublicationID=P20190620061</v>
      </c>
      <c r="K744" s="13" t="str">
        <f>HYPERLINK("https://ntsu.idm.oclc.org/login?url=https://www.airitibooks.com/Detail/Detail?PublicationID=P20190620061", "https://ntsu.idm.oclc.org/login?url=https://www.airitibooks.com/Detail/Detail?PublicationID=P20190620061")</f>
        <v>https://ntsu.idm.oclc.org/login?url=https://www.airitibooks.com/Detail/Detail?PublicationID=P20190620061</v>
      </c>
    </row>
    <row r="745" spans="1:11" ht="51" x14ac:dyDescent="0.4">
      <c r="A745" s="10" t="s">
        <v>11815</v>
      </c>
      <c r="B745" s="10" t="s">
        <v>11816</v>
      </c>
      <c r="C745" s="10" t="s">
        <v>297</v>
      </c>
      <c r="D745" s="10" t="s">
        <v>5695</v>
      </c>
      <c r="E745" s="10" t="s">
        <v>3219</v>
      </c>
      <c r="F745" s="10" t="s">
        <v>475</v>
      </c>
      <c r="G745" s="10" t="s">
        <v>87</v>
      </c>
      <c r="H745" s="7" t="s">
        <v>24</v>
      </c>
      <c r="I745" s="7" t="s">
        <v>25</v>
      </c>
      <c r="J745" s="13" t="str">
        <f>HYPERLINK("https://www.airitibooks.com/Detail/Detail?PublicationID=P20190620062", "https://www.airitibooks.com/Detail/Detail?PublicationID=P20190620062")</f>
        <v>https://www.airitibooks.com/Detail/Detail?PublicationID=P20190620062</v>
      </c>
      <c r="K745" s="13" t="str">
        <f>HYPERLINK("https://ntsu.idm.oclc.org/login?url=https://www.airitibooks.com/Detail/Detail?PublicationID=P20190620062", "https://ntsu.idm.oclc.org/login?url=https://www.airitibooks.com/Detail/Detail?PublicationID=P20190620062")</f>
        <v>https://ntsu.idm.oclc.org/login?url=https://www.airitibooks.com/Detail/Detail?PublicationID=P20190620062</v>
      </c>
    </row>
    <row r="746" spans="1:11" ht="68" x14ac:dyDescent="0.4">
      <c r="A746" s="10" t="s">
        <v>11977</v>
      </c>
      <c r="B746" s="10" t="s">
        <v>11978</v>
      </c>
      <c r="C746" s="10" t="s">
        <v>791</v>
      </c>
      <c r="D746" s="10" t="s">
        <v>11979</v>
      </c>
      <c r="E746" s="10" t="s">
        <v>3219</v>
      </c>
      <c r="F746" s="10" t="s">
        <v>1440</v>
      </c>
      <c r="G746" s="10" t="s">
        <v>87</v>
      </c>
      <c r="H746" s="7" t="s">
        <v>24</v>
      </c>
      <c r="I746" s="7" t="s">
        <v>25</v>
      </c>
      <c r="J746" s="13" t="str">
        <f>HYPERLINK("https://www.airitibooks.com/Detail/Detail?PublicationID=P20190718031", "https://www.airitibooks.com/Detail/Detail?PublicationID=P20190718031")</f>
        <v>https://www.airitibooks.com/Detail/Detail?PublicationID=P20190718031</v>
      </c>
      <c r="K746" s="13" t="str">
        <f>HYPERLINK("https://ntsu.idm.oclc.org/login?url=https://www.airitibooks.com/Detail/Detail?PublicationID=P20190718031", "https://ntsu.idm.oclc.org/login?url=https://www.airitibooks.com/Detail/Detail?PublicationID=P20190718031")</f>
        <v>https://ntsu.idm.oclc.org/login?url=https://www.airitibooks.com/Detail/Detail?PublicationID=P20190718031</v>
      </c>
    </row>
    <row r="747" spans="1:11" ht="102" x14ac:dyDescent="0.4">
      <c r="A747" s="10" t="s">
        <v>12001</v>
      </c>
      <c r="B747" s="10" t="s">
        <v>12002</v>
      </c>
      <c r="C747" s="10" t="s">
        <v>12003</v>
      </c>
      <c r="D747" s="10" t="s">
        <v>12004</v>
      </c>
      <c r="E747" s="10" t="s">
        <v>3219</v>
      </c>
      <c r="F747" s="10" t="s">
        <v>12005</v>
      </c>
      <c r="G747" s="10" t="s">
        <v>87</v>
      </c>
      <c r="H747" s="7" t="s">
        <v>24</v>
      </c>
      <c r="I747" s="7" t="s">
        <v>25</v>
      </c>
      <c r="J747" s="13" t="str">
        <f>HYPERLINK("https://www.airitibooks.com/Detail/Detail?PublicationID=P20190718066", "https://www.airitibooks.com/Detail/Detail?PublicationID=P20190718066")</f>
        <v>https://www.airitibooks.com/Detail/Detail?PublicationID=P20190718066</v>
      </c>
      <c r="K747" s="13" t="str">
        <f>HYPERLINK("https://ntsu.idm.oclc.org/login?url=https://www.airitibooks.com/Detail/Detail?PublicationID=P20190718066", "https://ntsu.idm.oclc.org/login?url=https://www.airitibooks.com/Detail/Detail?PublicationID=P20190718066")</f>
        <v>https://ntsu.idm.oclc.org/login?url=https://www.airitibooks.com/Detail/Detail?PublicationID=P20190718066</v>
      </c>
    </row>
    <row r="748" spans="1:11" ht="51" x14ac:dyDescent="0.4">
      <c r="A748" s="10" t="s">
        <v>12024</v>
      </c>
      <c r="B748" s="10" t="s">
        <v>12025</v>
      </c>
      <c r="C748" s="10" t="s">
        <v>130</v>
      </c>
      <c r="D748" s="10" t="s">
        <v>12026</v>
      </c>
      <c r="E748" s="10" t="s">
        <v>3219</v>
      </c>
      <c r="F748" s="10" t="s">
        <v>144</v>
      </c>
      <c r="G748" s="10" t="s">
        <v>87</v>
      </c>
      <c r="H748" s="7" t="s">
        <v>24</v>
      </c>
      <c r="I748" s="7" t="s">
        <v>25</v>
      </c>
      <c r="J748" s="13" t="str">
        <f>HYPERLINK("https://www.airitibooks.com/Detail/Detail?PublicationID=P20190816026", "https://www.airitibooks.com/Detail/Detail?PublicationID=P20190816026")</f>
        <v>https://www.airitibooks.com/Detail/Detail?PublicationID=P20190816026</v>
      </c>
      <c r="K748" s="13" t="str">
        <f>HYPERLINK("https://ntsu.idm.oclc.org/login?url=https://www.airitibooks.com/Detail/Detail?PublicationID=P20190816026", "https://ntsu.idm.oclc.org/login?url=https://www.airitibooks.com/Detail/Detail?PublicationID=P20190816026")</f>
        <v>https://ntsu.idm.oclc.org/login?url=https://www.airitibooks.com/Detail/Detail?PublicationID=P20190816026</v>
      </c>
    </row>
    <row r="749" spans="1:11" ht="51" x14ac:dyDescent="0.4">
      <c r="A749" s="10" t="s">
        <v>12027</v>
      </c>
      <c r="B749" s="10" t="s">
        <v>12028</v>
      </c>
      <c r="C749" s="10" t="s">
        <v>130</v>
      </c>
      <c r="D749" s="10" t="s">
        <v>4161</v>
      </c>
      <c r="E749" s="10" t="s">
        <v>3219</v>
      </c>
      <c r="F749" s="10" t="s">
        <v>144</v>
      </c>
      <c r="G749" s="10" t="s">
        <v>87</v>
      </c>
      <c r="H749" s="7" t="s">
        <v>24</v>
      </c>
      <c r="I749" s="7" t="s">
        <v>25</v>
      </c>
      <c r="J749" s="13" t="str">
        <f>HYPERLINK("https://www.airitibooks.com/Detail/Detail?PublicationID=P20190816027", "https://www.airitibooks.com/Detail/Detail?PublicationID=P20190816027")</f>
        <v>https://www.airitibooks.com/Detail/Detail?PublicationID=P20190816027</v>
      </c>
      <c r="K749" s="13" t="str">
        <f>HYPERLINK("https://ntsu.idm.oclc.org/login?url=https://www.airitibooks.com/Detail/Detail?PublicationID=P20190816027", "https://ntsu.idm.oclc.org/login?url=https://www.airitibooks.com/Detail/Detail?PublicationID=P20190816027")</f>
        <v>https://ntsu.idm.oclc.org/login?url=https://www.airitibooks.com/Detail/Detail?PublicationID=P20190816027</v>
      </c>
    </row>
    <row r="750" spans="1:11" ht="51" x14ac:dyDescent="0.4">
      <c r="A750" s="10" t="s">
        <v>12029</v>
      </c>
      <c r="B750" s="10" t="s">
        <v>12030</v>
      </c>
      <c r="C750" s="10" t="s">
        <v>130</v>
      </c>
      <c r="D750" s="10" t="s">
        <v>5612</v>
      </c>
      <c r="E750" s="10" t="s">
        <v>3219</v>
      </c>
      <c r="F750" s="10" t="s">
        <v>144</v>
      </c>
      <c r="G750" s="10" t="s">
        <v>87</v>
      </c>
      <c r="H750" s="7" t="s">
        <v>24</v>
      </c>
      <c r="I750" s="7" t="s">
        <v>25</v>
      </c>
      <c r="J750" s="13" t="str">
        <f>HYPERLINK("https://www.airitibooks.com/Detail/Detail?PublicationID=P20190816028", "https://www.airitibooks.com/Detail/Detail?PublicationID=P20190816028")</f>
        <v>https://www.airitibooks.com/Detail/Detail?PublicationID=P20190816028</v>
      </c>
      <c r="K750" s="13" t="str">
        <f>HYPERLINK("https://ntsu.idm.oclc.org/login?url=https://www.airitibooks.com/Detail/Detail?PublicationID=P20190816028", "https://ntsu.idm.oclc.org/login?url=https://www.airitibooks.com/Detail/Detail?PublicationID=P20190816028")</f>
        <v>https://ntsu.idm.oclc.org/login?url=https://www.airitibooks.com/Detail/Detail?PublicationID=P20190816028</v>
      </c>
    </row>
    <row r="751" spans="1:11" ht="68" x14ac:dyDescent="0.4">
      <c r="A751" s="10" t="s">
        <v>12049</v>
      </c>
      <c r="B751" s="10" t="s">
        <v>12050</v>
      </c>
      <c r="C751" s="10" t="s">
        <v>568</v>
      </c>
      <c r="D751" s="10" t="s">
        <v>12051</v>
      </c>
      <c r="E751" s="10" t="s">
        <v>3219</v>
      </c>
      <c r="F751" s="10" t="s">
        <v>144</v>
      </c>
      <c r="G751" s="10" t="s">
        <v>87</v>
      </c>
      <c r="H751" s="7" t="s">
        <v>24</v>
      </c>
      <c r="I751" s="7" t="s">
        <v>25</v>
      </c>
      <c r="J751" s="13" t="str">
        <f>HYPERLINK("https://www.airitibooks.com/Detail/Detail?PublicationID=P20190816076", "https://www.airitibooks.com/Detail/Detail?PublicationID=P20190816076")</f>
        <v>https://www.airitibooks.com/Detail/Detail?PublicationID=P20190816076</v>
      </c>
      <c r="K751" s="13" t="str">
        <f>HYPERLINK("https://ntsu.idm.oclc.org/login?url=https://www.airitibooks.com/Detail/Detail?PublicationID=P20190816076", "https://ntsu.idm.oclc.org/login?url=https://www.airitibooks.com/Detail/Detail?PublicationID=P20190816076")</f>
        <v>https://ntsu.idm.oclc.org/login?url=https://www.airitibooks.com/Detail/Detail?PublicationID=P20190816076</v>
      </c>
    </row>
    <row r="752" spans="1:11" ht="51" x14ac:dyDescent="0.4">
      <c r="A752" s="10" t="s">
        <v>12069</v>
      </c>
      <c r="B752" s="10" t="s">
        <v>12070</v>
      </c>
      <c r="C752" s="10" t="s">
        <v>746</v>
      </c>
      <c r="D752" s="10" t="s">
        <v>12071</v>
      </c>
      <c r="E752" s="10" t="s">
        <v>3219</v>
      </c>
      <c r="F752" s="10" t="s">
        <v>12072</v>
      </c>
      <c r="G752" s="10" t="s">
        <v>87</v>
      </c>
      <c r="H752" s="7" t="s">
        <v>24</v>
      </c>
      <c r="I752" s="7" t="s">
        <v>25</v>
      </c>
      <c r="J752" s="13" t="str">
        <f>HYPERLINK("https://www.airitibooks.com/Detail/Detail?PublicationID=P20190816094", "https://www.airitibooks.com/Detail/Detail?PublicationID=P20190816094")</f>
        <v>https://www.airitibooks.com/Detail/Detail?PublicationID=P20190816094</v>
      </c>
      <c r="K752" s="13" t="str">
        <f>HYPERLINK("https://ntsu.idm.oclc.org/login?url=https://www.airitibooks.com/Detail/Detail?PublicationID=P20190816094", "https://ntsu.idm.oclc.org/login?url=https://www.airitibooks.com/Detail/Detail?PublicationID=P20190816094")</f>
        <v>https://ntsu.idm.oclc.org/login?url=https://www.airitibooks.com/Detail/Detail?PublicationID=P20190816094</v>
      </c>
    </row>
    <row r="753" spans="1:11" ht="51" x14ac:dyDescent="0.4">
      <c r="A753" s="10" t="s">
        <v>12083</v>
      </c>
      <c r="B753" s="10" t="s">
        <v>12084</v>
      </c>
      <c r="C753" s="10" t="s">
        <v>746</v>
      </c>
      <c r="D753" s="10" t="s">
        <v>12085</v>
      </c>
      <c r="E753" s="10" t="s">
        <v>3219</v>
      </c>
      <c r="F753" s="10" t="s">
        <v>12086</v>
      </c>
      <c r="G753" s="10" t="s">
        <v>87</v>
      </c>
      <c r="H753" s="7" t="s">
        <v>24</v>
      </c>
      <c r="I753" s="7" t="s">
        <v>25</v>
      </c>
      <c r="J753" s="13" t="str">
        <f>HYPERLINK("https://www.airitibooks.com/Detail/Detail?PublicationID=P20190816098", "https://www.airitibooks.com/Detail/Detail?PublicationID=P20190816098")</f>
        <v>https://www.airitibooks.com/Detail/Detail?PublicationID=P20190816098</v>
      </c>
      <c r="K753" s="13" t="str">
        <f>HYPERLINK("https://ntsu.idm.oclc.org/login?url=https://www.airitibooks.com/Detail/Detail?PublicationID=P20190816098", "https://ntsu.idm.oclc.org/login?url=https://www.airitibooks.com/Detail/Detail?PublicationID=P20190816098")</f>
        <v>https://ntsu.idm.oclc.org/login?url=https://www.airitibooks.com/Detail/Detail?PublicationID=P20190816098</v>
      </c>
    </row>
    <row r="754" spans="1:11" ht="68" x14ac:dyDescent="0.4">
      <c r="A754" s="10" t="s">
        <v>12171</v>
      </c>
      <c r="B754" s="10" t="s">
        <v>12172</v>
      </c>
      <c r="C754" s="10" t="s">
        <v>791</v>
      </c>
      <c r="D754" s="10" t="s">
        <v>12173</v>
      </c>
      <c r="E754" s="10" t="s">
        <v>3219</v>
      </c>
      <c r="F754" s="10" t="s">
        <v>2717</v>
      </c>
      <c r="G754" s="10" t="s">
        <v>87</v>
      </c>
      <c r="H754" s="7" t="s">
        <v>24</v>
      </c>
      <c r="I754" s="7" t="s">
        <v>25</v>
      </c>
      <c r="J754" s="13" t="str">
        <f>HYPERLINK("https://www.airitibooks.com/Detail/Detail?PublicationID=P20190823008", "https://www.airitibooks.com/Detail/Detail?PublicationID=P20190823008")</f>
        <v>https://www.airitibooks.com/Detail/Detail?PublicationID=P20190823008</v>
      </c>
      <c r="K754" s="13" t="str">
        <f>HYPERLINK("https://ntsu.idm.oclc.org/login?url=https://www.airitibooks.com/Detail/Detail?PublicationID=P20190823008", "https://ntsu.idm.oclc.org/login?url=https://www.airitibooks.com/Detail/Detail?PublicationID=P20190823008")</f>
        <v>https://ntsu.idm.oclc.org/login?url=https://www.airitibooks.com/Detail/Detail?PublicationID=P20190823008</v>
      </c>
    </row>
    <row r="755" spans="1:11" ht="51" x14ac:dyDescent="0.4">
      <c r="A755" s="10" t="s">
        <v>12213</v>
      </c>
      <c r="B755" s="10" t="s">
        <v>12214</v>
      </c>
      <c r="C755" s="10" t="s">
        <v>240</v>
      </c>
      <c r="D755" s="10" t="s">
        <v>12215</v>
      </c>
      <c r="E755" s="10" t="s">
        <v>3219</v>
      </c>
      <c r="F755" s="10" t="s">
        <v>1286</v>
      </c>
      <c r="G755" s="10" t="s">
        <v>87</v>
      </c>
      <c r="H755" s="7" t="s">
        <v>24</v>
      </c>
      <c r="I755" s="7" t="s">
        <v>25</v>
      </c>
      <c r="J755" s="13" t="str">
        <f>HYPERLINK("https://www.airitibooks.com/Detail/Detail?PublicationID=P20190905031", "https://www.airitibooks.com/Detail/Detail?PublicationID=P20190905031")</f>
        <v>https://www.airitibooks.com/Detail/Detail?PublicationID=P20190905031</v>
      </c>
      <c r="K755" s="13" t="str">
        <f>HYPERLINK("https://ntsu.idm.oclc.org/login?url=https://www.airitibooks.com/Detail/Detail?PublicationID=P20190905031", "https://ntsu.idm.oclc.org/login?url=https://www.airitibooks.com/Detail/Detail?PublicationID=P20190905031")</f>
        <v>https://ntsu.idm.oclc.org/login?url=https://www.airitibooks.com/Detail/Detail?PublicationID=P20190905031</v>
      </c>
    </row>
    <row r="756" spans="1:11" ht="51" x14ac:dyDescent="0.4">
      <c r="A756" s="10" t="s">
        <v>6033</v>
      </c>
      <c r="B756" s="10" t="s">
        <v>12250</v>
      </c>
      <c r="C756" s="10" t="s">
        <v>938</v>
      </c>
      <c r="D756" s="10" t="s">
        <v>6035</v>
      </c>
      <c r="E756" s="10" t="s">
        <v>3219</v>
      </c>
      <c r="F756" s="10" t="s">
        <v>2063</v>
      </c>
      <c r="G756" s="10" t="s">
        <v>87</v>
      </c>
      <c r="H756" s="7" t="s">
        <v>24</v>
      </c>
      <c r="I756" s="7" t="s">
        <v>25</v>
      </c>
      <c r="J756" s="13" t="str">
        <f>HYPERLINK("https://www.airitibooks.com/Detail/Detail?PublicationID=P20190911001", "https://www.airitibooks.com/Detail/Detail?PublicationID=P20190911001")</f>
        <v>https://www.airitibooks.com/Detail/Detail?PublicationID=P20190911001</v>
      </c>
      <c r="K756" s="13" t="str">
        <f>HYPERLINK("https://ntsu.idm.oclc.org/login?url=https://www.airitibooks.com/Detail/Detail?PublicationID=P20190911001", "https://ntsu.idm.oclc.org/login?url=https://www.airitibooks.com/Detail/Detail?PublicationID=P20190911001")</f>
        <v>https://ntsu.idm.oclc.org/login?url=https://www.airitibooks.com/Detail/Detail?PublicationID=P20190911001</v>
      </c>
    </row>
    <row r="757" spans="1:11" ht="51" x14ac:dyDescent="0.4">
      <c r="A757" s="10" t="s">
        <v>12281</v>
      </c>
      <c r="B757" s="10" t="s">
        <v>12282</v>
      </c>
      <c r="C757" s="10" t="s">
        <v>1253</v>
      </c>
      <c r="D757" s="10" t="s">
        <v>12283</v>
      </c>
      <c r="E757" s="10" t="s">
        <v>3219</v>
      </c>
      <c r="F757" s="10" t="s">
        <v>399</v>
      </c>
      <c r="G757" s="10" t="s">
        <v>87</v>
      </c>
      <c r="H757" s="7" t="s">
        <v>24</v>
      </c>
      <c r="I757" s="7" t="s">
        <v>25</v>
      </c>
      <c r="J757" s="13" t="str">
        <f>HYPERLINK("https://www.airitibooks.com/Detail/Detail?PublicationID=P20190920019", "https://www.airitibooks.com/Detail/Detail?PublicationID=P20190920019")</f>
        <v>https://www.airitibooks.com/Detail/Detail?PublicationID=P20190920019</v>
      </c>
      <c r="K757" s="13" t="str">
        <f>HYPERLINK("https://ntsu.idm.oclc.org/login?url=https://www.airitibooks.com/Detail/Detail?PublicationID=P20190920019", "https://ntsu.idm.oclc.org/login?url=https://www.airitibooks.com/Detail/Detail?PublicationID=P20190920019")</f>
        <v>https://ntsu.idm.oclc.org/login?url=https://www.airitibooks.com/Detail/Detail?PublicationID=P20190920019</v>
      </c>
    </row>
    <row r="758" spans="1:11" ht="51" x14ac:dyDescent="0.4">
      <c r="A758" s="10" t="s">
        <v>12302</v>
      </c>
      <c r="B758" s="10" t="s">
        <v>12303</v>
      </c>
      <c r="C758" s="10" t="s">
        <v>428</v>
      </c>
      <c r="D758" s="10" t="s">
        <v>12304</v>
      </c>
      <c r="E758" s="10" t="s">
        <v>3219</v>
      </c>
      <c r="F758" s="10" t="s">
        <v>1208</v>
      </c>
      <c r="G758" s="10" t="s">
        <v>87</v>
      </c>
      <c r="H758" s="7" t="s">
        <v>24</v>
      </c>
      <c r="I758" s="7" t="s">
        <v>25</v>
      </c>
      <c r="J758" s="13" t="str">
        <f>HYPERLINK("https://www.airitibooks.com/Detail/Detail?PublicationID=P20190920094", "https://www.airitibooks.com/Detail/Detail?PublicationID=P20190920094")</f>
        <v>https://www.airitibooks.com/Detail/Detail?PublicationID=P20190920094</v>
      </c>
      <c r="K758" s="13" t="str">
        <f>HYPERLINK("https://ntsu.idm.oclc.org/login?url=https://www.airitibooks.com/Detail/Detail?PublicationID=P20190920094", "https://ntsu.idm.oclc.org/login?url=https://www.airitibooks.com/Detail/Detail?PublicationID=P20190920094")</f>
        <v>https://ntsu.idm.oclc.org/login?url=https://www.airitibooks.com/Detail/Detail?PublicationID=P20190920094</v>
      </c>
    </row>
    <row r="759" spans="1:11" ht="51" x14ac:dyDescent="0.4">
      <c r="A759" s="10" t="s">
        <v>12305</v>
      </c>
      <c r="B759" s="10" t="s">
        <v>12306</v>
      </c>
      <c r="C759" s="10" t="s">
        <v>428</v>
      </c>
      <c r="D759" s="10" t="s">
        <v>12304</v>
      </c>
      <c r="E759" s="10" t="s">
        <v>3219</v>
      </c>
      <c r="F759" s="10" t="s">
        <v>144</v>
      </c>
      <c r="G759" s="10" t="s">
        <v>87</v>
      </c>
      <c r="H759" s="7" t="s">
        <v>24</v>
      </c>
      <c r="I759" s="7" t="s">
        <v>25</v>
      </c>
      <c r="J759" s="13" t="str">
        <f>HYPERLINK("https://www.airitibooks.com/Detail/Detail?PublicationID=P20190920095", "https://www.airitibooks.com/Detail/Detail?PublicationID=P20190920095")</f>
        <v>https://www.airitibooks.com/Detail/Detail?PublicationID=P20190920095</v>
      </c>
      <c r="K759" s="13" t="str">
        <f>HYPERLINK("https://ntsu.idm.oclc.org/login?url=https://www.airitibooks.com/Detail/Detail?PublicationID=P20190920095", "https://ntsu.idm.oclc.org/login?url=https://www.airitibooks.com/Detail/Detail?PublicationID=P20190920095")</f>
        <v>https://ntsu.idm.oclc.org/login?url=https://www.airitibooks.com/Detail/Detail?PublicationID=P20190920095</v>
      </c>
    </row>
    <row r="760" spans="1:11" ht="51" x14ac:dyDescent="0.4">
      <c r="A760" s="10" t="s">
        <v>12307</v>
      </c>
      <c r="B760" s="10" t="s">
        <v>12308</v>
      </c>
      <c r="C760" s="10" t="s">
        <v>428</v>
      </c>
      <c r="D760" s="10" t="s">
        <v>12309</v>
      </c>
      <c r="E760" s="10" t="s">
        <v>3219</v>
      </c>
      <c r="F760" s="10" t="s">
        <v>1100</v>
      </c>
      <c r="G760" s="10" t="s">
        <v>87</v>
      </c>
      <c r="H760" s="7" t="s">
        <v>24</v>
      </c>
      <c r="I760" s="7" t="s">
        <v>25</v>
      </c>
      <c r="J760" s="13" t="str">
        <f>HYPERLINK("https://www.airitibooks.com/Detail/Detail?PublicationID=P20190920097", "https://www.airitibooks.com/Detail/Detail?PublicationID=P20190920097")</f>
        <v>https://www.airitibooks.com/Detail/Detail?PublicationID=P20190920097</v>
      </c>
      <c r="K760" s="13" t="str">
        <f>HYPERLINK("https://ntsu.idm.oclc.org/login?url=https://www.airitibooks.com/Detail/Detail?PublicationID=P20190920097", "https://ntsu.idm.oclc.org/login?url=https://www.airitibooks.com/Detail/Detail?PublicationID=P20190920097")</f>
        <v>https://ntsu.idm.oclc.org/login?url=https://www.airitibooks.com/Detail/Detail?PublicationID=P20190920097</v>
      </c>
    </row>
    <row r="761" spans="1:11" ht="51" x14ac:dyDescent="0.4">
      <c r="A761" s="10" t="s">
        <v>12313</v>
      </c>
      <c r="B761" s="10" t="s">
        <v>12314</v>
      </c>
      <c r="C761" s="10" t="s">
        <v>297</v>
      </c>
      <c r="D761" s="10" t="s">
        <v>12315</v>
      </c>
      <c r="E761" s="10" t="s">
        <v>3219</v>
      </c>
      <c r="F761" s="10" t="s">
        <v>144</v>
      </c>
      <c r="G761" s="10" t="s">
        <v>87</v>
      </c>
      <c r="H761" s="7" t="s">
        <v>24</v>
      </c>
      <c r="I761" s="7" t="s">
        <v>25</v>
      </c>
      <c r="J761" s="13" t="str">
        <f>HYPERLINK("https://www.airitibooks.com/Detail/Detail?PublicationID=P20190920100", "https://www.airitibooks.com/Detail/Detail?PublicationID=P20190920100")</f>
        <v>https://www.airitibooks.com/Detail/Detail?PublicationID=P20190920100</v>
      </c>
      <c r="K761" s="13" t="str">
        <f>HYPERLINK("https://ntsu.idm.oclc.org/login?url=https://www.airitibooks.com/Detail/Detail?PublicationID=P20190920100", "https://ntsu.idm.oclc.org/login?url=https://www.airitibooks.com/Detail/Detail?PublicationID=P20190920100")</f>
        <v>https://ntsu.idm.oclc.org/login?url=https://www.airitibooks.com/Detail/Detail?PublicationID=P20190920100</v>
      </c>
    </row>
    <row r="762" spans="1:11" ht="51" x14ac:dyDescent="0.4">
      <c r="A762" s="10" t="s">
        <v>5164</v>
      </c>
      <c r="B762" s="10" t="s">
        <v>12316</v>
      </c>
      <c r="C762" s="10" t="s">
        <v>297</v>
      </c>
      <c r="D762" s="10" t="s">
        <v>7791</v>
      </c>
      <c r="E762" s="10" t="s">
        <v>3219</v>
      </c>
      <c r="F762" s="10" t="s">
        <v>5167</v>
      </c>
      <c r="G762" s="10" t="s">
        <v>87</v>
      </c>
      <c r="H762" s="7" t="s">
        <v>24</v>
      </c>
      <c r="I762" s="7" t="s">
        <v>25</v>
      </c>
      <c r="J762" s="13" t="str">
        <f>HYPERLINK("https://www.airitibooks.com/Detail/Detail?PublicationID=P20190920101", "https://www.airitibooks.com/Detail/Detail?PublicationID=P20190920101")</f>
        <v>https://www.airitibooks.com/Detail/Detail?PublicationID=P20190920101</v>
      </c>
      <c r="K762" s="13" t="str">
        <f>HYPERLINK("https://ntsu.idm.oclc.org/login?url=https://www.airitibooks.com/Detail/Detail?PublicationID=P20190920101", "https://ntsu.idm.oclc.org/login?url=https://www.airitibooks.com/Detail/Detail?PublicationID=P20190920101")</f>
        <v>https://ntsu.idm.oclc.org/login?url=https://www.airitibooks.com/Detail/Detail?PublicationID=P20190920101</v>
      </c>
    </row>
    <row r="763" spans="1:11" ht="51" x14ac:dyDescent="0.4">
      <c r="A763" s="10" t="s">
        <v>12477</v>
      </c>
      <c r="B763" s="10" t="s">
        <v>12478</v>
      </c>
      <c r="C763" s="10" t="s">
        <v>12471</v>
      </c>
      <c r="D763" s="10" t="s">
        <v>12479</v>
      </c>
      <c r="E763" s="10" t="s">
        <v>3219</v>
      </c>
      <c r="F763" s="10" t="s">
        <v>12480</v>
      </c>
      <c r="G763" s="10" t="s">
        <v>87</v>
      </c>
      <c r="H763" s="7" t="s">
        <v>24</v>
      </c>
      <c r="I763" s="7" t="s">
        <v>25</v>
      </c>
      <c r="J763" s="13" t="str">
        <f>HYPERLINK("https://www.airitibooks.com/Detail/Detail?PublicationID=P20191005079", "https://www.airitibooks.com/Detail/Detail?PublicationID=P20191005079")</f>
        <v>https://www.airitibooks.com/Detail/Detail?PublicationID=P20191005079</v>
      </c>
      <c r="K763" s="13" t="str">
        <f>HYPERLINK("https://ntsu.idm.oclc.org/login?url=https://www.airitibooks.com/Detail/Detail?PublicationID=P20191005079", "https://ntsu.idm.oclc.org/login?url=https://www.airitibooks.com/Detail/Detail?PublicationID=P20191005079")</f>
        <v>https://ntsu.idm.oclc.org/login?url=https://www.airitibooks.com/Detail/Detail?PublicationID=P20191005079</v>
      </c>
    </row>
    <row r="764" spans="1:11" ht="51" x14ac:dyDescent="0.4">
      <c r="A764" s="10" t="s">
        <v>12707</v>
      </c>
      <c r="B764" s="10" t="s">
        <v>12708</v>
      </c>
      <c r="C764" s="10" t="s">
        <v>791</v>
      </c>
      <c r="D764" s="10" t="s">
        <v>12709</v>
      </c>
      <c r="E764" s="10" t="s">
        <v>3219</v>
      </c>
      <c r="F764" s="10" t="s">
        <v>12480</v>
      </c>
      <c r="G764" s="10" t="s">
        <v>87</v>
      </c>
      <c r="H764" s="7" t="s">
        <v>24</v>
      </c>
      <c r="I764" s="7" t="s">
        <v>25</v>
      </c>
      <c r="J764" s="13" t="str">
        <f>HYPERLINK("https://www.airitibooks.com/Detail/Detail?PublicationID=P20191023086", "https://www.airitibooks.com/Detail/Detail?PublicationID=P20191023086")</f>
        <v>https://www.airitibooks.com/Detail/Detail?PublicationID=P20191023086</v>
      </c>
      <c r="K764" s="13" t="str">
        <f>HYPERLINK("https://ntsu.idm.oclc.org/login?url=https://www.airitibooks.com/Detail/Detail?PublicationID=P20191023086", "https://ntsu.idm.oclc.org/login?url=https://www.airitibooks.com/Detail/Detail?PublicationID=P20191023086")</f>
        <v>https://ntsu.idm.oclc.org/login?url=https://www.airitibooks.com/Detail/Detail?PublicationID=P20191023086</v>
      </c>
    </row>
    <row r="765" spans="1:11" ht="119" x14ac:dyDescent="0.4">
      <c r="A765" s="10" t="s">
        <v>12737</v>
      </c>
      <c r="B765" s="10" t="s">
        <v>12738</v>
      </c>
      <c r="C765" s="10" t="s">
        <v>12241</v>
      </c>
      <c r="D765" s="10" t="s">
        <v>12739</v>
      </c>
      <c r="E765" s="10" t="s">
        <v>3219</v>
      </c>
      <c r="F765" s="10" t="s">
        <v>144</v>
      </c>
      <c r="G765" s="10" t="s">
        <v>87</v>
      </c>
      <c r="H765" s="7" t="s">
        <v>24</v>
      </c>
      <c r="I765" s="7" t="s">
        <v>25</v>
      </c>
      <c r="J765" s="13" t="str">
        <f>HYPERLINK("https://www.airitibooks.com/Detail/Detail?PublicationID=P20191023108", "https://www.airitibooks.com/Detail/Detail?PublicationID=P20191023108")</f>
        <v>https://www.airitibooks.com/Detail/Detail?PublicationID=P20191023108</v>
      </c>
      <c r="K765" s="13" t="str">
        <f>HYPERLINK("https://ntsu.idm.oclc.org/login?url=https://www.airitibooks.com/Detail/Detail?PublicationID=P20191023108", "https://ntsu.idm.oclc.org/login?url=https://www.airitibooks.com/Detail/Detail?PublicationID=P20191023108")</f>
        <v>https://ntsu.idm.oclc.org/login?url=https://www.airitibooks.com/Detail/Detail?PublicationID=P20191023108</v>
      </c>
    </row>
    <row r="766" spans="1:11" ht="51" x14ac:dyDescent="0.4">
      <c r="A766" s="10" t="s">
        <v>13044</v>
      </c>
      <c r="B766" s="10" t="s">
        <v>13045</v>
      </c>
      <c r="C766" s="10" t="s">
        <v>12154</v>
      </c>
      <c r="D766" s="10" t="s">
        <v>13046</v>
      </c>
      <c r="E766" s="10" t="s">
        <v>3219</v>
      </c>
      <c r="F766" s="10" t="s">
        <v>425</v>
      </c>
      <c r="G766" s="10" t="s">
        <v>87</v>
      </c>
      <c r="H766" s="7" t="s">
        <v>24</v>
      </c>
      <c r="I766" s="7" t="s">
        <v>25</v>
      </c>
      <c r="J766" s="13" t="str">
        <f>HYPERLINK("https://www.airitibooks.com/Detail/Detail?PublicationID=P20191128137", "https://www.airitibooks.com/Detail/Detail?PublicationID=P20191128137")</f>
        <v>https://www.airitibooks.com/Detail/Detail?PublicationID=P20191128137</v>
      </c>
      <c r="K766" s="13" t="str">
        <f>HYPERLINK("https://ntsu.idm.oclc.org/login?url=https://www.airitibooks.com/Detail/Detail?PublicationID=P20191128137", "https://ntsu.idm.oclc.org/login?url=https://www.airitibooks.com/Detail/Detail?PublicationID=P20191128137")</f>
        <v>https://ntsu.idm.oclc.org/login?url=https://www.airitibooks.com/Detail/Detail?PublicationID=P20191128137</v>
      </c>
    </row>
    <row r="767" spans="1:11" ht="51" x14ac:dyDescent="0.4">
      <c r="A767" s="10" t="s">
        <v>13069</v>
      </c>
      <c r="B767" s="10" t="s">
        <v>13070</v>
      </c>
      <c r="C767" s="10" t="s">
        <v>9915</v>
      </c>
      <c r="D767" s="10" t="s">
        <v>13071</v>
      </c>
      <c r="E767" s="10" t="s">
        <v>3219</v>
      </c>
      <c r="F767" s="10" t="s">
        <v>13072</v>
      </c>
      <c r="G767" s="10" t="s">
        <v>87</v>
      </c>
      <c r="H767" s="7" t="s">
        <v>24</v>
      </c>
      <c r="I767" s="7" t="s">
        <v>25</v>
      </c>
      <c r="J767" s="13" t="str">
        <f>HYPERLINK("https://www.airitibooks.com/Detail/Detail?PublicationID=P20191213196", "https://www.airitibooks.com/Detail/Detail?PublicationID=P20191213196")</f>
        <v>https://www.airitibooks.com/Detail/Detail?PublicationID=P20191213196</v>
      </c>
      <c r="K767" s="13" t="str">
        <f>HYPERLINK("https://ntsu.idm.oclc.org/login?url=https://www.airitibooks.com/Detail/Detail?PublicationID=P20191213196", "https://ntsu.idm.oclc.org/login?url=https://www.airitibooks.com/Detail/Detail?PublicationID=P20191213196")</f>
        <v>https://ntsu.idm.oclc.org/login?url=https://www.airitibooks.com/Detail/Detail?PublicationID=P20191213196</v>
      </c>
    </row>
    <row r="768" spans="1:11" ht="68" x14ac:dyDescent="0.4">
      <c r="A768" s="10" t="s">
        <v>13146</v>
      </c>
      <c r="B768" s="10" t="s">
        <v>13147</v>
      </c>
      <c r="C768" s="10" t="s">
        <v>108</v>
      </c>
      <c r="D768" s="10" t="s">
        <v>13148</v>
      </c>
      <c r="E768" s="10" t="s">
        <v>3219</v>
      </c>
      <c r="F768" s="10" t="s">
        <v>399</v>
      </c>
      <c r="G768" s="10" t="s">
        <v>87</v>
      </c>
      <c r="H768" s="7" t="s">
        <v>24</v>
      </c>
      <c r="I768" s="7" t="s">
        <v>25</v>
      </c>
      <c r="J768" s="13" t="str">
        <f>HYPERLINK("https://www.airitibooks.com/Detail/Detail?PublicationID=P20191226004", "https://www.airitibooks.com/Detail/Detail?PublicationID=P20191226004")</f>
        <v>https://www.airitibooks.com/Detail/Detail?PublicationID=P20191226004</v>
      </c>
      <c r="K768" s="13" t="str">
        <f>HYPERLINK("https://ntsu.idm.oclc.org/login?url=https://www.airitibooks.com/Detail/Detail?PublicationID=P20191226004", "https://ntsu.idm.oclc.org/login?url=https://www.airitibooks.com/Detail/Detail?PublicationID=P20191226004")</f>
        <v>https://ntsu.idm.oclc.org/login?url=https://www.airitibooks.com/Detail/Detail?PublicationID=P20191226004</v>
      </c>
    </row>
    <row r="769" spans="1:11" ht="51" x14ac:dyDescent="0.4">
      <c r="A769" s="10" t="s">
        <v>13152</v>
      </c>
      <c r="B769" s="10" t="s">
        <v>13153</v>
      </c>
      <c r="C769" s="10" t="s">
        <v>240</v>
      </c>
      <c r="D769" s="10" t="s">
        <v>13154</v>
      </c>
      <c r="E769" s="10" t="s">
        <v>3219</v>
      </c>
      <c r="F769" s="10" t="s">
        <v>399</v>
      </c>
      <c r="G769" s="10" t="s">
        <v>87</v>
      </c>
      <c r="H769" s="7" t="s">
        <v>24</v>
      </c>
      <c r="I769" s="7" t="s">
        <v>25</v>
      </c>
      <c r="J769" s="13" t="str">
        <f>HYPERLINK("https://www.airitibooks.com/Detail/Detail?PublicationID=P20191226014", "https://www.airitibooks.com/Detail/Detail?PublicationID=P20191226014")</f>
        <v>https://www.airitibooks.com/Detail/Detail?PublicationID=P20191226014</v>
      </c>
      <c r="K769" s="13" t="str">
        <f>HYPERLINK("https://ntsu.idm.oclc.org/login?url=https://www.airitibooks.com/Detail/Detail?PublicationID=P20191226014", "https://ntsu.idm.oclc.org/login?url=https://www.airitibooks.com/Detail/Detail?PublicationID=P20191226014")</f>
        <v>https://ntsu.idm.oclc.org/login?url=https://www.airitibooks.com/Detail/Detail?PublicationID=P20191226014</v>
      </c>
    </row>
    <row r="770" spans="1:11" ht="85" x14ac:dyDescent="0.4">
      <c r="A770" s="10" t="s">
        <v>13164</v>
      </c>
      <c r="B770" s="10" t="s">
        <v>13165</v>
      </c>
      <c r="C770" s="10" t="s">
        <v>791</v>
      </c>
      <c r="D770" s="10" t="s">
        <v>13166</v>
      </c>
      <c r="E770" s="10" t="s">
        <v>3219</v>
      </c>
      <c r="F770" s="10" t="s">
        <v>144</v>
      </c>
      <c r="G770" s="10" t="s">
        <v>87</v>
      </c>
      <c r="H770" s="7" t="s">
        <v>24</v>
      </c>
      <c r="I770" s="7" t="s">
        <v>25</v>
      </c>
      <c r="J770" s="13" t="str">
        <f>HYPERLINK("https://www.airitibooks.com/Detail/Detail?PublicationID=P20191226022", "https://www.airitibooks.com/Detail/Detail?PublicationID=P20191226022")</f>
        <v>https://www.airitibooks.com/Detail/Detail?PublicationID=P20191226022</v>
      </c>
      <c r="K770" s="13" t="str">
        <f>HYPERLINK("https://ntsu.idm.oclc.org/login?url=https://www.airitibooks.com/Detail/Detail?PublicationID=P20191226022", "https://ntsu.idm.oclc.org/login?url=https://www.airitibooks.com/Detail/Detail?PublicationID=P20191226022")</f>
        <v>https://ntsu.idm.oclc.org/login?url=https://www.airitibooks.com/Detail/Detail?PublicationID=P20191226022</v>
      </c>
    </row>
    <row r="771" spans="1:11" ht="51" x14ac:dyDescent="0.4">
      <c r="A771" s="10" t="s">
        <v>13228</v>
      </c>
      <c r="B771" s="10" t="s">
        <v>13229</v>
      </c>
      <c r="C771" s="10" t="s">
        <v>371</v>
      </c>
      <c r="D771" s="10" t="s">
        <v>13230</v>
      </c>
      <c r="E771" s="10" t="s">
        <v>3219</v>
      </c>
      <c r="F771" s="10" t="s">
        <v>7178</v>
      </c>
      <c r="G771" s="10" t="s">
        <v>87</v>
      </c>
      <c r="H771" s="7" t="s">
        <v>24</v>
      </c>
      <c r="I771" s="7" t="s">
        <v>25</v>
      </c>
      <c r="J771" s="13" t="str">
        <f>HYPERLINK("https://www.airitibooks.com/Detail/Detail?PublicationID=P20200103200", "https://www.airitibooks.com/Detail/Detail?PublicationID=P20200103200")</f>
        <v>https://www.airitibooks.com/Detail/Detail?PublicationID=P20200103200</v>
      </c>
      <c r="K771" s="13" t="str">
        <f>HYPERLINK("https://ntsu.idm.oclc.org/login?url=https://www.airitibooks.com/Detail/Detail?PublicationID=P20200103200", "https://ntsu.idm.oclc.org/login?url=https://www.airitibooks.com/Detail/Detail?PublicationID=P20200103200")</f>
        <v>https://ntsu.idm.oclc.org/login?url=https://www.airitibooks.com/Detail/Detail?PublicationID=P20200103200</v>
      </c>
    </row>
    <row r="772" spans="1:11" ht="51" x14ac:dyDescent="0.4">
      <c r="A772" s="10" t="s">
        <v>13231</v>
      </c>
      <c r="B772" s="10" t="s">
        <v>13232</v>
      </c>
      <c r="C772" s="10" t="s">
        <v>371</v>
      </c>
      <c r="D772" s="10" t="s">
        <v>13230</v>
      </c>
      <c r="E772" s="10" t="s">
        <v>3219</v>
      </c>
      <c r="F772" s="10" t="s">
        <v>7178</v>
      </c>
      <c r="G772" s="10" t="s">
        <v>87</v>
      </c>
      <c r="H772" s="7" t="s">
        <v>24</v>
      </c>
      <c r="I772" s="7" t="s">
        <v>25</v>
      </c>
      <c r="J772" s="13" t="str">
        <f>HYPERLINK("https://www.airitibooks.com/Detail/Detail?PublicationID=P20200103201", "https://www.airitibooks.com/Detail/Detail?PublicationID=P20200103201")</f>
        <v>https://www.airitibooks.com/Detail/Detail?PublicationID=P20200103201</v>
      </c>
      <c r="K772" s="13" t="str">
        <f>HYPERLINK("https://ntsu.idm.oclc.org/login?url=https://www.airitibooks.com/Detail/Detail?PublicationID=P20200103201", "https://ntsu.idm.oclc.org/login?url=https://www.airitibooks.com/Detail/Detail?PublicationID=P20200103201")</f>
        <v>https://ntsu.idm.oclc.org/login?url=https://www.airitibooks.com/Detail/Detail?PublicationID=P20200103201</v>
      </c>
    </row>
    <row r="773" spans="1:11" ht="51" x14ac:dyDescent="0.4">
      <c r="A773" s="10" t="s">
        <v>13233</v>
      </c>
      <c r="B773" s="10" t="s">
        <v>13234</v>
      </c>
      <c r="C773" s="10" t="s">
        <v>371</v>
      </c>
      <c r="D773" s="10" t="s">
        <v>13230</v>
      </c>
      <c r="E773" s="10" t="s">
        <v>3219</v>
      </c>
      <c r="F773" s="10" t="s">
        <v>7178</v>
      </c>
      <c r="G773" s="10" t="s">
        <v>87</v>
      </c>
      <c r="H773" s="7" t="s">
        <v>24</v>
      </c>
      <c r="I773" s="7" t="s">
        <v>25</v>
      </c>
      <c r="J773" s="13" t="str">
        <f>HYPERLINK("https://www.airitibooks.com/Detail/Detail?PublicationID=P20200103202", "https://www.airitibooks.com/Detail/Detail?PublicationID=P20200103202")</f>
        <v>https://www.airitibooks.com/Detail/Detail?PublicationID=P20200103202</v>
      </c>
      <c r="K773" s="13" t="str">
        <f>HYPERLINK("https://ntsu.idm.oclc.org/login?url=https://www.airitibooks.com/Detail/Detail?PublicationID=P20200103202", "https://ntsu.idm.oclc.org/login?url=https://www.airitibooks.com/Detail/Detail?PublicationID=P20200103202")</f>
        <v>https://ntsu.idm.oclc.org/login?url=https://www.airitibooks.com/Detail/Detail?PublicationID=P20200103202</v>
      </c>
    </row>
    <row r="774" spans="1:11" ht="51" x14ac:dyDescent="0.4">
      <c r="A774" s="10" t="s">
        <v>13235</v>
      </c>
      <c r="B774" s="10" t="s">
        <v>13236</v>
      </c>
      <c r="C774" s="10" t="s">
        <v>371</v>
      </c>
      <c r="D774" s="10" t="s">
        <v>13230</v>
      </c>
      <c r="E774" s="10" t="s">
        <v>3219</v>
      </c>
      <c r="F774" s="10" t="s">
        <v>7178</v>
      </c>
      <c r="G774" s="10" t="s">
        <v>87</v>
      </c>
      <c r="H774" s="7" t="s">
        <v>24</v>
      </c>
      <c r="I774" s="7" t="s">
        <v>25</v>
      </c>
      <c r="J774" s="13" t="str">
        <f>HYPERLINK("https://www.airitibooks.com/Detail/Detail?PublicationID=P20200103203", "https://www.airitibooks.com/Detail/Detail?PublicationID=P20200103203")</f>
        <v>https://www.airitibooks.com/Detail/Detail?PublicationID=P20200103203</v>
      </c>
      <c r="K774" s="13" t="str">
        <f>HYPERLINK("https://ntsu.idm.oclc.org/login?url=https://www.airitibooks.com/Detail/Detail?PublicationID=P20200103203", "https://ntsu.idm.oclc.org/login?url=https://www.airitibooks.com/Detail/Detail?PublicationID=P20200103203")</f>
        <v>https://ntsu.idm.oclc.org/login?url=https://www.airitibooks.com/Detail/Detail?PublicationID=P20200103203</v>
      </c>
    </row>
    <row r="775" spans="1:11" ht="51" x14ac:dyDescent="0.4">
      <c r="A775" s="10" t="s">
        <v>13237</v>
      </c>
      <c r="B775" s="10" t="s">
        <v>13238</v>
      </c>
      <c r="C775" s="10" t="s">
        <v>371</v>
      </c>
      <c r="D775" s="10" t="s">
        <v>13230</v>
      </c>
      <c r="E775" s="10" t="s">
        <v>3219</v>
      </c>
      <c r="F775" s="10" t="s">
        <v>7178</v>
      </c>
      <c r="G775" s="10" t="s">
        <v>87</v>
      </c>
      <c r="H775" s="7" t="s">
        <v>24</v>
      </c>
      <c r="I775" s="7" t="s">
        <v>25</v>
      </c>
      <c r="J775" s="13" t="str">
        <f>HYPERLINK("https://www.airitibooks.com/Detail/Detail?PublicationID=P20200103204", "https://www.airitibooks.com/Detail/Detail?PublicationID=P20200103204")</f>
        <v>https://www.airitibooks.com/Detail/Detail?PublicationID=P20200103204</v>
      </c>
      <c r="K775" s="13" t="str">
        <f>HYPERLINK("https://ntsu.idm.oclc.org/login?url=https://www.airitibooks.com/Detail/Detail?PublicationID=P20200103204", "https://ntsu.idm.oclc.org/login?url=https://www.airitibooks.com/Detail/Detail?PublicationID=P20200103204")</f>
        <v>https://ntsu.idm.oclc.org/login?url=https://www.airitibooks.com/Detail/Detail?PublicationID=P20200103204</v>
      </c>
    </row>
    <row r="776" spans="1:11" ht="51" x14ac:dyDescent="0.4">
      <c r="A776" s="10" t="s">
        <v>13241</v>
      </c>
      <c r="B776" s="10" t="s">
        <v>13242</v>
      </c>
      <c r="C776" s="10" t="s">
        <v>371</v>
      </c>
      <c r="D776" s="10" t="s">
        <v>13243</v>
      </c>
      <c r="E776" s="10" t="s">
        <v>3219</v>
      </c>
      <c r="F776" s="10" t="s">
        <v>4376</v>
      </c>
      <c r="G776" s="10" t="s">
        <v>87</v>
      </c>
      <c r="H776" s="7" t="s">
        <v>24</v>
      </c>
      <c r="I776" s="7" t="s">
        <v>25</v>
      </c>
      <c r="J776" s="13" t="str">
        <f>HYPERLINK("https://www.airitibooks.com/Detail/Detail?PublicationID=P20200103238", "https://www.airitibooks.com/Detail/Detail?PublicationID=P20200103238")</f>
        <v>https://www.airitibooks.com/Detail/Detail?PublicationID=P20200103238</v>
      </c>
      <c r="K776" s="13" t="str">
        <f>HYPERLINK("https://ntsu.idm.oclc.org/login?url=https://www.airitibooks.com/Detail/Detail?PublicationID=P20200103238", "https://ntsu.idm.oclc.org/login?url=https://www.airitibooks.com/Detail/Detail?PublicationID=P20200103238")</f>
        <v>https://ntsu.idm.oclc.org/login?url=https://www.airitibooks.com/Detail/Detail?PublicationID=P20200103238</v>
      </c>
    </row>
    <row r="777" spans="1:11" ht="51" x14ac:dyDescent="0.4">
      <c r="A777" s="10" t="s">
        <v>13244</v>
      </c>
      <c r="B777" s="10" t="s">
        <v>13245</v>
      </c>
      <c r="C777" s="10" t="s">
        <v>371</v>
      </c>
      <c r="D777" s="10" t="s">
        <v>13243</v>
      </c>
      <c r="E777" s="10" t="s">
        <v>3219</v>
      </c>
      <c r="F777" s="10" t="s">
        <v>4376</v>
      </c>
      <c r="G777" s="10" t="s">
        <v>87</v>
      </c>
      <c r="H777" s="7" t="s">
        <v>24</v>
      </c>
      <c r="I777" s="7" t="s">
        <v>25</v>
      </c>
      <c r="J777" s="13" t="str">
        <f>HYPERLINK("https://www.airitibooks.com/Detail/Detail?PublicationID=P20200103239", "https://www.airitibooks.com/Detail/Detail?PublicationID=P20200103239")</f>
        <v>https://www.airitibooks.com/Detail/Detail?PublicationID=P20200103239</v>
      </c>
      <c r="K777" s="13" t="str">
        <f>HYPERLINK("https://ntsu.idm.oclc.org/login?url=https://www.airitibooks.com/Detail/Detail?PublicationID=P20200103239", "https://ntsu.idm.oclc.org/login?url=https://www.airitibooks.com/Detail/Detail?PublicationID=P20200103239")</f>
        <v>https://ntsu.idm.oclc.org/login?url=https://www.airitibooks.com/Detail/Detail?PublicationID=P20200103239</v>
      </c>
    </row>
    <row r="778" spans="1:11" ht="51" x14ac:dyDescent="0.4">
      <c r="A778" s="10" t="s">
        <v>13371</v>
      </c>
      <c r="B778" s="10" t="s">
        <v>13372</v>
      </c>
      <c r="C778" s="10" t="s">
        <v>13194</v>
      </c>
      <c r="D778" s="10" t="s">
        <v>13373</v>
      </c>
      <c r="E778" s="10" t="s">
        <v>3219</v>
      </c>
      <c r="F778" s="10" t="s">
        <v>7178</v>
      </c>
      <c r="G778" s="10" t="s">
        <v>87</v>
      </c>
      <c r="H778" s="7" t="s">
        <v>24</v>
      </c>
      <c r="I778" s="7" t="s">
        <v>25</v>
      </c>
      <c r="J778" s="13" t="str">
        <f>HYPERLINK("https://www.airitibooks.com/Detail/Detail?PublicationID=P20200117266", "https://www.airitibooks.com/Detail/Detail?PublicationID=P20200117266")</f>
        <v>https://www.airitibooks.com/Detail/Detail?PublicationID=P20200117266</v>
      </c>
      <c r="K778" s="13" t="str">
        <f>HYPERLINK("https://ntsu.idm.oclc.org/login?url=https://www.airitibooks.com/Detail/Detail?PublicationID=P20200117266", "https://ntsu.idm.oclc.org/login?url=https://www.airitibooks.com/Detail/Detail?PublicationID=P20200117266")</f>
        <v>https://ntsu.idm.oclc.org/login?url=https://www.airitibooks.com/Detail/Detail?PublicationID=P20200117266</v>
      </c>
    </row>
    <row r="779" spans="1:11" ht="68" x14ac:dyDescent="0.4">
      <c r="A779" s="10" t="s">
        <v>13393</v>
      </c>
      <c r="B779" s="10" t="s">
        <v>13394</v>
      </c>
      <c r="C779" s="10" t="s">
        <v>108</v>
      </c>
      <c r="D779" s="10" t="s">
        <v>13395</v>
      </c>
      <c r="E779" s="10" t="s">
        <v>3219</v>
      </c>
      <c r="F779" s="10" t="s">
        <v>399</v>
      </c>
      <c r="G779" s="10" t="s">
        <v>87</v>
      </c>
      <c r="H779" s="7" t="s">
        <v>24</v>
      </c>
      <c r="I779" s="7" t="s">
        <v>25</v>
      </c>
      <c r="J779" s="13" t="str">
        <f>HYPERLINK("https://www.airitibooks.com/Detail/Detail?PublicationID=P20200215002", "https://www.airitibooks.com/Detail/Detail?PublicationID=P20200215002")</f>
        <v>https://www.airitibooks.com/Detail/Detail?PublicationID=P20200215002</v>
      </c>
      <c r="K779" s="13" t="str">
        <f>HYPERLINK("https://ntsu.idm.oclc.org/login?url=https://www.airitibooks.com/Detail/Detail?PublicationID=P20200215002", "https://ntsu.idm.oclc.org/login?url=https://www.airitibooks.com/Detail/Detail?PublicationID=P20200215002")</f>
        <v>https://ntsu.idm.oclc.org/login?url=https://www.airitibooks.com/Detail/Detail?PublicationID=P20200215002</v>
      </c>
    </row>
    <row r="780" spans="1:11" ht="102" x14ac:dyDescent="0.4">
      <c r="A780" s="10" t="s">
        <v>13498</v>
      </c>
      <c r="B780" s="10" t="s">
        <v>13499</v>
      </c>
      <c r="C780" s="10" t="s">
        <v>12154</v>
      </c>
      <c r="D780" s="10" t="s">
        <v>13500</v>
      </c>
      <c r="E780" s="10" t="s">
        <v>3219</v>
      </c>
      <c r="F780" s="10" t="s">
        <v>232</v>
      </c>
      <c r="G780" s="10" t="s">
        <v>87</v>
      </c>
      <c r="H780" s="7" t="s">
        <v>24</v>
      </c>
      <c r="I780" s="7" t="s">
        <v>25</v>
      </c>
      <c r="J780" s="13" t="str">
        <f>HYPERLINK("https://www.airitibooks.com/Detail/Detail?PublicationID=P20200215109", "https://www.airitibooks.com/Detail/Detail?PublicationID=P20200215109")</f>
        <v>https://www.airitibooks.com/Detail/Detail?PublicationID=P20200215109</v>
      </c>
      <c r="K780" s="13" t="str">
        <f>HYPERLINK("https://ntsu.idm.oclc.org/login?url=https://www.airitibooks.com/Detail/Detail?PublicationID=P20200215109", "https://ntsu.idm.oclc.org/login?url=https://www.airitibooks.com/Detail/Detail?PublicationID=P20200215109")</f>
        <v>https://ntsu.idm.oclc.org/login?url=https://www.airitibooks.com/Detail/Detail?PublicationID=P20200215109</v>
      </c>
    </row>
    <row r="781" spans="1:11" ht="51" x14ac:dyDescent="0.4">
      <c r="A781" s="10" t="s">
        <v>13666</v>
      </c>
      <c r="B781" s="10" t="s">
        <v>13667</v>
      </c>
      <c r="C781" s="10" t="s">
        <v>544</v>
      </c>
      <c r="D781" s="10" t="s">
        <v>13668</v>
      </c>
      <c r="E781" s="10" t="s">
        <v>3219</v>
      </c>
      <c r="F781" s="10" t="s">
        <v>10019</v>
      </c>
      <c r="G781" s="10" t="s">
        <v>87</v>
      </c>
      <c r="H781" s="7" t="s">
        <v>24</v>
      </c>
      <c r="I781" s="7" t="s">
        <v>25</v>
      </c>
      <c r="J781" s="13" t="str">
        <f>HYPERLINK("https://www.airitibooks.com/Detail/Detail?PublicationID=P20200321047", "https://www.airitibooks.com/Detail/Detail?PublicationID=P20200321047")</f>
        <v>https://www.airitibooks.com/Detail/Detail?PublicationID=P20200321047</v>
      </c>
      <c r="K781" s="13" t="str">
        <f>HYPERLINK("https://ntsu.idm.oclc.org/login?url=https://www.airitibooks.com/Detail/Detail?PublicationID=P20200321047", "https://ntsu.idm.oclc.org/login?url=https://www.airitibooks.com/Detail/Detail?PublicationID=P20200321047")</f>
        <v>https://ntsu.idm.oclc.org/login?url=https://www.airitibooks.com/Detail/Detail?PublicationID=P20200321047</v>
      </c>
    </row>
    <row r="782" spans="1:11" ht="68" x14ac:dyDescent="0.4">
      <c r="A782" s="10" t="s">
        <v>13867</v>
      </c>
      <c r="B782" s="10" t="s">
        <v>13868</v>
      </c>
      <c r="C782" s="10" t="s">
        <v>568</v>
      </c>
      <c r="D782" s="10" t="s">
        <v>13869</v>
      </c>
      <c r="E782" s="10" t="s">
        <v>3219</v>
      </c>
      <c r="F782" s="10" t="s">
        <v>1440</v>
      </c>
      <c r="G782" s="10" t="s">
        <v>87</v>
      </c>
      <c r="H782" s="7" t="s">
        <v>24</v>
      </c>
      <c r="I782" s="7" t="s">
        <v>25</v>
      </c>
      <c r="J782" s="13" t="str">
        <f>HYPERLINK("https://www.airitibooks.com/Detail/Detail?PublicationID=P20200413038", "https://www.airitibooks.com/Detail/Detail?PublicationID=P20200413038")</f>
        <v>https://www.airitibooks.com/Detail/Detail?PublicationID=P20200413038</v>
      </c>
      <c r="K782" s="13" t="str">
        <f>HYPERLINK("https://ntsu.idm.oclc.org/login?url=https://www.airitibooks.com/Detail/Detail?PublicationID=P20200413038", "https://ntsu.idm.oclc.org/login?url=https://www.airitibooks.com/Detail/Detail?PublicationID=P20200413038")</f>
        <v>https://ntsu.idm.oclc.org/login?url=https://www.airitibooks.com/Detail/Detail?PublicationID=P20200413038</v>
      </c>
    </row>
    <row r="783" spans="1:11" ht="51" x14ac:dyDescent="0.4">
      <c r="A783" s="10" t="s">
        <v>13898</v>
      </c>
      <c r="B783" s="10" t="s">
        <v>13899</v>
      </c>
      <c r="C783" s="10" t="s">
        <v>222</v>
      </c>
      <c r="D783" s="10" t="s">
        <v>13900</v>
      </c>
      <c r="E783" s="10" t="s">
        <v>3219</v>
      </c>
      <c r="F783" s="10" t="s">
        <v>132</v>
      </c>
      <c r="G783" s="10" t="s">
        <v>87</v>
      </c>
      <c r="H783" s="7" t="s">
        <v>24</v>
      </c>
      <c r="I783" s="7" t="s">
        <v>25</v>
      </c>
      <c r="J783" s="13" t="str">
        <f>HYPERLINK("https://www.airitibooks.com/Detail/Detail?PublicationID=P20200424020", "https://www.airitibooks.com/Detail/Detail?PublicationID=P20200424020")</f>
        <v>https://www.airitibooks.com/Detail/Detail?PublicationID=P20200424020</v>
      </c>
      <c r="K783" s="13" t="str">
        <f>HYPERLINK("https://ntsu.idm.oclc.org/login?url=https://www.airitibooks.com/Detail/Detail?PublicationID=P20200424020", "https://ntsu.idm.oclc.org/login?url=https://www.airitibooks.com/Detail/Detail?PublicationID=P20200424020")</f>
        <v>https://ntsu.idm.oclc.org/login?url=https://www.airitibooks.com/Detail/Detail?PublicationID=P20200424020</v>
      </c>
    </row>
    <row r="784" spans="1:11" ht="51" x14ac:dyDescent="0.4">
      <c r="A784" s="10" t="s">
        <v>13914</v>
      </c>
      <c r="B784" s="10" t="s">
        <v>13915</v>
      </c>
      <c r="C784" s="10" t="s">
        <v>3280</v>
      </c>
      <c r="D784" s="10" t="s">
        <v>13916</v>
      </c>
      <c r="E784" s="10" t="s">
        <v>3219</v>
      </c>
      <c r="F784" s="10" t="s">
        <v>144</v>
      </c>
      <c r="G784" s="10" t="s">
        <v>87</v>
      </c>
      <c r="H784" s="7" t="s">
        <v>24</v>
      </c>
      <c r="I784" s="7" t="s">
        <v>25</v>
      </c>
      <c r="J784" s="13" t="str">
        <f>HYPERLINK("https://www.airitibooks.com/Detail/Detail?PublicationID=P20200424085", "https://www.airitibooks.com/Detail/Detail?PublicationID=P20200424085")</f>
        <v>https://www.airitibooks.com/Detail/Detail?PublicationID=P20200424085</v>
      </c>
      <c r="K784" s="13" t="str">
        <f>HYPERLINK("https://ntsu.idm.oclc.org/login?url=https://www.airitibooks.com/Detail/Detail?PublicationID=P20200424085", "https://ntsu.idm.oclc.org/login?url=https://www.airitibooks.com/Detail/Detail?PublicationID=P20200424085")</f>
        <v>https://ntsu.idm.oclc.org/login?url=https://www.airitibooks.com/Detail/Detail?PublicationID=P20200424085</v>
      </c>
    </row>
    <row r="785" spans="1:11" ht="51" x14ac:dyDescent="0.4">
      <c r="A785" s="10" t="s">
        <v>13927</v>
      </c>
      <c r="B785" s="10" t="s">
        <v>13928</v>
      </c>
      <c r="C785" s="10" t="s">
        <v>544</v>
      </c>
      <c r="D785" s="10" t="s">
        <v>13929</v>
      </c>
      <c r="E785" s="10" t="s">
        <v>3219</v>
      </c>
      <c r="F785" s="10" t="s">
        <v>13930</v>
      </c>
      <c r="G785" s="10" t="s">
        <v>87</v>
      </c>
      <c r="H785" s="7" t="s">
        <v>24</v>
      </c>
      <c r="I785" s="7" t="s">
        <v>25</v>
      </c>
      <c r="J785" s="13" t="str">
        <f>HYPERLINK("https://www.airitibooks.com/Detail/Detail?PublicationID=P20200430019", "https://www.airitibooks.com/Detail/Detail?PublicationID=P20200430019")</f>
        <v>https://www.airitibooks.com/Detail/Detail?PublicationID=P20200430019</v>
      </c>
      <c r="K785" s="13" t="str">
        <f>HYPERLINK("https://ntsu.idm.oclc.org/login?url=https://www.airitibooks.com/Detail/Detail?PublicationID=P20200430019", "https://ntsu.idm.oclc.org/login?url=https://www.airitibooks.com/Detail/Detail?PublicationID=P20200430019")</f>
        <v>https://ntsu.idm.oclc.org/login?url=https://www.airitibooks.com/Detail/Detail?PublicationID=P20200430019</v>
      </c>
    </row>
    <row r="786" spans="1:11" ht="51" x14ac:dyDescent="0.4">
      <c r="A786" s="10" t="s">
        <v>13944</v>
      </c>
      <c r="B786" s="10" t="s">
        <v>13945</v>
      </c>
      <c r="C786" s="10" t="s">
        <v>544</v>
      </c>
      <c r="D786" s="10" t="s">
        <v>13946</v>
      </c>
      <c r="E786" s="10" t="s">
        <v>3219</v>
      </c>
      <c r="F786" s="10" t="s">
        <v>13947</v>
      </c>
      <c r="G786" s="10" t="s">
        <v>87</v>
      </c>
      <c r="H786" s="7" t="s">
        <v>24</v>
      </c>
      <c r="I786" s="7" t="s">
        <v>25</v>
      </c>
      <c r="J786" s="13" t="str">
        <f>HYPERLINK("https://www.airitibooks.com/Detail/Detail?PublicationID=P20200430034", "https://www.airitibooks.com/Detail/Detail?PublicationID=P20200430034")</f>
        <v>https://www.airitibooks.com/Detail/Detail?PublicationID=P20200430034</v>
      </c>
      <c r="K786" s="13" t="str">
        <f>HYPERLINK("https://ntsu.idm.oclc.org/login?url=https://www.airitibooks.com/Detail/Detail?PublicationID=P20200430034", "https://ntsu.idm.oclc.org/login?url=https://www.airitibooks.com/Detail/Detail?PublicationID=P20200430034")</f>
        <v>https://ntsu.idm.oclc.org/login?url=https://www.airitibooks.com/Detail/Detail?PublicationID=P20200430034</v>
      </c>
    </row>
    <row r="787" spans="1:11" ht="51" x14ac:dyDescent="0.4">
      <c r="A787" s="10" t="s">
        <v>13976</v>
      </c>
      <c r="B787" s="10" t="s">
        <v>13977</v>
      </c>
      <c r="C787" s="10" t="s">
        <v>544</v>
      </c>
      <c r="D787" s="10" t="s">
        <v>13978</v>
      </c>
      <c r="E787" s="10" t="s">
        <v>3219</v>
      </c>
      <c r="F787" s="10" t="s">
        <v>13979</v>
      </c>
      <c r="G787" s="10" t="s">
        <v>87</v>
      </c>
      <c r="H787" s="7" t="s">
        <v>24</v>
      </c>
      <c r="I787" s="7" t="s">
        <v>25</v>
      </c>
      <c r="J787" s="13" t="str">
        <f>HYPERLINK("https://www.airitibooks.com/Detail/Detail?PublicationID=P20200430051", "https://www.airitibooks.com/Detail/Detail?PublicationID=P20200430051")</f>
        <v>https://www.airitibooks.com/Detail/Detail?PublicationID=P20200430051</v>
      </c>
      <c r="K787" s="13" t="str">
        <f>HYPERLINK("https://ntsu.idm.oclc.org/login?url=https://www.airitibooks.com/Detail/Detail?PublicationID=P20200430051", "https://ntsu.idm.oclc.org/login?url=https://www.airitibooks.com/Detail/Detail?PublicationID=P20200430051")</f>
        <v>https://ntsu.idm.oclc.org/login?url=https://www.airitibooks.com/Detail/Detail?PublicationID=P20200430051</v>
      </c>
    </row>
    <row r="788" spans="1:11" ht="51" x14ac:dyDescent="0.4">
      <c r="A788" s="10" t="s">
        <v>14011</v>
      </c>
      <c r="B788" s="10" t="s">
        <v>14012</v>
      </c>
      <c r="C788" s="10" t="s">
        <v>297</v>
      </c>
      <c r="D788" s="10" t="s">
        <v>1397</v>
      </c>
      <c r="E788" s="10" t="s">
        <v>3219</v>
      </c>
      <c r="F788" s="10" t="s">
        <v>1632</v>
      </c>
      <c r="G788" s="10" t="s">
        <v>87</v>
      </c>
      <c r="H788" s="7" t="s">
        <v>24</v>
      </c>
      <c r="I788" s="7" t="s">
        <v>25</v>
      </c>
      <c r="J788" s="13" t="str">
        <f>HYPERLINK("https://www.airitibooks.com/Detail/Detail?PublicationID=P20200430077", "https://www.airitibooks.com/Detail/Detail?PublicationID=P20200430077")</f>
        <v>https://www.airitibooks.com/Detail/Detail?PublicationID=P20200430077</v>
      </c>
      <c r="K788" s="13" t="str">
        <f>HYPERLINK("https://ntsu.idm.oclc.org/login?url=https://www.airitibooks.com/Detail/Detail?PublicationID=P20200430077", "https://ntsu.idm.oclc.org/login?url=https://www.airitibooks.com/Detail/Detail?PublicationID=P20200430077")</f>
        <v>https://ntsu.idm.oclc.org/login?url=https://www.airitibooks.com/Detail/Detail?PublicationID=P20200430077</v>
      </c>
    </row>
    <row r="789" spans="1:11" ht="51" x14ac:dyDescent="0.4">
      <c r="A789" s="10" t="s">
        <v>14039</v>
      </c>
      <c r="B789" s="10" t="s">
        <v>14040</v>
      </c>
      <c r="C789" s="10" t="s">
        <v>3705</v>
      </c>
      <c r="D789" s="10" t="s">
        <v>14041</v>
      </c>
      <c r="E789" s="10" t="s">
        <v>3219</v>
      </c>
      <c r="F789" s="10" t="s">
        <v>12480</v>
      </c>
      <c r="G789" s="10" t="s">
        <v>87</v>
      </c>
      <c r="H789" s="7" t="s">
        <v>24</v>
      </c>
      <c r="I789" s="7" t="s">
        <v>25</v>
      </c>
      <c r="J789" s="13" t="str">
        <f>HYPERLINK("https://www.airitibooks.com/Detail/Detail?PublicationID=P20200430230", "https://www.airitibooks.com/Detail/Detail?PublicationID=P20200430230")</f>
        <v>https://www.airitibooks.com/Detail/Detail?PublicationID=P20200430230</v>
      </c>
      <c r="K789" s="13" t="str">
        <f>HYPERLINK("https://ntsu.idm.oclc.org/login?url=https://www.airitibooks.com/Detail/Detail?PublicationID=P20200430230", "https://ntsu.idm.oclc.org/login?url=https://www.airitibooks.com/Detail/Detail?PublicationID=P20200430230")</f>
        <v>https://ntsu.idm.oclc.org/login?url=https://www.airitibooks.com/Detail/Detail?PublicationID=P20200430230</v>
      </c>
    </row>
    <row r="790" spans="1:11" ht="51" x14ac:dyDescent="0.4">
      <c r="A790" s="10" t="s">
        <v>14050</v>
      </c>
      <c r="B790" s="10" t="s">
        <v>14051</v>
      </c>
      <c r="C790" s="10" t="s">
        <v>3705</v>
      </c>
      <c r="D790" s="10" t="s">
        <v>14052</v>
      </c>
      <c r="E790" s="10" t="s">
        <v>3219</v>
      </c>
      <c r="F790" s="10" t="s">
        <v>143</v>
      </c>
      <c r="G790" s="10" t="s">
        <v>87</v>
      </c>
      <c r="H790" s="7" t="s">
        <v>24</v>
      </c>
      <c r="I790" s="7" t="s">
        <v>25</v>
      </c>
      <c r="J790" s="13" t="str">
        <f>HYPERLINK("https://www.airitibooks.com/Detail/Detail?PublicationID=P20200430233", "https://www.airitibooks.com/Detail/Detail?PublicationID=P20200430233")</f>
        <v>https://www.airitibooks.com/Detail/Detail?PublicationID=P20200430233</v>
      </c>
      <c r="K790" s="13" t="str">
        <f>HYPERLINK("https://ntsu.idm.oclc.org/login?url=https://www.airitibooks.com/Detail/Detail?PublicationID=P20200430233", "https://ntsu.idm.oclc.org/login?url=https://www.airitibooks.com/Detail/Detail?PublicationID=P20200430233")</f>
        <v>https://ntsu.idm.oclc.org/login?url=https://www.airitibooks.com/Detail/Detail?PublicationID=P20200430233</v>
      </c>
    </row>
    <row r="791" spans="1:11" ht="51" x14ac:dyDescent="0.4">
      <c r="A791" s="10" t="s">
        <v>14092</v>
      </c>
      <c r="B791" s="10" t="s">
        <v>14093</v>
      </c>
      <c r="C791" s="10" t="s">
        <v>627</v>
      </c>
      <c r="D791" s="10" t="s">
        <v>1237</v>
      </c>
      <c r="E791" s="10" t="s">
        <v>3219</v>
      </c>
      <c r="F791" s="10" t="s">
        <v>633</v>
      </c>
      <c r="G791" s="10" t="s">
        <v>87</v>
      </c>
      <c r="H791" s="7" t="s">
        <v>24</v>
      </c>
      <c r="I791" s="7" t="s">
        <v>25</v>
      </c>
      <c r="J791" s="13" t="str">
        <f>HYPERLINK("https://www.airitibooks.com/Detail/Detail?PublicationID=P20200514010", "https://www.airitibooks.com/Detail/Detail?PublicationID=P20200514010")</f>
        <v>https://www.airitibooks.com/Detail/Detail?PublicationID=P20200514010</v>
      </c>
      <c r="K791" s="13" t="str">
        <f>HYPERLINK("https://ntsu.idm.oclc.org/login?url=https://www.airitibooks.com/Detail/Detail?PublicationID=P20200514010", "https://ntsu.idm.oclc.org/login?url=https://www.airitibooks.com/Detail/Detail?PublicationID=P20200514010")</f>
        <v>https://ntsu.idm.oclc.org/login?url=https://www.airitibooks.com/Detail/Detail?PublicationID=P20200514010</v>
      </c>
    </row>
    <row r="792" spans="1:11" ht="51" x14ac:dyDescent="0.4">
      <c r="A792" s="10" t="s">
        <v>14378</v>
      </c>
      <c r="B792" s="10" t="s">
        <v>14379</v>
      </c>
      <c r="C792" s="10" t="s">
        <v>14330</v>
      </c>
      <c r="D792" s="10" t="s">
        <v>14380</v>
      </c>
      <c r="E792" s="10" t="s">
        <v>3219</v>
      </c>
      <c r="F792" s="10" t="s">
        <v>1486</v>
      </c>
      <c r="G792" s="10" t="s">
        <v>87</v>
      </c>
      <c r="H792" s="7" t="s">
        <v>1031</v>
      </c>
      <c r="I792" s="7" t="s">
        <v>25</v>
      </c>
      <c r="J792" s="13" t="str">
        <f>HYPERLINK("https://www.airitibooks.com/Detail/Detail?PublicationID=P20200612345", "https://www.airitibooks.com/Detail/Detail?PublicationID=P20200612345")</f>
        <v>https://www.airitibooks.com/Detail/Detail?PublicationID=P20200612345</v>
      </c>
      <c r="K792" s="13" t="str">
        <f>HYPERLINK("https://ntsu.idm.oclc.org/login?url=https://www.airitibooks.com/Detail/Detail?PublicationID=P20200612345", "https://ntsu.idm.oclc.org/login?url=https://www.airitibooks.com/Detail/Detail?PublicationID=P20200612345")</f>
        <v>https://ntsu.idm.oclc.org/login?url=https://www.airitibooks.com/Detail/Detail?PublicationID=P20200612345</v>
      </c>
    </row>
    <row r="793" spans="1:11" ht="51" x14ac:dyDescent="0.4">
      <c r="A793" s="10" t="s">
        <v>14455</v>
      </c>
      <c r="B793" s="10" t="s">
        <v>14456</v>
      </c>
      <c r="C793" s="10" t="s">
        <v>130</v>
      </c>
      <c r="D793" s="10" t="s">
        <v>14457</v>
      </c>
      <c r="E793" s="10" t="s">
        <v>3219</v>
      </c>
      <c r="F793" s="10" t="s">
        <v>144</v>
      </c>
      <c r="G793" s="10" t="s">
        <v>87</v>
      </c>
      <c r="H793" s="7" t="s">
        <v>24</v>
      </c>
      <c r="I793" s="7" t="s">
        <v>25</v>
      </c>
      <c r="J793" s="13" t="str">
        <f>HYPERLINK("https://www.airitibooks.com/Detail/Detail?PublicationID=P20200709152", "https://www.airitibooks.com/Detail/Detail?PublicationID=P20200709152")</f>
        <v>https://www.airitibooks.com/Detail/Detail?PublicationID=P20200709152</v>
      </c>
      <c r="K793" s="13" t="str">
        <f>HYPERLINK("https://ntsu.idm.oclc.org/login?url=https://www.airitibooks.com/Detail/Detail?PublicationID=P20200709152", "https://ntsu.idm.oclc.org/login?url=https://www.airitibooks.com/Detail/Detail?PublicationID=P20200709152")</f>
        <v>https://ntsu.idm.oclc.org/login?url=https://www.airitibooks.com/Detail/Detail?PublicationID=P20200709152</v>
      </c>
    </row>
    <row r="794" spans="1:11" ht="51" x14ac:dyDescent="0.4">
      <c r="A794" s="10" t="s">
        <v>14913</v>
      </c>
      <c r="B794" s="10" t="s">
        <v>14914</v>
      </c>
      <c r="C794" s="10" t="s">
        <v>11625</v>
      </c>
      <c r="D794" s="10" t="s">
        <v>12479</v>
      </c>
      <c r="E794" s="10" t="s">
        <v>3219</v>
      </c>
      <c r="F794" s="10" t="s">
        <v>12480</v>
      </c>
      <c r="G794" s="10" t="s">
        <v>87</v>
      </c>
      <c r="H794" s="7" t="s">
        <v>24</v>
      </c>
      <c r="I794" s="7" t="s">
        <v>25</v>
      </c>
      <c r="J794" s="13" t="str">
        <f>HYPERLINK("https://www.airitibooks.com/Detail/Detail?PublicationID=P20201120054", "https://www.airitibooks.com/Detail/Detail?PublicationID=P20201120054")</f>
        <v>https://www.airitibooks.com/Detail/Detail?PublicationID=P20201120054</v>
      </c>
      <c r="K794" s="13" t="str">
        <f>HYPERLINK("https://ntsu.idm.oclc.org/login?url=https://www.airitibooks.com/Detail/Detail?PublicationID=P20201120054", "https://ntsu.idm.oclc.org/login?url=https://www.airitibooks.com/Detail/Detail?PublicationID=P20201120054")</f>
        <v>https://ntsu.idm.oclc.org/login?url=https://www.airitibooks.com/Detail/Detail?PublicationID=P20201120054</v>
      </c>
    </row>
    <row r="795" spans="1:11" ht="51" x14ac:dyDescent="0.4">
      <c r="A795" s="10" t="s">
        <v>14935</v>
      </c>
      <c r="B795" s="10" t="s">
        <v>14936</v>
      </c>
      <c r="C795" s="10" t="s">
        <v>12989</v>
      </c>
      <c r="D795" s="10" t="s">
        <v>14937</v>
      </c>
      <c r="E795" s="10" t="s">
        <v>3219</v>
      </c>
      <c r="F795" s="10" t="s">
        <v>7526</v>
      </c>
      <c r="G795" s="10" t="s">
        <v>87</v>
      </c>
      <c r="H795" s="7" t="s">
        <v>1031</v>
      </c>
      <c r="I795" s="7" t="s">
        <v>25</v>
      </c>
      <c r="J795" s="13" t="str">
        <f>HYPERLINK("https://www.airitibooks.com/Detail/Detail?PublicationID=P20201120112", "https://www.airitibooks.com/Detail/Detail?PublicationID=P20201120112")</f>
        <v>https://www.airitibooks.com/Detail/Detail?PublicationID=P20201120112</v>
      </c>
      <c r="K795" s="13" t="str">
        <f>HYPERLINK("https://ntsu.idm.oclc.org/login?url=https://www.airitibooks.com/Detail/Detail?PublicationID=P20201120112", "https://ntsu.idm.oclc.org/login?url=https://www.airitibooks.com/Detail/Detail?PublicationID=P20201120112")</f>
        <v>https://ntsu.idm.oclc.org/login?url=https://www.airitibooks.com/Detail/Detail?PublicationID=P20201120112</v>
      </c>
    </row>
    <row r="796" spans="1:11" ht="51" x14ac:dyDescent="0.4">
      <c r="A796" s="10" t="s">
        <v>14953</v>
      </c>
      <c r="B796" s="10" t="s">
        <v>14954</v>
      </c>
      <c r="C796" s="10" t="s">
        <v>14955</v>
      </c>
      <c r="D796" s="10" t="s">
        <v>14956</v>
      </c>
      <c r="E796" s="10" t="s">
        <v>3219</v>
      </c>
      <c r="F796" s="10" t="s">
        <v>1707</v>
      </c>
      <c r="G796" s="10" t="s">
        <v>87</v>
      </c>
      <c r="H796" s="7" t="s">
        <v>1031</v>
      </c>
      <c r="I796" s="7" t="s">
        <v>25</v>
      </c>
      <c r="J796" s="13" t="str">
        <f>HYPERLINK("https://www.airitibooks.com/Detail/Detail?PublicationID=P20201125003", "https://www.airitibooks.com/Detail/Detail?PublicationID=P20201125003")</f>
        <v>https://www.airitibooks.com/Detail/Detail?PublicationID=P20201125003</v>
      </c>
      <c r="K796" s="13" t="str">
        <f>HYPERLINK("https://ntsu.idm.oclc.org/login?url=https://www.airitibooks.com/Detail/Detail?PublicationID=P20201125003", "https://ntsu.idm.oclc.org/login?url=https://www.airitibooks.com/Detail/Detail?PublicationID=P20201125003")</f>
        <v>https://ntsu.idm.oclc.org/login?url=https://www.airitibooks.com/Detail/Detail?PublicationID=P20201125003</v>
      </c>
    </row>
    <row r="797" spans="1:11" ht="51" x14ac:dyDescent="0.4">
      <c r="A797" s="10" t="s">
        <v>14957</v>
      </c>
      <c r="B797" s="10" t="s">
        <v>14958</v>
      </c>
      <c r="C797" s="10" t="s">
        <v>14955</v>
      </c>
      <c r="D797" s="10" t="s">
        <v>14959</v>
      </c>
      <c r="E797" s="10" t="s">
        <v>3219</v>
      </c>
      <c r="F797" s="10" t="s">
        <v>6655</v>
      </c>
      <c r="G797" s="10" t="s">
        <v>87</v>
      </c>
      <c r="H797" s="7" t="s">
        <v>1031</v>
      </c>
      <c r="I797" s="7" t="s">
        <v>25</v>
      </c>
      <c r="J797" s="13" t="str">
        <f>HYPERLINK("https://www.airitibooks.com/Detail/Detail?PublicationID=P20201125015", "https://www.airitibooks.com/Detail/Detail?PublicationID=P20201125015")</f>
        <v>https://www.airitibooks.com/Detail/Detail?PublicationID=P20201125015</v>
      </c>
      <c r="K797" s="13" t="str">
        <f>HYPERLINK("https://ntsu.idm.oclc.org/login?url=https://www.airitibooks.com/Detail/Detail?PublicationID=P20201125015", "https://ntsu.idm.oclc.org/login?url=https://www.airitibooks.com/Detail/Detail?PublicationID=P20201125015")</f>
        <v>https://ntsu.idm.oclc.org/login?url=https://www.airitibooks.com/Detail/Detail?PublicationID=P20201125015</v>
      </c>
    </row>
    <row r="798" spans="1:11" ht="51" x14ac:dyDescent="0.4">
      <c r="A798" s="10" t="s">
        <v>15007</v>
      </c>
      <c r="B798" s="10" t="s">
        <v>15008</v>
      </c>
      <c r="C798" s="10" t="s">
        <v>14955</v>
      </c>
      <c r="D798" s="10" t="s">
        <v>14814</v>
      </c>
      <c r="E798" s="10" t="s">
        <v>3219</v>
      </c>
      <c r="F798" s="10" t="s">
        <v>7545</v>
      </c>
      <c r="G798" s="10" t="s">
        <v>87</v>
      </c>
      <c r="H798" s="7" t="s">
        <v>1031</v>
      </c>
      <c r="I798" s="7" t="s">
        <v>25</v>
      </c>
      <c r="J798" s="13" t="str">
        <f>HYPERLINK("https://www.airitibooks.com/Detail/Detail?PublicationID=P20201127462", "https://www.airitibooks.com/Detail/Detail?PublicationID=P20201127462")</f>
        <v>https://www.airitibooks.com/Detail/Detail?PublicationID=P20201127462</v>
      </c>
      <c r="K798" s="13" t="str">
        <f>HYPERLINK("https://ntsu.idm.oclc.org/login?url=https://www.airitibooks.com/Detail/Detail?PublicationID=P20201127462", "https://ntsu.idm.oclc.org/login?url=https://www.airitibooks.com/Detail/Detail?PublicationID=P20201127462")</f>
        <v>https://ntsu.idm.oclc.org/login?url=https://www.airitibooks.com/Detail/Detail?PublicationID=P20201127462</v>
      </c>
    </row>
    <row r="799" spans="1:11" ht="51" x14ac:dyDescent="0.4">
      <c r="A799" s="10" t="s">
        <v>15376</v>
      </c>
      <c r="B799" s="10" t="s">
        <v>15377</v>
      </c>
      <c r="C799" s="10" t="s">
        <v>11995</v>
      </c>
      <c r="D799" s="10" t="s">
        <v>15378</v>
      </c>
      <c r="E799" s="10" t="s">
        <v>3219</v>
      </c>
      <c r="F799" s="10" t="s">
        <v>5202</v>
      </c>
      <c r="G799" s="10" t="s">
        <v>87</v>
      </c>
      <c r="H799" s="7" t="s">
        <v>24</v>
      </c>
      <c r="I799" s="7" t="s">
        <v>25</v>
      </c>
      <c r="J799" s="13" t="str">
        <f>HYPERLINK("https://www.airitibooks.com/Detail/Detail?PublicationID=P20210428033", "https://www.airitibooks.com/Detail/Detail?PublicationID=P20210428033")</f>
        <v>https://www.airitibooks.com/Detail/Detail?PublicationID=P20210428033</v>
      </c>
      <c r="K799" s="13" t="str">
        <f>HYPERLINK("https://ntsu.idm.oclc.org/login?url=https://www.airitibooks.com/Detail/Detail?PublicationID=P20210428033", "https://ntsu.idm.oclc.org/login?url=https://www.airitibooks.com/Detail/Detail?PublicationID=P20210428033")</f>
        <v>https://ntsu.idm.oclc.org/login?url=https://www.airitibooks.com/Detail/Detail?PublicationID=P20210428033</v>
      </c>
    </row>
    <row r="800" spans="1:11" ht="51" x14ac:dyDescent="0.4">
      <c r="A800" s="10" t="s">
        <v>15520</v>
      </c>
      <c r="B800" s="10" t="s">
        <v>15521</v>
      </c>
      <c r="C800" s="10" t="s">
        <v>12510</v>
      </c>
      <c r="D800" s="10" t="s">
        <v>15522</v>
      </c>
      <c r="E800" s="10" t="s">
        <v>3219</v>
      </c>
      <c r="F800" s="10" t="s">
        <v>7178</v>
      </c>
      <c r="G800" s="10" t="s">
        <v>87</v>
      </c>
      <c r="H800" s="7" t="s">
        <v>1031</v>
      </c>
      <c r="I800" s="7" t="s">
        <v>25</v>
      </c>
      <c r="J800" s="13" t="str">
        <f>HYPERLINK("https://www.airitibooks.com/Detail/Detail?PublicationID=P20210529037", "https://www.airitibooks.com/Detail/Detail?PublicationID=P20210529037")</f>
        <v>https://www.airitibooks.com/Detail/Detail?PublicationID=P20210529037</v>
      </c>
      <c r="K800" s="13" t="str">
        <f>HYPERLINK("https://ntsu.idm.oclc.org/login?url=https://www.airitibooks.com/Detail/Detail?PublicationID=P20210529037", "https://ntsu.idm.oclc.org/login?url=https://www.airitibooks.com/Detail/Detail?PublicationID=P20210529037")</f>
        <v>https://ntsu.idm.oclc.org/login?url=https://www.airitibooks.com/Detail/Detail?PublicationID=P20210529037</v>
      </c>
    </row>
    <row r="801" spans="1:11" ht="51" x14ac:dyDescent="0.4">
      <c r="A801" s="10" t="s">
        <v>10586</v>
      </c>
      <c r="B801" s="10" t="s">
        <v>10587</v>
      </c>
      <c r="C801" s="10" t="s">
        <v>448</v>
      </c>
      <c r="D801" s="10" t="s">
        <v>10588</v>
      </c>
      <c r="E801" s="10" t="s">
        <v>3219</v>
      </c>
      <c r="F801" s="10" t="s">
        <v>394</v>
      </c>
      <c r="G801" s="10" t="s">
        <v>23</v>
      </c>
      <c r="H801" s="7" t="s">
        <v>7839</v>
      </c>
      <c r="I801" s="7" t="s">
        <v>25</v>
      </c>
      <c r="J801" s="13" t="str">
        <f>HYPERLINK("https://www.airitibooks.com/Detail/Detail?PublicationID=P20190119001", "https://www.airitibooks.com/Detail/Detail?PublicationID=P20190119001")</f>
        <v>https://www.airitibooks.com/Detail/Detail?PublicationID=P20190119001</v>
      </c>
      <c r="K801" s="13" t="str">
        <f>HYPERLINK("https://ntsu.idm.oclc.org/login?url=https://www.airitibooks.com/Detail/Detail?PublicationID=P20190119001", "https://ntsu.idm.oclc.org/login?url=https://www.airitibooks.com/Detail/Detail?PublicationID=P20190119001")</f>
        <v>https://ntsu.idm.oclc.org/login?url=https://www.airitibooks.com/Detail/Detail?PublicationID=P20190119001</v>
      </c>
    </row>
    <row r="802" spans="1:11" ht="51" x14ac:dyDescent="0.4">
      <c r="A802" s="10" t="s">
        <v>10589</v>
      </c>
      <c r="B802" s="10" t="s">
        <v>10590</v>
      </c>
      <c r="C802" s="10" t="s">
        <v>791</v>
      </c>
      <c r="D802" s="10" t="s">
        <v>10591</v>
      </c>
      <c r="E802" s="10" t="s">
        <v>3219</v>
      </c>
      <c r="F802" s="10" t="s">
        <v>753</v>
      </c>
      <c r="G802" s="10" t="s">
        <v>23</v>
      </c>
      <c r="H802" s="7" t="s">
        <v>24</v>
      </c>
      <c r="I802" s="7" t="s">
        <v>25</v>
      </c>
      <c r="J802" s="13" t="str">
        <f>HYPERLINK("https://www.airitibooks.com/Detail/Detail?PublicationID=P20190131018", "https://www.airitibooks.com/Detail/Detail?PublicationID=P20190131018")</f>
        <v>https://www.airitibooks.com/Detail/Detail?PublicationID=P20190131018</v>
      </c>
      <c r="K802" s="13" t="str">
        <f>HYPERLINK("https://ntsu.idm.oclc.org/login?url=https://www.airitibooks.com/Detail/Detail?PublicationID=P20190131018", "https://ntsu.idm.oclc.org/login?url=https://www.airitibooks.com/Detail/Detail?PublicationID=P20190131018")</f>
        <v>https://ntsu.idm.oclc.org/login?url=https://www.airitibooks.com/Detail/Detail?PublicationID=P20190131018</v>
      </c>
    </row>
    <row r="803" spans="1:11" ht="51" x14ac:dyDescent="0.4">
      <c r="A803" s="10" t="s">
        <v>10699</v>
      </c>
      <c r="B803" s="10" t="s">
        <v>10700</v>
      </c>
      <c r="C803" s="10" t="s">
        <v>240</v>
      </c>
      <c r="D803" s="10" t="s">
        <v>10701</v>
      </c>
      <c r="E803" s="10" t="s">
        <v>3219</v>
      </c>
      <c r="F803" s="10" t="s">
        <v>565</v>
      </c>
      <c r="G803" s="10" t="s">
        <v>23</v>
      </c>
      <c r="H803" s="7" t="s">
        <v>24</v>
      </c>
      <c r="I803" s="7" t="s">
        <v>25</v>
      </c>
      <c r="J803" s="13" t="str">
        <f>HYPERLINK("https://www.airitibooks.com/Detail/Detail?PublicationID=P20190214087", "https://www.airitibooks.com/Detail/Detail?PublicationID=P20190214087")</f>
        <v>https://www.airitibooks.com/Detail/Detail?PublicationID=P20190214087</v>
      </c>
      <c r="K803" s="13" t="str">
        <f>HYPERLINK("https://ntsu.idm.oclc.org/login?url=https://www.airitibooks.com/Detail/Detail?PublicationID=P20190214087", "https://ntsu.idm.oclc.org/login?url=https://www.airitibooks.com/Detail/Detail?PublicationID=P20190214087")</f>
        <v>https://ntsu.idm.oclc.org/login?url=https://www.airitibooks.com/Detail/Detail?PublicationID=P20190214087</v>
      </c>
    </row>
    <row r="804" spans="1:11" ht="51" x14ac:dyDescent="0.4">
      <c r="A804" s="10" t="s">
        <v>10737</v>
      </c>
      <c r="B804" s="10" t="s">
        <v>10738</v>
      </c>
      <c r="C804" s="10" t="s">
        <v>938</v>
      </c>
      <c r="D804" s="10" t="s">
        <v>10739</v>
      </c>
      <c r="E804" s="10" t="s">
        <v>3219</v>
      </c>
      <c r="F804" s="10" t="s">
        <v>2484</v>
      </c>
      <c r="G804" s="10" t="s">
        <v>23</v>
      </c>
      <c r="H804" s="7" t="s">
        <v>24</v>
      </c>
      <c r="I804" s="7" t="s">
        <v>25</v>
      </c>
      <c r="J804" s="13" t="str">
        <f>HYPERLINK("https://www.airitibooks.com/Detail/Detail?PublicationID=P20190218009", "https://www.airitibooks.com/Detail/Detail?PublicationID=P20190218009")</f>
        <v>https://www.airitibooks.com/Detail/Detail?PublicationID=P20190218009</v>
      </c>
      <c r="K804" s="13" t="str">
        <f>HYPERLINK("https://ntsu.idm.oclc.org/login?url=https://www.airitibooks.com/Detail/Detail?PublicationID=P20190218009", "https://ntsu.idm.oclc.org/login?url=https://www.airitibooks.com/Detail/Detail?PublicationID=P20190218009")</f>
        <v>https://ntsu.idm.oclc.org/login?url=https://www.airitibooks.com/Detail/Detail?PublicationID=P20190218009</v>
      </c>
    </row>
    <row r="805" spans="1:11" ht="68" x14ac:dyDescent="0.4">
      <c r="A805" s="10" t="s">
        <v>10826</v>
      </c>
      <c r="B805" s="10" t="s">
        <v>10827</v>
      </c>
      <c r="C805" s="10" t="s">
        <v>756</v>
      </c>
      <c r="D805" s="10" t="s">
        <v>10828</v>
      </c>
      <c r="E805" s="10" t="s">
        <v>3219</v>
      </c>
      <c r="F805" s="10" t="s">
        <v>10829</v>
      </c>
      <c r="G805" s="10" t="s">
        <v>23</v>
      </c>
      <c r="H805" s="7" t="s">
        <v>24</v>
      </c>
      <c r="I805" s="7" t="s">
        <v>25</v>
      </c>
      <c r="J805" s="13" t="str">
        <f>HYPERLINK("https://www.airitibooks.com/Detail/Detail?PublicationID=P20190220047", "https://www.airitibooks.com/Detail/Detail?PublicationID=P20190220047")</f>
        <v>https://www.airitibooks.com/Detail/Detail?PublicationID=P20190220047</v>
      </c>
      <c r="K805" s="13" t="str">
        <f>HYPERLINK("https://ntsu.idm.oclc.org/login?url=https://www.airitibooks.com/Detail/Detail?PublicationID=P20190220047", "https://ntsu.idm.oclc.org/login?url=https://www.airitibooks.com/Detail/Detail?PublicationID=P20190220047")</f>
        <v>https://ntsu.idm.oclc.org/login?url=https://www.airitibooks.com/Detail/Detail?PublicationID=P20190220047</v>
      </c>
    </row>
    <row r="806" spans="1:11" ht="51" x14ac:dyDescent="0.4">
      <c r="A806" s="10" t="s">
        <v>10889</v>
      </c>
      <c r="B806" s="10" t="s">
        <v>10890</v>
      </c>
      <c r="C806" s="10" t="s">
        <v>7822</v>
      </c>
      <c r="D806" s="10" t="s">
        <v>10891</v>
      </c>
      <c r="E806" s="10" t="s">
        <v>3219</v>
      </c>
      <c r="F806" s="10" t="s">
        <v>10283</v>
      </c>
      <c r="G806" s="10" t="s">
        <v>23</v>
      </c>
      <c r="H806" s="7" t="s">
        <v>24</v>
      </c>
      <c r="I806" s="7" t="s">
        <v>25</v>
      </c>
      <c r="J806" s="13" t="str">
        <f>HYPERLINK("https://www.airitibooks.com/Detail/Detail?PublicationID=P20190223048", "https://www.airitibooks.com/Detail/Detail?PublicationID=P20190223048")</f>
        <v>https://www.airitibooks.com/Detail/Detail?PublicationID=P20190223048</v>
      </c>
      <c r="K806" s="13" t="str">
        <f>HYPERLINK("https://ntsu.idm.oclc.org/login?url=https://www.airitibooks.com/Detail/Detail?PublicationID=P20190223048", "https://ntsu.idm.oclc.org/login?url=https://www.airitibooks.com/Detail/Detail?PublicationID=P20190223048")</f>
        <v>https://ntsu.idm.oclc.org/login?url=https://www.airitibooks.com/Detail/Detail?PublicationID=P20190223048</v>
      </c>
    </row>
    <row r="807" spans="1:11" ht="51" x14ac:dyDescent="0.4">
      <c r="A807" s="10" t="s">
        <v>10894</v>
      </c>
      <c r="B807" s="10" t="s">
        <v>10895</v>
      </c>
      <c r="C807" s="10" t="s">
        <v>1034</v>
      </c>
      <c r="D807" s="10" t="s">
        <v>10365</v>
      </c>
      <c r="E807" s="10" t="s">
        <v>3219</v>
      </c>
      <c r="F807" s="10" t="s">
        <v>7849</v>
      </c>
      <c r="G807" s="10" t="s">
        <v>23</v>
      </c>
      <c r="H807" s="7" t="s">
        <v>24</v>
      </c>
      <c r="I807" s="7" t="s">
        <v>25</v>
      </c>
      <c r="J807" s="13" t="str">
        <f>HYPERLINK("https://www.airitibooks.com/Detail/Detail?PublicationID=P20190304010", "https://www.airitibooks.com/Detail/Detail?PublicationID=P20190304010")</f>
        <v>https://www.airitibooks.com/Detail/Detail?PublicationID=P20190304010</v>
      </c>
      <c r="K807" s="13" t="str">
        <f>HYPERLINK("https://ntsu.idm.oclc.org/login?url=https://www.airitibooks.com/Detail/Detail?PublicationID=P20190304010", "https://ntsu.idm.oclc.org/login?url=https://www.airitibooks.com/Detail/Detail?PublicationID=P20190304010")</f>
        <v>https://ntsu.idm.oclc.org/login?url=https://www.airitibooks.com/Detail/Detail?PublicationID=P20190304010</v>
      </c>
    </row>
    <row r="808" spans="1:11" ht="51" x14ac:dyDescent="0.4">
      <c r="A808" s="10" t="s">
        <v>10899</v>
      </c>
      <c r="B808" s="10" t="s">
        <v>10900</v>
      </c>
      <c r="C808" s="10" t="s">
        <v>1034</v>
      </c>
      <c r="D808" s="10" t="s">
        <v>10432</v>
      </c>
      <c r="E808" s="10" t="s">
        <v>3219</v>
      </c>
      <c r="F808" s="10" t="s">
        <v>1646</v>
      </c>
      <c r="G808" s="10" t="s">
        <v>23</v>
      </c>
      <c r="H808" s="7" t="s">
        <v>7839</v>
      </c>
      <c r="I808" s="7" t="s">
        <v>25</v>
      </c>
      <c r="J808" s="13" t="str">
        <f>HYPERLINK("https://www.airitibooks.com/Detail/Detail?PublicationID=P20190304012", "https://www.airitibooks.com/Detail/Detail?PublicationID=P20190304012")</f>
        <v>https://www.airitibooks.com/Detail/Detail?PublicationID=P20190304012</v>
      </c>
      <c r="K808" s="13" t="str">
        <f>HYPERLINK("https://ntsu.idm.oclc.org/login?url=https://www.airitibooks.com/Detail/Detail?PublicationID=P20190304012", "https://ntsu.idm.oclc.org/login?url=https://www.airitibooks.com/Detail/Detail?PublicationID=P20190304012")</f>
        <v>https://ntsu.idm.oclc.org/login?url=https://www.airitibooks.com/Detail/Detail?PublicationID=P20190304012</v>
      </c>
    </row>
    <row r="809" spans="1:11" ht="51" x14ac:dyDescent="0.4">
      <c r="A809" s="10" t="s">
        <v>10980</v>
      </c>
      <c r="B809" s="10" t="s">
        <v>10981</v>
      </c>
      <c r="C809" s="10" t="s">
        <v>222</v>
      </c>
      <c r="D809" s="10" t="s">
        <v>699</v>
      </c>
      <c r="E809" s="10" t="s">
        <v>3219</v>
      </c>
      <c r="F809" s="10" t="s">
        <v>441</v>
      </c>
      <c r="G809" s="10" t="s">
        <v>23</v>
      </c>
      <c r="H809" s="7" t="s">
        <v>24</v>
      </c>
      <c r="I809" s="7" t="s">
        <v>25</v>
      </c>
      <c r="J809" s="13" t="str">
        <f>HYPERLINK("https://www.airitibooks.com/Detail/Detail?PublicationID=P20190329026", "https://www.airitibooks.com/Detail/Detail?PublicationID=P20190329026")</f>
        <v>https://www.airitibooks.com/Detail/Detail?PublicationID=P20190329026</v>
      </c>
      <c r="K809" s="13" t="str">
        <f>HYPERLINK("https://ntsu.idm.oclc.org/login?url=https://www.airitibooks.com/Detail/Detail?PublicationID=P20190329026", "https://ntsu.idm.oclc.org/login?url=https://www.airitibooks.com/Detail/Detail?PublicationID=P20190329026")</f>
        <v>https://ntsu.idm.oclc.org/login?url=https://www.airitibooks.com/Detail/Detail?PublicationID=P20190329026</v>
      </c>
    </row>
    <row r="810" spans="1:11" ht="51" x14ac:dyDescent="0.4">
      <c r="A810" s="10" t="s">
        <v>10982</v>
      </c>
      <c r="B810" s="10" t="s">
        <v>10983</v>
      </c>
      <c r="C810" s="10" t="s">
        <v>791</v>
      </c>
      <c r="D810" s="10" t="s">
        <v>10984</v>
      </c>
      <c r="E810" s="10" t="s">
        <v>3219</v>
      </c>
      <c r="F810" s="10" t="s">
        <v>394</v>
      </c>
      <c r="G810" s="10" t="s">
        <v>23</v>
      </c>
      <c r="H810" s="7" t="s">
        <v>24</v>
      </c>
      <c r="I810" s="7" t="s">
        <v>25</v>
      </c>
      <c r="J810" s="13" t="str">
        <f>HYPERLINK("https://www.airitibooks.com/Detail/Detail?PublicationID=P20190329027", "https://www.airitibooks.com/Detail/Detail?PublicationID=P20190329027")</f>
        <v>https://www.airitibooks.com/Detail/Detail?PublicationID=P20190329027</v>
      </c>
      <c r="K810" s="13" t="str">
        <f>HYPERLINK("https://ntsu.idm.oclc.org/login?url=https://www.airitibooks.com/Detail/Detail?PublicationID=P20190329027", "https://ntsu.idm.oclc.org/login?url=https://www.airitibooks.com/Detail/Detail?PublicationID=P20190329027")</f>
        <v>https://ntsu.idm.oclc.org/login?url=https://www.airitibooks.com/Detail/Detail?PublicationID=P20190329027</v>
      </c>
    </row>
    <row r="811" spans="1:11" ht="51" x14ac:dyDescent="0.4">
      <c r="A811" s="10" t="s">
        <v>10985</v>
      </c>
      <c r="B811" s="10" t="s">
        <v>10986</v>
      </c>
      <c r="C811" s="10" t="s">
        <v>791</v>
      </c>
      <c r="D811" s="10" t="s">
        <v>1446</v>
      </c>
      <c r="E811" s="10" t="s">
        <v>3219</v>
      </c>
      <c r="F811" s="10" t="s">
        <v>1599</v>
      </c>
      <c r="G811" s="10" t="s">
        <v>23</v>
      </c>
      <c r="H811" s="7" t="s">
        <v>24</v>
      </c>
      <c r="I811" s="7" t="s">
        <v>25</v>
      </c>
      <c r="J811" s="13" t="str">
        <f>HYPERLINK("https://www.airitibooks.com/Detail/Detail?PublicationID=P20190329028", "https://www.airitibooks.com/Detail/Detail?PublicationID=P20190329028")</f>
        <v>https://www.airitibooks.com/Detail/Detail?PublicationID=P20190329028</v>
      </c>
      <c r="K811" s="13" t="str">
        <f>HYPERLINK("https://ntsu.idm.oclc.org/login?url=https://www.airitibooks.com/Detail/Detail?PublicationID=P20190329028", "https://ntsu.idm.oclc.org/login?url=https://www.airitibooks.com/Detail/Detail?PublicationID=P20190329028")</f>
        <v>https://ntsu.idm.oclc.org/login?url=https://www.airitibooks.com/Detail/Detail?PublicationID=P20190329028</v>
      </c>
    </row>
    <row r="812" spans="1:11" ht="51" x14ac:dyDescent="0.4">
      <c r="A812" s="10" t="s">
        <v>11008</v>
      </c>
      <c r="B812" s="10" t="s">
        <v>11009</v>
      </c>
      <c r="C812" s="10" t="s">
        <v>11010</v>
      </c>
      <c r="D812" s="10" t="s">
        <v>11011</v>
      </c>
      <c r="E812" s="10" t="s">
        <v>3219</v>
      </c>
      <c r="F812" s="10" t="s">
        <v>565</v>
      </c>
      <c r="G812" s="10" t="s">
        <v>23</v>
      </c>
      <c r="H812" s="7" t="s">
        <v>24</v>
      </c>
      <c r="I812" s="7" t="s">
        <v>25</v>
      </c>
      <c r="J812" s="13" t="str">
        <f>HYPERLINK("https://www.airitibooks.com/Detail/Detail?PublicationID=P20190403003", "https://www.airitibooks.com/Detail/Detail?PublicationID=P20190403003")</f>
        <v>https://www.airitibooks.com/Detail/Detail?PublicationID=P20190403003</v>
      </c>
      <c r="K812" s="13" t="str">
        <f>HYPERLINK("https://ntsu.idm.oclc.org/login?url=https://www.airitibooks.com/Detail/Detail?PublicationID=P20190403003", "https://ntsu.idm.oclc.org/login?url=https://www.airitibooks.com/Detail/Detail?PublicationID=P20190403003")</f>
        <v>https://ntsu.idm.oclc.org/login?url=https://www.airitibooks.com/Detail/Detail?PublicationID=P20190403003</v>
      </c>
    </row>
    <row r="813" spans="1:11" ht="51" x14ac:dyDescent="0.4">
      <c r="A813" s="10" t="s">
        <v>11060</v>
      </c>
      <c r="B813" s="10" t="s">
        <v>11061</v>
      </c>
      <c r="C813" s="10" t="s">
        <v>2912</v>
      </c>
      <c r="D813" s="10" t="s">
        <v>11062</v>
      </c>
      <c r="E813" s="10" t="s">
        <v>3219</v>
      </c>
      <c r="F813" s="10" t="s">
        <v>250</v>
      </c>
      <c r="G813" s="10" t="s">
        <v>23</v>
      </c>
      <c r="H813" s="7" t="s">
        <v>24</v>
      </c>
      <c r="I813" s="7" t="s">
        <v>25</v>
      </c>
      <c r="J813" s="13" t="str">
        <f>HYPERLINK("https://www.airitibooks.com/Detail/Detail?PublicationID=P20190419026", "https://www.airitibooks.com/Detail/Detail?PublicationID=P20190419026")</f>
        <v>https://www.airitibooks.com/Detail/Detail?PublicationID=P20190419026</v>
      </c>
      <c r="K813" s="13" t="str">
        <f>HYPERLINK("https://ntsu.idm.oclc.org/login?url=https://www.airitibooks.com/Detail/Detail?PublicationID=P20190419026", "https://ntsu.idm.oclc.org/login?url=https://www.airitibooks.com/Detail/Detail?PublicationID=P20190419026")</f>
        <v>https://ntsu.idm.oclc.org/login?url=https://www.airitibooks.com/Detail/Detail?PublicationID=P20190419026</v>
      </c>
    </row>
    <row r="814" spans="1:11" ht="51" x14ac:dyDescent="0.4">
      <c r="A814" s="10" t="s">
        <v>11150</v>
      </c>
      <c r="B814" s="10" t="s">
        <v>11151</v>
      </c>
      <c r="C814" s="10" t="s">
        <v>791</v>
      </c>
      <c r="D814" s="10" t="s">
        <v>1103</v>
      </c>
      <c r="E814" s="10" t="s">
        <v>3219</v>
      </c>
      <c r="F814" s="10" t="s">
        <v>720</v>
      </c>
      <c r="G814" s="10" t="s">
        <v>23</v>
      </c>
      <c r="H814" s="7" t="s">
        <v>24</v>
      </c>
      <c r="I814" s="7" t="s">
        <v>25</v>
      </c>
      <c r="J814" s="13" t="str">
        <f>HYPERLINK("https://www.airitibooks.com/Detail/Detail?PublicationID=P20190425014", "https://www.airitibooks.com/Detail/Detail?PublicationID=P20190425014")</f>
        <v>https://www.airitibooks.com/Detail/Detail?PublicationID=P20190425014</v>
      </c>
      <c r="K814" s="13" t="str">
        <f>HYPERLINK("https://ntsu.idm.oclc.org/login?url=https://www.airitibooks.com/Detail/Detail?PublicationID=P20190425014", "https://ntsu.idm.oclc.org/login?url=https://www.airitibooks.com/Detail/Detail?PublicationID=P20190425014")</f>
        <v>https://ntsu.idm.oclc.org/login?url=https://www.airitibooks.com/Detail/Detail?PublicationID=P20190425014</v>
      </c>
    </row>
    <row r="815" spans="1:11" ht="51" x14ac:dyDescent="0.4">
      <c r="A815" s="10" t="s">
        <v>11185</v>
      </c>
      <c r="B815" s="10" t="s">
        <v>11186</v>
      </c>
      <c r="C815" s="10" t="s">
        <v>11187</v>
      </c>
      <c r="D815" s="10" t="s">
        <v>11188</v>
      </c>
      <c r="E815" s="10" t="s">
        <v>3219</v>
      </c>
      <c r="F815" s="10" t="s">
        <v>2560</v>
      </c>
      <c r="G815" s="10" t="s">
        <v>23</v>
      </c>
      <c r="H815" s="7" t="s">
        <v>24</v>
      </c>
      <c r="I815" s="7" t="s">
        <v>25</v>
      </c>
      <c r="J815" s="13" t="str">
        <f>HYPERLINK("https://www.airitibooks.com/Detail/Detail?PublicationID=P20190425043", "https://www.airitibooks.com/Detail/Detail?PublicationID=P20190425043")</f>
        <v>https://www.airitibooks.com/Detail/Detail?PublicationID=P20190425043</v>
      </c>
      <c r="K815" s="13" t="str">
        <f>HYPERLINK("https://ntsu.idm.oclc.org/login?url=https://www.airitibooks.com/Detail/Detail?PublicationID=P20190425043", "https://ntsu.idm.oclc.org/login?url=https://www.airitibooks.com/Detail/Detail?PublicationID=P20190425043")</f>
        <v>https://ntsu.idm.oclc.org/login?url=https://www.airitibooks.com/Detail/Detail?PublicationID=P20190425043</v>
      </c>
    </row>
    <row r="816" spans="1:11" ht="51" x14ac:dyDescent="0.4">
      <c r="A816" s="10" t="s">
        <v>11221</v>
      </c>
      <c r="B816" s="10" t="s">
        <v>11222</v>
      </c>
      <c r="C816" s="10" t="s">
        <v>222</v>
      </c>
      <c r="D816" s="10" t="s">
        <v>699</v>
      </c>
      <c r="E816" s="10" t="s">
        <v>3219</v>
      </c>
      <c r="F816" s="10" t="s">
        <v>441</v>
      </c>
      <c r="G816" s="10" t="s">
        <v>23</v>
      </c>
      <c r="H816" s="7" t="s">
        <v>24</v>
      </c>
      <c r="I816" s="7" t="s">
        <v>25</v>
      </c>
      <c r="J816" s="13" t="str">
        <f>HYPERLINK("https://www.airitibooks.com/Detail/Detail?PublicationID=P20190503015", "https://www.airitibooks.com/Detail/Detail?PublicationID=P20190503015")</f>
        <v>https://www.airitibooks.com/Detail/Detail?PublicationID=P20190503015</v>
      </c>
      <c r="K816" s="13" t="str">
        <f>HYPERLINK("https://ntsu.idm.oclc.org/login?url=https://www.airitibooks.com/Detail/Detail?PublicationID=P20190503015", "https://ntsu.idm.oclc.org/login?url=https://www.airitibooks.com/Detail/Detail?PublicationID=P20190503015")</f>
        <v>https://ntsu.idm.oclc.org/login?url=https://www.airitibooks.com/Detail/Detail?PublicationID=P20190503015</v>
      </c>
    </row>
    <row r="817" spans="1:11" ht="51" x14ac:dyDescent="0.4">
      <c r="A817" s="10" t="s">
        <v>11319</v>
      </c>
      <c r="B817" s="10" t="s">
        <v>11320</v>
      </c>
      <c r="C817" s="10" t="s">
        <v>9915</v>
      </c>
      <c r="D817" s="10" t="s">
        <v>11321</v>
      </c>
      <c r="E817" s="10" t="s">
        <v>3219</v>
      </c>
      <c r="F817" s="10" t="s">
        <v>1427</v>
      </c>
      <c r="G817" s="10" t="s">
        <v>23</v>
      </c>
      <c r="H817" s="7" t="s">
        <v>24</v>
      </c>
      <c r="I817" s="7" t="s">
        <v>25</v>
      </c>
      <c r="J817" s="13" t="str">
        <f>HYPERLINK("https://www.airitibooks.com/Detail/Detail?PublicationID=P20190510079", "https://www.airitibooks.com/Detail/Detail?PublicationID=P20190510079")</f>
        <v>https://www.airitibooks.com/Detail/Detail?PublicationID=P20190510079</v>
      </c>
      <c r="K817" s="13" t="str">
        <f>HYPERLINK("https://ntsu.idm.oclc.org/login?url=https://www.airitibooks.com/Detail/Detail?PublicationID=P20190510079", "https://ntsu.idm.oclc.org/login?url=https://www.airitibooks.com/Detail/Detail?PublicationID=P20190510079")</f>
        <v>https://ntsu.idm.oclc.org/login?url=https://www.airitibooks.com/Detail/Detail?PublicationID=P20190510079</v>
      </c>
    </row>
    <row r="818" spans="1:11" ht="51" x14ac:dyDescent="0.4">
      <c r="A818" s="10" t="s">
        <v>11328</v>
      </c>
      <c r="B818" s="10" t="s">
        <v>11329</v>
      </c>
      <c r="C818" s="10" t="s">
        <v>791</v>
      </c>
      <c r="D818" s="10" t="s">
        <v>1106</v>
      </c>
      <c r="E818" s="10" t="s">
        <v>3219</v>
      </c>
      <c r="F818" s="10" t="s">
        <v>1131</v>
      </c>
      <c r="G818" s="10" t="s">
        <v>23</v>
      </c>
      <c r="H818" s="7" t="s">
        <v>24</v>
      </c>
      <c r="I818" s="7" t="s">
        <v>25</v>
      </c>
      <c r="J818" s="13" t="str">
        <f>HYPERLINK("https://www.airitibooks.com/Detail/Detail?PublicationID=P20190517014", "https://www.airitibooks.com/Detail/Detail?PublicationID=P20190517014")</f>
        <v>https://www.airitibooks.com/Detail/Detail?PublicationID=P20190517014</v>
      </c>
      <c r="K818" s="13" t="str">
        <f>HYPERLINK("https://ntsu.idm.oclc.org/login?url=https://www.airitibooks.com/Detail/Detail?PublicationID=P20190517014", "https://ntsu.idm.oclc.org/login?url=https://www.airitibooks.com/Detail/Detail?PublicationID=P20190517014")</f>
        <v>https://ntsu.idm.oclc.org/login?url=https://www.airitibooks.com/Detail/Detail?PublicationID=P20190517014</v>
      </c>
    </row>
    <row r="819" spans="1:11" ht="51" x14ac:dyDescent="0.4">
      <c r="A819" s="10" t="s">
        <v>11489</v>
      </c>
      <c r="B819" s="10" t="s">
        <v>11490</v>
      </c>
      <c r="C819" s="10" t="s">
        <v>938</v>
      </c>
      <c r="D819" s="10" t="s">
        <v>5291</v>
      </c>
      <c r="E819" s="10" t="s">
        <v>3219</v>
      </c>
      <c r="F819" s="10" t="s">
        <v>11491</v>
      </c>
      <c r="G819" s="10" t="s">
        <v>23</v>
      </c>
      <c r="H819" s="7" t="s">
        <v>24</v>
      </c>
      <c r="I819" s="7" t="s">
        <v>25</v>
      </c>
      <c r="J819" s="13" t="str">
        <f>HYPERLINK("https://www.airitibooks.com/Detail/Detail?PublicationID=P20190523020", "https://www.airitibooks.com/Detail/Detail?PublicationID=P20190523020")</f>
        <v>https://www.airitibooks.com/Detail/Detail?PublicationID=P20190523020</v>
      </c>
      <c r="K819" s="13" t="str">
        <f>HYPERLINK("https://ntsu.idm.oclc.org/login?url=https://www.airitibooks.com/Detail/Detail?PublicationID=P20190523020", "https://ntsu.idm.oclc.org/login?url=https://www.airitibooks.com/Detail/Detail?PublicationID=P20190523020")</f>
        <v>https://ntsu.idm.oclc.org/login?url=https://www.airitibooks.com/Detail/Detail?PublicationID=P20190523020</v>
      </c>
    </row>
    <row r="820" spans="1:11" ht="51" x14ac:dyDescent="0.4">
      <c r="A820" s="10" t="s">
        <v>11492</v>
      </c>
      <c r="B820" s="10" t="s">
        <v>11493</v>
      </c>
      <c r="C820" s="10" t="s">
        <v>938</v>
      </c>
      <c r="D820" s="10" t="s">
        <v>11494</v>
      </c>
      <c r="E820" s="10" t="s">
        <v>3219</v>
      </c>
      <c r="F820" s="10" t="s">
        <v>1646</v>
      </c>
      <c r="G820" s="10" t="s">
        <v>23</v>
      </c>
      <c r="H820" s="7" t="s">
        <v>7839</v>
      </c>
      <c r="I820" s="7" t="s">
        <v>25</v>
      </c>
      <c r="J820" s="13" t="str">
        <f>HYPERLINK("https://www.airitibooks.com/Detail/Detail?PublicationID=P20190523022", "https://www.airitibooks.com/Detail/Detail?PublicationID=P20190523022")</f>
        <v>https://www.airitibooks.com/Detail/Detail?PublicationID=P20190523022</v>
      </c>
      <c r="K820" s="13" t="str">
        <f>HYPERLINK("https://ntsu.idm.oclc.org/login?url=https://www.airitibooks.com/Detail/Detail?PublicationID=P20190523022", "https://ntsu.idm.oclc.org/login?url=https://www.airitibooks.com/Detail/Detail?PublicationID=P20190523022")</f>
        <v>https://ntsu.idm.oclc.org/login?url=https://www.airitibooks.com/Detail/Detail?PublicationID=P20190523022</v>
      </c>
    </row>
    <row r="821" spans="1:11" ht="51" x14ac:dyDescent="0.4">
      <c r="A821" s="10" t="s">
        <v>11499</v>
      </c>
      <c r="B821" s="10" t="s">
        <v>11500</v>
      </c>
      <c r="C821" s="10" t="s">
        <v>938</v>
      </c>
      <c r="D821" s="10" t="s">
        <v>9982</v>
      </c>
      <c r="E821" s="10" t="s">
        <v>3219</v>
      </c>
      <c r="F821" s="10" t="s">
        <v>2484</v>
      </c>
      <c r="G821" s="10" t="s">
        <v>23</v>
      </c>
      <c r="H821" s="7" t="s">
        <v>24</v>
      </c>
      <c r="I821" s="7" t="s">
        <v>25</v>
      </c>
      <c r="J821" s="13" t="str">
        <f>HYPERLINK("https://www.airitibooks.com/Detail/Detail?PublicationID=P20190523027", "https://www.airitibooks.com/Detail/Detail?PublicationID=P20190523027")</f>
        <v>https://www.airitibooks.com/Detail/Detail?PublicationID=P20190523027</v>
      </c>
      <c r="K821" s="13" t="str">
        <f>HYPERLINK("https://ntsu.idm.oclc.org/login?url=https://www.airitibooks.com/Detail/Detail?PublicationID=P20190523027", "https://ntsu.idm.oclc.org/login?url=https://www.airitibooks.com/Detail/Detail?PublicationID=P20190523027")</f>
        <v>https://ntsu.idm.oclc.org/login?url=https://www.airitibooks.com/Detail/Detail?PublicationID=P20190523027</v>
      </c>
    </row>
    <row r="822" spans="1:11" ht="51" x14ac:dyDescent="0.4">
      <c r="A822" s="10" t="s">
        <v>11605</v>
      </c>
      <c r="B822" s="10" t="s">
        <v>11606</v>
      </c>
      <c r="C822" s="10" t="s">
        <v>11607</v>
      </c>
      <c r="D822" s="10" t="s">
        <v>11608</v>
      </c>
      <c r="E822" s="10" t="s">
        <v>3219</v>
      </c>
      <c r="F822" s="10" t="s">
        <v>3548</v>
      </c>
      <c r="G822" s="10" t="s">
        <v>23</v>
      </c>
      <c r="H822" s="7" t="s">
        <v>24</v>
      </c>
      <c r="I822" s="7" t="s">
        <v>25</v>
      </c>
      <c r="J822" s="13" t="str">
        <f>HYPERLINK("https://www.airitibooks.com/Detail/Detail?PublicationID=P20190606038", "https://www.airitibooks.com/Detail/Detail?PublicationID=P20190606038")</f>
        <v>https://www.airitibooks.com/Detail/Detail?PublicationID=P20190606038</v>
      </c>
      <c r="K822" s="13" t="str">
        <f>HYPERLINK("https://ntsu.idm.oclc.org/login?url=https://www.airitibooks.com/Detail/Detail?PublicationID=P20190606038", "https://ntsu.idm.oclc.org/login?url=https://www.airitibooks.com/Detail/Detail?PublicationID=P20190606038")</f>
        <v>https://ntsu.idm.oclc.org/login?url=https://www.airitibooks.com/Detail/Detail?PublicationID=P20190606038</v>
      </c>
    </row>
    <row r="823" spans="1:11" ht="51" x14ac:dyDescent="0.4">
      <c r="A823" s="10" t="s">
        <v>11609</v>
      </c>
      <c r="B823" s="10" t="s">
        <v>11610</v>
      </c>
      <c r="C823" s="10" t="s">
        <v>357</v>
      </c>
      <c r="D823" s="10" t="s">
        <v>3776</v>
      </c>
      <c r="E823" s="10" t="s">
        <v>3219</v>
      </c>
      <c r="F823" s="10" t="s">
        <v>565</v>
      </c>
      <c r="G823" s="10" t="s">
        <v>23</v>
      </c>
      <c r="H823" s="7" t="s">
        <v>24</v>
      </c>
      <c r="I823" s="7" t="s">
        <v>25</v>
      </c>
      <c r="J823" s="13" t="str">
        <f>HYPERLINK("https://www.airitibooks.com/Detail/Detail?PublicationID=P20190606039", "https://www.airitibooks.com/Detail/Detail?PublicationID=P20190606039")</f>
        <v>https://www.airitibooks.com/Detail/Detail?PublicationID=P20190606039</v>
      </c>
      <c r="K823" s="13" t="str">
        <f>HYPERLINK("https://ntsu.idm.oclc.org/login?url=https://www.airitibooks.com/Detail/Detail?PublicationID=P20190606039", "https://ntsu.idm.oclc.org/login?url=https://www.airitibooks.com/Detail/Detail?PublicationID=P20190606039")</f>
        <v>https://ntsu.idm.oclc.org/login?url=https://www.airitibooks.com/Detail/Detail?PublicationID=P20190606039</v>
      </c>
    </row>
    <row r="824" spans="1:11" ht="51" x14ac:dyDescent="0.4">
      <c r="A824" s="10" t="s">
        <v>11714</v>
      </c>
      <c r="B824" s="10" t="s">
        <v>11715</v>
      </c>
      <c r="C824" s="10" t="s">
        <v>3473</v>
      </c>
      <c r="D824" s="10" t="s">
        <v>5672</v>
      </c>
      <c r="E824" s="10" t="s">
        <v>3219</v>
      </c>
      <c r="F824" s="10" t="s">
        <v>11711</v>
      </c>
      <c r="G824" s="10" t="s">
        <v>23</v>
      </c>
      <c r="H824" s="7" t="s">
        <v>7839</v>
      </c>
      <c r="I824" s="7" t="s">
        <v>25</v>
      </c>
      <c r="J824" s="13" t="str">
        <f>HYPERLINK("https://www.airitibooks.com/Detail/Detail?PublicationID=P20190614233", "https://www.airitibooks.com/Detail/Detail?PublicationID=P20190614233")</f>
        <v>https://www.airitibooks.com/Detail/Detail?PublicationID=P20190614233</v>
      </c>
      <c r="K824" s="13" t="str">
        <f>HYPERLINK("https://ntsu.idm.oclc.org/login?url=https://www.airitibooks.com/Detail/Detail?PublicationID=P20190614233", "https://ntsu.idm.oclc.org/login?url=https://www.airitibooks.com/Detail/Detail?PublicationID=P20190614233")</f>
        <v>https://ntsu.idm.oclc.org/login?url=https://www.airitibooks.com/Detail/Detail?PublicationID=P20190614233</v>
      </c>
    </row>
    <row r="825" spans="1:11" ht="51" x14ac:dyDescent="0.4">
      <c r="A825" s="10" t="s">
        <v>11716</v>
      </c>
      <c r="B825" s="10" t="s">
        <v>11717</v>
      </c>
      <c r="C825" s="10" t="s">
        <v>3473</v>
      </c>
      <c r="D825" s="10" t="s">
        <v>3474</v>
      </c>
      <c r="E825" s="10" t="s">
        <v>3219</v>
      </c>
      <c r="F825" s="10" t="s">
        <v>1122</v>
      </c>
      <c r="G825" s="10" t="s">
        <v>23</v>
      </c>
      <c r="H825" s="7" t="s">
        <v>24</v>
      </c>
      <c r="I825" s="7" t="s">
        <v>25</v>
      </c>
      <c r="J825" s="13" t="str">
        <f>HYPERLINK("https://www.airitibooks.com/Detail/Detail?PublicationID=P20190614234", "https://www.airitibooks.com/Detail/Detail?PublicationID=P20190614234")</f>
        <v>https://www.airitibooks.com/Detail/Detail?PublicationID=P20190614234</v>
      </c>
      <c r="K825" s="13" t="str">
        <f>HYPERLINK("https://ntsu.idm.oclc.org/login?url=https://www.airitibooks.com/Detail/Detail?PublicationID=P20190614234", "https://ntsu.idm.oclc.org/login?url=https://www.airitibooks.com/Detail/Detail?PublicationID=P20190614234")</f>
        <v>https://ntsu.idm.oclc.org/login?url=https://www.airitibooks.com/Detail/Detail?PublicationID=P20190614234</v>
      </c>
    </row>
    <row r="826" spans="1:11" ht="51" x14ac:dyDescent="0.4">
      <c r="A826" s="10" t="s">
        <v>11775</v>
      </c>
      <c r="B826" s="10" t="s">
        <v>11776</v>
      </c>
      <c r="C826" s="10" t="s">
        <v>791</v>
      </c>
      <c r="D826" s="10" t="s">
        <v>449</v>
      </c>
      <c r="E826" s="10" t="s">
        <v>3219</v>
      </c>
      <c r="F826" s="10" t="s">
        <v>214</v>
      </c>
      <c r="G826" s="10" t="s">
        <v>23</v>
      </c>
      <c r="H826" s="7" t="s">
        <v>7839</v>
      </c>
      <c r="I826" s="7" t="s">
        <v>25</v>
      </c>
      <c r="J826" s="13" t="str">
        <f>HYPERLINK("https://www.airitibooks.com/Detail/Detail?PublicationID=P20190620043", "https://www.airitibooks.com/Detail/Detail?PublicationID=P20190620043")</f>
        <v>https://www.airitibooks.com/Detail/Detail?PublicationID=P20190620043</v>
      </c>
      <c r="K826" s="13" t="str">
        <f>HYPERLINK("https://ntsu.idm.oclc.org/login?url=https://www.airitibooks.com/Detail/Detail?PublicationID=P20190620043", "https://ntsu.idm.oclc.org/login?url=https://www.airitibooks.com/Detail/Detail?PublicationID=P20190620043")</f>
        <v>https://ntsu.idm.oclc.org/login?url=https://www.airitibooks.com/Detail/Detail?PublicationID=P20190620043</v>
      </c>
    </row>
    <row r="827" spans="1:11" ht="51" x14ac:dyDescent="0.4">
      <c r="A827" s="10" t="s">
        <v>11784</v>
      </c>
      <c r="B827" s="10" t="s">
        <v>11785</v>
      </c>
      <c r="C827" s="10" t="s">
        <v>428</v>
      </c>
      <c r="D827" s="10" t="s">
        <v>11786</v>
      </c>
      <c r="E827" s="10" t="s">
        <v>3219</v>
      </c>
      <c r="F827" s="10" t="s">
        <v>1917</v>
      </c>
      <c r="G827" s="10" t="s">
        <v>23</v>
      </c>
      <c r="H827" s="7" t="s">
        <v>24</v>
      </c>
      <c r="I827" s="7" t="s">
        <v>25</v>
      </c>
      <c r="J827" s="13" t="str">
        <f>HYPERLINK("https://www.airitibooks.com/Detail/Detail?PublicationID=P20190620048", "https://www.airitibooks.com/Detail/Detail?PublicationID=P20190620048")</f>
        <v>https://www.airitibooks.com/Detail/Detail?PublicationID=P20190620048</v>
      </c>
      <c r="K827" s="13" t="str">
        <f>HYPERLINK("https://ntsu.idm.oclc.org/login?url=https://www.airitibooks.com/Detail/Detail?PublicationID=P20190620048", "https://ntsu.idm.oclc.org/login?url=https://www.airitibooks.com/Detail/Detail?PublicationID=P20190620048")</f>
        <v>https://ntsu.idm.oclc.org/login?url=https://www.airitibooks.com/Detail/Detail?PublicationID=P20190620048</v>
      </c>
    </row>
    <row r="828" spans="1:11" ht="51" x14ac:dyDescent="0.4">
      <c r="A828" s="10" t="s">
        <v>11817</v>
      </c>
      <c r="B828" s="10" t="s">
        <v>11818</v>
      </c>
      <c r="C828" s="10" t="s">
        <v>297</v>
      </c>
      <c r="D828" s="10" t="s">
        <v>1406</v>
      </c>
      <c r="E828" s="10" t="s">
        <v>3219</v>
      </c>
      <c r="F828" s="10" t="s">
        <v>299</v>
      </c>
      <c r="G828" s="10" t="s">
        <v>23</v>
      </c>
      <c r="H828" s="7" t="s">
        <v>24</v>
      </c>
      <c r="I828" s="7" t="s">
        <v>25</v>
      </c>
      <c r="J828" s="13" t="str">
        <f>HYPERLINK("https://www.airitibooks.com/Detail/Detail?PublicationID=P20190620065", "https://www.airitibooks.com/Detail/Detail?PublicationID=P20190620065")</f>
        <v>https://www.airitibooks.com/Detail/Detail?PublicationID=P20190620065</v>
      </c>
      <c r="K828" s="13" t="str">
        <f>HYPERLINK("https://ntsu.idm.oclc.org/login?url=https://www.airitibooks.com/Detail/Detail?PublicationID=P20190620065", "https://ntsu.idm.oclc.org/login?url=https://www.airitibooks.com/Detail/Detail?PublicationID=P20190620065")</f>
        <v>https://ntsu.idm.oclc.org/login?url=https://www.airitibooks.com/Detail/Detail?PublicationID=P20190620065</v>
      </c>
    </row>
    <row r="829" spans="1:11" ht="51" x14ac:dyDescent="0.4">
      <c r="A829" s="10" t="s">
        <v>11824</v>
      </c>
      <c r="B829" s="10" t="s">
        <v>11825</v>
      </c>
      <c r="C829" s="10" t="s">
        <v>297</v>
      </c>
      <c r="D829" s="10" t="s">
        <v>4519</v>
      </c>
      <c r="E829" s="10" t="s">
        <v>3219</v>
      </c>
      <c r="F829" s="10" t="s">
        <v>299</v>
      </c>
      <c r="G829" s="10" t="s">
        <v>23</v>
      </c>
      <c r="H829" s="7" t="s">
        <v>24</v>
      </c>
      <c r="I829" s="7" t="s">
        <v>25</v>
      </c>
      <c r="J829" s="13" t="str">
        <f>HYPERLINK("https://www.airitibooks.com/Detail/Detail?PublicationID=P20190620068", "https://www.airitibooks.com/Detail/Detail?PublicationID=P20190620068")</f>
        <v>https://www.airitibooks.com/Detail/Detail?PublicationID=P20190620068</v>
      </c>
      <c r="K829" s="13" t="str">
        <f>HYPERLINK("https://ntsu.idm.oclc.org/login?url=https://www.airitibooks.com/Detail/Detail?PublicationID=P20190620068", "https://ntsu.idm.oclc.org/login?url=https://www.airitibooks.com/Detail/Detail?PublicationID=P20190620068")</f>
        <v>https://ntsu.idm.oclc.org/login?url=https://www.airitibooks.com/Detail/Detail?PublicationID=P20190620068</v>
      </c>
    </row>
    <row r="830" spans="1:11" ht="51" x14ac:dyDescent="0.4">
      <c r="A830" s="10" t="s">
        <v>11832</v>
      </c>
      <c r="B830" s="10" t="s">
        <v>11833</v>
      </c>
      <c r="C830" s="10" t="s">
        <v>212</v>
      </c>
      <c r="D830" s="10" t="s">
        <v>671</v>
      </c>
      <c r="E830" s="10" t="s">
        <v>3219</v>
      </c>
      <c r="F830" s="10" t="s">
        <v>1122</v>
      </c>
      <c r="G830" s="10" t="s">
        <v>23</v>
      </c>
      <c r="H830" s="7" t="s">
        <v>24</v>
      </c>
      <c r="I830" s="7" t="s">
        <v>25</v>
      </c>
      <c r="J830" s="13" t="str">
        <f>HYPERLINK("https://www.airitibooks.com/Detail/Detail?PublicationID=P20190620072", "https://www.airitibooks.com/Detail/Detail?PublicationID=P20190620072")</f>
        <v>https://www.airitibooks.com/Detail/Detail?PublicationID=P20190620072</v>
      </c>
      <c r="K830" s="13" t="str">
        <f>HYPERLINK("https://ntsu.idm.oclc.org/login?url=https://www.airitibooks.com/Detail/Detail?PublicationID=P20190620072", "https://ntsu.idm.oclc.org/login?url=https://www.airitibooks.com/Detail/Detail?PublicationID=P20190620072")</f>
        <v>https://ntsu.idm.oclc.org/login?url=https://www.airitibooks.com/Detail/Detail?PublicationID=P20190620072</v>
      </c>
    </row>
    <row r="831" spans="1:11" ht="51" x14ac:dyDescent="0.4">
      <c r="A831" s="10" t="s">
        <v>11834</v>
      </c>
      <c r="B831" s="10" t="s">
        <v>11835</v>
      </c>
      <c r="C831" s="10" t="s">
        <v>212</v>
      </c>
      <c r="D831" s="10" t="s">
        <v>671</v>
      </c>
      <c r="E831" s="10" t="s">
        <v>3219</v>
      </c>
      <c r="F831" s="10" t="s">
        <v>1122</v>
      </c>
      <c r="G831" s="10" t="s">
        <v>23</v>
      </c>
      <c r="H831" s="7" t="s">
        <v>24</v>
      </c>
      <c r="I831" s="7" t="s">
        <v>25</v>
      </c>
      <c r="J831" s="13" t="str">
        <f>HYPERLINK("https://www.airitibooks.com/Detail/Detail?PublicationID=P20190620073", "https://www.airitibooks.com/Detail/Detail?PublicationID=P20190620073")</f>
        <v>https://www.airitibooks.com/Detail/Detail?PublicationID=P20190620073</v>
      </c>
      <c r="K831" s="13" t="str">
        <f>HYPERLINK("https://ntsu.idm.oclc.org/login?url=https://www.airitibooks.com/Detail/Detail?PublicationID=P20190620073", "https://ntsu.idm.oclc.org/login?url=https://www.airitibooks.com/Detail/Detail?PublicationID=P20190620073")</f>
        <v>https://ntsu.idm.oclc.org/login?url=https://www.airitibooks.com/Detail/Detail?PublicationID=P20190620073</v>
      </c>
    </row>
    <row r="832" spans="1:11" ht="51" x14ac:dyDescent="0.4">
      <c r="A832" s="10" t="s">
        <v>11836</v>
      </c>
      <c r="B832" s="10" t="s">
        <v>11837</v>
      </c>
      <c r="C832" s="10" t="s">
        <v>212</v>
      </c>
      <c r="D832" s="10" t="s">
        <v>213</v>
      </c>
      <c r="E832" s="10" t="s">
        <v>3219</v>
      </c>
      <c r="F832" s="10" t="s">
        <v>214</v>
      </c>
      <c r="G832" s="10" t="s">
        <v>23</v>
      </c>
      <c r="H832" s="7" t="s">
        <v>24</v>
      </c>
      <c r="I832" s="7" t="s">
        <v>25</v>
      </c>
      <c r="J832" s="13" t="str">
        <f>HYPERLINK("https://www.airitibooks.com/Detail/Detail?PublicationID=P20190620074", "https://www.airitibooks.com/Detail/Detail?PublicationID=P20190620074")</f>
        <v>https://www.airitibooks.com/Detail/Detail?PublicationID=P20190620074</v>
      </c>
      <c r="K832" s="13" t="str">
        <f>HYPERLINK("https://ntsu.idm.oclc.org/login?url=https://www.airitibooks.com/Detail/Detail?PublicationID=P20190620074", "https://ntsu.idm.oclc.org/login?url=https://www.airitibooks.com/Detail/Detail?PublicationID=P20190620074")</f>
        <v>https://ntsu.idm.oclc.org/login?url=https://www.airitibooks.com/Detail/Detail?PublicationID=P20190620074</v>
      </c>
    </row>
    <row r="833" spans="1:11" ht="51" x14ac:dyDescent="0.4">
      <c r="A833" s="10" t="s">
        <v>11838</v>
      </c>
      <c r="B833" s="10" t="s">
        <v>11839</v>
      </c>
      <c r="C833" s="10" t="s">
        <v>212</v>
      </c>
      <c r="D833" s="10" t="s">
        <v>671</v>
      </c>
      <c r="E833" s="10" t="s">
        <v>3219</v>
      </c>
      <c r="F833" s="10" t="s">
        <v>710</v>
      </c>
      <c r="G833" s="10" t="s">
        <v>23</v>
      </c>
      <c r="H833" s="7" t="s">
        <v>24</v>
      </c>
      <c r="I833" s="7" t="s">
        <v>25</v>
      </c>
      <c r="J833" s="13" t="str">
        <f>HYPERLINK("https://www.airitibooks.com/Detail/Detail?PublicationID=P20190620075", "https://www.airitibooks.com/Detail/Detail?PublicationID=P20190620075")</f>
        <v>https://www.airitibooks.com/Detail/Detail?PublicationID=P20190620075</v>
      </c>
      <c r="K833" s="13" t="str">
        <f>HYPERLINK("https://ntsu.idm.oclc.org/login?url=https://www.airitibooks.com/Detail/Detail?PublicationID=P20190620075", "https://ntsu.idm.oclc.org/login?url=https://www.airitibooks.com/Detail/Detail?PublicationID=P20190620075")</f>
        <v>https://ntsu.idm.oclc.org/login?url=https://www.airitibooks.com/Detail/Detail?PublicationID=P20190620075</v>
      </c>
    </row>
    <row r="834" spans="1:11" ht="51" x14ac:dyDescent="0.4">
      <c r="A834" s="10" t="s">
        <v>11842</v>
      </c>
      <c r="B834" s="10" t="s">
        <v>11843</v>
      </c>
      <c r="C834" s="10" t="s">
        <v>212</v>
      </c>
      <c r="D834" s="10" t="s">
        <v>671</v>
      </c>
      <c r="E834" s="10" t="s">
        <v>3219</v>
      </c>
      <c r="F834" s="10" t="s">
        <v>5154</v>
      </c>
      <c r="G834" s="10" t="s">
        <v>23</v>
      </c>
      <c r="H834" s="7" t="s">
        <v>24</v>
      </c>
      <c r="I834" s="7" t="s">
        <v>25</v>
      </c>
      <c r="J834" s="13" t="str">
        <f>HYPERLINK("https://www.airitibooks.com/Detail/Detail?PublicationID=P20190620077", "https://www.airitibooks.com/Detail/Detail?PublicationID=P20190620077")</f>
        <v>https://www.airitibooks.com/Detail/Detail?PublicationID=P20190620077</v>
      </c>
      <c r="K834" s="13" t="str">
        <f>HYPERLINK("https://ntsu.idm.oclc.org/login?url=https://www.airitibooks.com/Detail/Detail?PublicationID=P20190620077", "https://ntsu.idm.oclc.org/login?url=https://www.airitibooks.com/Detail/Detail?PublicationID=P20190620077")</f>
        <v>https://ntsu.idm.oclc.org/login?url=https://www.airitibooks.com/Detail/Detail?PublicationID=P20190620077</v>
      </c>
    </row>
    <row r="835" spans="1:11" ht="51" x14ac:dyDescent="0.4">
      <c r="A835" s="10" t="s">
        <v>11844</v>
      </c>
      <c r="B835" s="10" t="s">
        <v>11845</v>
      </c>
      <c r="C835" s="10" t="s">
        <v>212</v>
      </c>
      <c r="D835" s="10" t="s">
        <v>671</v>
      </c>
      <c r="E835" s="10" t="s">
        <v>3219</v>
      </c>
      <c r="F835" s="10" t="s">
        <v>1599</v>
      </c>
      <c r="G835" s="10" t="s">
        <v>23</v>
      </c>
      <c r="H835" s="7" t="s">
        <v>24</v>
      </c>
      <c r="I835" s="7" t="s">
        <v>25</v>
      </c>
      <c r="J835" s="13" t="str">
        <f>HYPERLINK("https://www.airitibooks.com/Detail/Detail?PublicationID=P20190620078", "https://www.airitibooks.com/Detail/Detail?PublicationID=P20190620078")</f>
        <v>https://www.airitibooks.com/Detail/Detail?PublicationID=P20190620078</v>
      </c>
      <c r="K835" s="13" t="str">
        <f>HYPERLINK("https://ntsu.idm.oclc.org/login?url=https://www.airitibooks.com/Detail/Detail?PublicationID=P20190620078", "https://ntsu.idm.oclc.org/login?url=https://www.airitibooks.com/Detail/Detail?PublicationID=P20190620078")</f>
        <v>https://ntsu.idm.oclc.org/login?url=https://www.airitibooks.com/Detail/Detail?PublicationID=P20190620078</v>
      </c>
    </row>
    <row r="836" spans="1:11" ht="51" x14ac:dyDescent="0.4">
      <c r="A836" s="10" t="s">
        <v>11918</v>
      </c>
      <c r="B836" s="10" t="s">
        <v>11919</v>
      </c>
      <c r="C836" s="10" t="s">
        <v>1966</v>
      </c>
      <c r="D836" s="10" t="s">
        <v>11920</v>
      </c>
      <c r="E836" s="10" t="s">
        <v>3219</v>
      </c>
      <c r="F836" s="10" t="s">
        <v>1856</v>
      </c>
      <c r="G836" s="10" t="s">
        <v>23</v>
      </c>
      <c r="H836" s="7" t="s">
        <v>24</v>
      </c>
      <c r="I836" s="7" t="s">
        <v>25</v>
      </c>
      <c r="J836" s="13" t="str">
        <f>HYPERLINK("https://www.airitibooks.com/Detail/Detail?PublicationID=P20190705029", "https://www.airitibooks.com/Detail/Detail?PublicationID=P20190705029")</f>
        <v>https://www.airitibooks.com/Detail/Detail?PublicationID=P20190705029</v>
      </c>
      <c r="K836" s="13" t="str">
        <f>HYPERLINK("https://ntsu.idm.oclc.org/login?url=https://www.airitibooks.com/Detail/Detail?PublicationID=P20190705029", "https://ntsu.idm.oclc.org/login?url=https://www.airitibooks.com/Detail/Detail?PublicationID=P20190705029")</f>
        <v>https://ntsu.idm.oclc.org/login?url=https://www.airitibooks.com/Detail/Detail?PublicationID=P20190705029</v>
      </c>
    </row>
    <row r="837" spans="1:11" ht="51" x14ac:dyDescent="0.4">
      <c r="A837" s="10" t="s">
        <v>11942</v>
      </c>
      <c r="B837" s="10" t="s">
        <v>11943</v>
      </c>
      <c r="C837" s="10" t="s">
        <v>938</v>
      </c>
      <c r="D837" s="10" t="s">
        <v>3907</v>
      </c>
      <c r="E837" s="10" t="s">
        <v>3219</v>
      </c>
      <c r="F837" s="10" t="s">
        <v>1646</v>
      </c>
      <c r="G837" s="10" t="s">
        <v>23</v>
      </c>
      <c r="H837" s="7" t="s">
        <v>7839</v>
      </c>
      <c r="I837" s="7" t="s">
        <v>25</v>
      </c>
      <c r="J837" s="13" t="str">
        <f>HYPERLINK("https://www.airitibooks.com/Detail/Detail?PublicationID=P20190711028", "https://www.airitibooks.com/Detail/Detail?PublicationID=P20190711028")</f>
        <v>https://www.airitibooks.com/Detail/Detail?PublicationID=P20190711028</v>
      </c>
      <c r="K837" s="13" t="str">
        <f>HYPERLINK("https://ntsu.idm.oclc.org/login?url=https://www.airitibooks.com/Detail/Detail?PublicationID=P20190711028", "https://ntsu.idm.oclc.org/login?url=https://www.airitibooks.com/Detail/Detail?PublicationID=P20190711028")</f>
        <v>https://ntsu.idm.oclc.org/login?url=https://www.airitibooks.com/Detail/Detail?PublicationID=P20190711028</v>
      </c>
    </row>
    <row r="838" spans="1:11" ht="85" x14ac:dyDescent="0.4">
      <c r="A838" s="10" t="s">
        <v>11946</v>
      </c>
      <c r="B838" s="10" t="s">
        <v>11947</v>
      </c>
      <c r="C838" s="10" t="s">
        <v>3919</v>
      </c>
      <c r="D838" s="10" t="s">
        <v>11604</v>
      </c>
      <c r="E838" s="10" t="s">
        <v>3219</v>
      </c>
      <c r="F838" s="10" t="s">
        <v>3921</v>
      </c>
      <c r="G838" s="10" t="s">
        <v>23</v>
      </c>
      <c r="H838" s="7" t="s">
        <v>24</v>
      </c>
      <c r="I838" s="7" t="s">
        <v>25</v>
      </c>
      <c r="J838" s="13" t="str">
        <f>HYPERLINK("https://www.airitibooks.com/Detail/Detail?PublicationID=P20190711049", "https://www.airitibooks.com/Detail/Detail?PublicationID=P20190711049")</f>
        <v>https://www.airitibooks.com/Detail/Detail?PublicationID=P20190711049</v>
      </c>
      <c r="K838" s="13" t="str">
        <f>HYPERLINK("https://ntsu.idm.oclc.org/login?url=https://www.airitibooks.com/Detail/Detail?PublicationID=P20190711049", "https://ntsu.idm.oclc.org/login?url=https://www.airitibooks.com/Detail/Detail?PublicationID=P20190711049")</f>
        <v>https://ntsu.idm.oclc.org/login?url=https://www.airitibooks.com/Detail/Detail?PublicationID=P20190711049</v>
      </c>
    </row>
    <row r="839" spans="1:11" ht="85" x14ac:dyDescent="0.4">
      <c r="A839" s="10" t="s">
        <v>11971</v>
      </c>
      <c r="B839" s="10" t="s">
        <v>11972</v>
      </c>
      <c r="C839" s="10" t="s">
        <v>791</v>
      </c>
      <c r="D839" s="10" t="s">
        <v>11973</v>
      </c>
      <c r="E839" s="10" t="s">
        <v>3219</v>
      </c>
      <c r="F839" s="10" t="s">
        <v>1122</v>
      </c>
      <c r="G839" s="10" t="s">
        <v>23</v>
      </c>
      <c r="H839" s="7" t="s">
        <v>24</v>
      </c>
      <c r="I839" s="7" t="s">
        <v>25</v>
      </c>
      <c r="J839" s="13" t="str">
        <f>HYPERLINK("https://www.airitibooks.com/Detail/Detail?PublicationID=P20190718029", "https://www.airitibooks.com/Detail/Detail?PublicationID=P20190718029")</f>
        <v>https://www.airitibooks.com/Detail/Detail?PublicationID=P20190718029</v>
      </c>
      <c r="K839" s="13" t="str">
        <f>HYPERLINK("https://ntsu.idm.oclc.org/login?url=https://www.airitibooks.com/Detail/Detail?PublicationID=P20190718029", "https://ntsu.idm.oclc.org/login?url=https://www.airitibooks.com/Detail/Detail?PublicationID=P20190718029")</f>
        <v>https://ntsu.idm.oclc.org/login?url=https://www.airitibooks.com/Detail/Detail?PublicationID=P20190718029</v>
      </c>
    </row>
    <row r="840" spans="1:11" ht="51" x14ac:dyDescent="0.4">
      <c r="A840" s="10" t="s">
        <v>11974</v>
      </c>
      <c r="B840" s="10" t="s">
        <v>11975</v>
      </c>
      <c r="C840" s="10" t="s">
        <v>791</v>
      </c>
      <c r="D840" s="10" t="s">
        <v>11976</v>
      </c>
      <c r="E840" s="10" t="s">
        <v>3219</v>
      </c>
      <c r="F840" s="10" t="s">
        <v>720</v>
      </c>
      <c r="G840" s="10" t="s">
        <v>23</v>
      </c>
      <c r="H840" s="7" t="s">
        <v>7839</v>
      </c>
      <c r="I840" s="7" t="s">
        <v>25</v>
      </c>
      <c r="J840" s="13" t="str">
        <f>HYPERLINK("https://www.airitibooks.com/Detail/Detail?PublicationID=P20190718030", "https://www.airitibooks.com/Detail/Detail?PublicationID=P20190718030")</f>
        <v>https://www.airitibooks.com/Detail/Detail?PublicationID=P20190718030</v>
      </c>
      <c r="K840" s="13" t="str">
        <f>HYPERLINK("https://ntsu.idm.oclc.org/login?url=https://www.airitibooks.com/Detail/Detail?PublicationID=P20190718030", "https://ntsu.idm.oclc.org/login?url=https://www.airitibooks.com/Detail/Detail?PublicationID=P20190718030")</f>
        <v>https://ntsu.idm.oclc.org/login?url=https://www.airitibooks.com/Detail/Detail?PublicationID=P20190718030</v>
      </c>
    </row>
    <row r="841" spans="1:11" ht="85" x14ac:dyDescent="0.4">
      <c r="A841" s="10" t="s">
        <v>12052</v>
      </c>
      <c r="B841" s="10" t="s">
        <v>12053</v>
      </c>
      <c r="C841" s="10" t="s">
        <v>568</v>
      </c>
      <c r="D841" s="10" t="s">
        <v>12054</v>
      </c>
      <c r="E841" s="10" t="s">
        <v>3219</v>
      </c>
      <c r="F841" s="10" t="s">
        <v>3307</v>
      </c>
      <c r="G841" s="10" t="s">
        <v>23</v>
      </c>
      <c r="H841" s="7" t="s">
        <v>24</v>
      </c>
      <c r="I841" s="7" t="s">
        <v>25</v>
      </c>
      <c r="J841" s="13" t="str">
        <f>HYPERLINK("https://www.airitibooks.com/Detail/Detail?PublicationID=P20190816077", "https://www.airitibooks.com/Detail/Detail?PublicationID=P20190816077")</f>
        <v>https://www.airitibooks.com/Detail/Detail?PublicationID=P20190816077</v>
      </c>
      <c r="K841" s="13" t="str">
        <f>HYPERLINK("https://ntsu.idm.oclc.org/login?url=https://www.airitibooks.com/Detail/Detail?PublicationID=P20190816077", "https://ntsu.idm.oclc.org/login?url=https://www.airitibooks.com/Detail/Detail?PublicationID=P20190816077")</f>
        <v>https://ntsu.idm.oclc.org/login?url=https://www.airitibooks.com/Detail/Detail?PublicationID=P20190816077</v>
      </c>
    </row>
    <row r="842" spans="1:11" ht="85" x14ac:dyDescent="0.4">
      <c r="A842" s="10" t="s">
        <v>12055</v>
      </c>
      <c r="B842" s="10" t="s">
        <v>12056</v>
      </c>
      <c r="C842" s="10" t="s">
        <v>791</v>
      </c>
      <c r="D842" s="10" t="s">
        <v>12057</v>
      </c>
      <c r="E842" s="10" t="s">
        <v>3219</v>
      </c>
      <c r="F842" s="10" t="s">
        <v>1127</v>
      </c>
      <c r="G842" s="10" t="s">
        <v>23</v>
      </c>
      <c r="H842" s="7" t="s">
        <v>24</v>
      </c>
      <c r="I842" s="7" t="s">
        <v>25</v>
      </c>
      <c r="J842" s="13" t="str">
        <f>HYPERLINK("https://www.airitibooks.com/Detail/Detail?PublicationID=P20190816079", "https://www.airitibooks.com/Detail/Detail?PublicationID=P20190816079")</f>
        <v>https://www.airitibooks.com/Detail/Detail?PublicationID=P20190816079</v>
      </c>
      <c r="K842" s="13" t="str">
        <f>HYPERLINK("https://ntsu.idm.oclc.org/login?url=https://www.airitibooks.com/Detail/Detail?PublicationID=P20190816079", "https://ntsu.idm.oclc.org/login?url=https://www.airitibooks.com/Detail/Detail?PublicationID=P20190816079")</f>
        <v>https://ntsu.idm.oclc.org/login?url=https://www.airitibooks.com/Detail/Detail?PublicationID=P20190816079</v>
      </c>
    </row>
    <row r="843" spans="1:11" ht="51" x14ac:dyDescent="0.4">
      <c r="A843" s="10" t="s">
        <v>12058</v>
      </c>
      <c r="B843" s="10" t="s">
        <v>12059</v>
      </c>
      <c r="C843" s="10" t="s">
        <v>791</v>
      </c>
      <c r="D843" s="10" t="s">
        <v>12057</v>
      </c>
      <c r="E843" s="10" t="s">
        <v>3219</v>
      </c>
      <c r="F843" s="10" t="s">
        <v>1127</v>
      </c>
      <c r="G843" s="10" t="s">
        <v>23</v>
      </c>
      <c r="H843" s="7" t="s">
        <v>24</v>
      </c>
      <c r="I843" s="7" t="s">
        <v>25</v>
      </c>
      <c r="J843" s="13" t="str">
        <f>HYPERLINK("https://www.airitibooks.com/Detail/Detail?PublicationID=P20190816080", "https://www.airitibooks.com/Detail/Detail?PublicationID=P20190816080")</f>
        <v>https://www.airitibooks.com/Detail/Detail?PublicationID=P20190816080</v>
      </c>
      <c r="K843" s="13" t="str">
        <f>HYPERLINK("https://ntsu.idm.oclc.org/login?url=https://www.airitibooks.com/Detail/Detail?PublicationID=P20190816080", "https://ntsu.idm.oclc.org/login?url=https://www.airitibooks.com/Detail/Detail?PublicationID=P20190816080")</f>
        <v>https://ntsu.idm.oclc.org/login?url=https://www.airitibooks.com/Detail/Detail?PublicationID=P20190816080</v>
      </c>
    </row>
    <row r="844" spans="1:11" ht="51" x14ac:dyDescent="0.4">
      <c r="A844" s="10" t="s">
        <v>12073</v>
      </c>
      <c r="B844" s="10" t="s">
        <v>12074</v>
      </c>
      <c r="C844" s="10" t="s">
        <v>746</v>
      </c>
      <c r="D844" s="10" t="s">
        <v>12075</v>
      </c>
      <c r="E844" s="10" t="s">
        <v>3219</v>
      </c>
      <c r="F844" s="10" t="s">
        <v>299</v>
      </c>
      <c r="G844" s="10" t="s">
        <v>23</v>
      </c>
      <c r="H844" s="7" t="s">
        <v>24</v>
      </c>
      <c r="I844" s="7" t="s">
        <v>25</v>
      </c>
      <c r="J844" s="13" t="str">
        <f>HYPERLINK("https://www.airitibooks.com/Detail/Detail?PublicationID=P20190816095", "https://www.airitibooks.com/Detail/Detail?PublicationID=P20190816095")</f>
        <v>https://www.airitibooks.com/Detail/Detail?PublicationID=P20190816095</v>
      </c>
      <c r="K844" s="13" t="str">
        <f>HYPERLINK("https://ntsu.idm.oclc.org/login?url=https://www.airitibooks.com/Detail/Detail?PublicationID=P20190816095", "https://ntsu.idm.oclc.org/login?url=https://www.airitibooks.com/Detail/Detail?PublicationID=P20190816095")</f>
        <v>https://ntsu.idm.oclc.org/login?url=https://www.airitibooks.com/Detail/Detail?PublicationID=P20190816095</v>
      </c>
    </row>
    <row r="845" spans="1:11" ht="51" x14ac:dyDescent="0.4">
      <c r="A845" s="10" t="s">
        <v>12087</v>
      </c>
      <c r="B845" s="10" t="s">
        <v>12088</v>
      </c>
      <c r="C845" s="10" t="s">
        <v>746</v>
      </c>
      <c r="D845" s="10" t="s">
        <v>12075</v>
      </c>
      <c r="E845" s="10" t="s">
        <v>3219</v>
      </c>
      <c r="F845" s="10" t="s">
        <v>12089</v>
      </c>
      <c r="G845" s="10" t="s">
        <v>23</v>
      </c>
      <c r="H845" s="7" t="s">
        <v>24</v>
      </c>
      <c r="I845" s="7" t="s">
        <v>25</v>
      </c>
      <c r="J845" s="13" t="str">
        <f>HYPERLINK("https://www.airitibooks.com/Detail/Detail?PublicationID=P20190816099", "https://www.airitibooks.com/Detail/Detail?PublicationID=P20190816099")</f>
        <v>https://www.airitibooks.com/Detail/Detail?PublicationID=P20190816099</v>
      </c>
      <c r="K845" s="13" t="str">
        <f>HYPERLINK("https://ntsu.idm.oclc.org/login?url=https://www.airitibooks.com/Detail/Detail?PublicationID=P20190816099", "https://ntsu.idm.oclc.org/login?url=https://www.airitibooks.com/Detail/Detail?PublicationID=P20190816099")</f>
        <v>https://ntsu.idm.oclc.org/login?url=https://www.airitibooks.com/Detail/Detail?PublicationID=P20190816099</v>
      </c>
    </row>
    <row r="846" spans="1:11" ht="85" x14ac:dyDescent="0.4">
      <c r="A846" s="10" t="s">
        <v>12168</v>
      </c>
      <c r="B846" s="10" t="s">
        <v>12169</v>
      </c>
      <c r="C846" s="10" t="s">
        <v>791</v>
      </c>
      <c r="D846" s="10" t="s">
        <v>12170</v>
      </c>
      <c r="E846" s="10" t="s">
        <v>3219</v>
      </c>
      <c r="F846" s="10" t="s">
        <v>394</v>
      </c>
      <c r="G846" s="10" t="s">
        <v>23</v>
      </c>
      <c r="H846" s="7" t="s">
        <v>7839</v>
      </c>
      <c r="I846" s="7" t="s">
        <v>25</v>
      </c>
      <c r="J846" s="13" t="str">
        <f>HYPERLINK("https://www.airitibooks.com/Detail/Detail?PublicationID=P20190823006", "https://www.airitibooks.com/Detail/Detail?PublicationID=P20190823006")</f>
        <v>https://www.airitibooks.com/Detail/Detail?PublicationID=P20190823006</v>
      </c>
      <c r="K846" s="13" t="str">
        <f>HYPERLINK("https://ntsu.idm.oclc.org/login?url=https://www.airitibooks.com/Detail/Detail?PublicationID=P20190823006", "https://ntsu.idm.oclc.org/login?url=https://www.airitibooks.com/Detail/Detail?PublicationID=P20190823006")</f>
        <v>https://ntsu.idm.oclc.org/login?url=https://www.airitibooks.com/Detail/Detail?PublicationID=P20190823006</v>
      </c>
    </row>
    <row r="847" spans="1:11" ht="51" x14ac:dyDescent="0.4">
      <c r="A847" s="10" t="s">
        <v>12174</v>
      </c>
      <c r="B847" s="10" t="s">
        <v>12175</v>
      </c>
      <c r="C847" s="10" t="s">
        <v>791</v>
      </c>
      <c r="D847" s="10" t="s">
        <v>12176</v>
      </c>
      <c r="E847" s="10" t="s">
        <v>3219</v>
      </c>
      <c r="F847" s="10" t="s">
        <v>696</v>
      </c>
      <c r="G847" s="10" t="s">
        <v>23</v>
      </c>
      <c r="H847" s="7" t="s">
        <v>2593</v>
      </c>
      <c r="I847" s="7" t="s">
        <v>25</v>
      </c>
      <c r="J847" s="13" t="str">
        <f>HYPERLINK("https://www.airitibooks.com/Detail/Detail?PublicationID=P20190823011", "https://www.airitibooks.com/Detail/Detail?PublicationID=P20190823011")</f>
        <v>https://www.airitibooks.com/Detail/Detail?PublicationID=P20190823011</v>
      </c>
      <c r="K847" s="13" t="str">
        <f>HYPERLINK("https://ntsu.idm.oclc.org/login?url=https://www.airitibooks.com/Detail/Detail?PublicationID=P20190823011", "https://ntsu.idm.oclc.org/login?url=https://www.airitibooks.com/Detail/Detail?PublicationID=P20190823011")</f>
        <v>https://ntsu.idm.oclc.org/login?url=https://www.airitibooks.com/Detail/Detail?PublicationID=P20190823011</v>
      </c>
    </row>
    <row r="848" spans="1:11" ht="51" x14ac:dyDescent="0.4">
      <c r="A848" s="10" t="s">
        <v>12216</v>
      </c>
      <c r="B848" s="10" t="s">
        <v>12217</v>
      </c>
      <c r="C848" s="10" t="s">
        <v>791</v>
      </c>
      <c r="D848" s="10" t="s">
        <v>12218</v>
      </c>
      <c r="E848" s="10" t="s">
        <v>3219</v>
      </c>
      <c r="F848" s="10" t="s">
        <v>793</v>
      </c>
      <c r="G848" s="10" t="s">
        <v>23</v>
      </c>
      <c r="H848" s="7" t="s">
        <v>24</v>
      </c>
      <c r="I848" s="7" t="s">
        <v>25</v>
      </c>
      <c r="J848" s="13" t="str">
        <f>HYPERLINK("https://www.airitibooks.com/Detail/Detail?PublicationID=P20190905033", "https://www.airitibooks.com/Detail/Detail?PublicationID=P20190905033")</f>
        <v>https://www.airitibooks.com/Detail/Detail?PublicationID=P20190905033</v>
      </c>
      <c r="K848" s="13" t="str">
        <f>HYPERLINK("https://ntsu.idm.oclc.org/login?url=https://www.airitibooks.com/Detail/Detail?PublicationID=P20190905033", "https://ntsu.idm.oclc.org/login?url=https://www.airitibooks.com/Detail/Detail?PublicationID=P20190905033")</f>
        <v>https://ntsu.idm.oclc.org/login?url=https://www.airitibooks.com/Detail/Detail?PublicationID=P20190905033</v>
      </c>
    </row>
    <row r="849" spans="1:11" ht="51" x14ac:dyDescent="0.4">
      <c r="A849" s="10" t="s">
        <v>12219</v>
      </c>
      <c r="B849" s="10" t="s">
        <v>12220</v>
      </c>
      <c r="C849" s="10" t="s">
        <v>791</v>
      </c>
      <c r="D849" s="10" t="s">
        <v>12218</v>
      </c>
      <c r="E849" s="10" t="s">
        <v>3219</v>
      </c>
      <c r="F849" s="10" t="s">
        <v>793</v>
      </c>
      <c r="G849" s="10" t="s">
        <v>23</v>
      </c>
      <c r="H849" s="7" t="s">
        <v>24</v>
      </c>
      <c r="I849" s="7" t="s">
        <v>25</v>
      </c>
      <c r="J849" s="13" t="str">
        <f>HYPERLINK("https://www.airitibooks.com/Detail/Detail?PublicationID=P20190905035", "https://www.airitibooks.com/Detail/Detail?PublicationID=P20190905035")</f>
        <v>https://www.airitibooks.com/Detail/Detail?PublicationID=P20190905035</v>
      </c>
      <c r="K849" s="13" t="str">
        <f>HYPERLINK("https://ntsu.idm.oclc.org/login?url=https://www.airitibooks.com/Detail/Detail?PublicationID=P20190905035", "https://ntsu.idm.oclc.org/login?url=https://www.airitibooks.com/Detail/Detail?PublicationID=P20190905035")</f>
        <v>https://ntsu.idm.oclc.org/login?url=https://www.airitibooks.com/Detail/Detail?PublicationID=P20190905035</v>
      </c>
    </row>
    <row r="850" spans="1:11" ht="51" x14ac:dyDescent="0.4">
      <c r="A850" s="10" t="s">
        <v>12221</v>
      </c>
      <c r="B850" s="10" t="s">
        <v>12222</v>
      </c>
      <c r="C850" s="10" t="s">
        <v>791</v>
      </c>
      <c r="D850" s="10" t="s">
        <v>12218</v>
      </c>
      <c r="E850" s="10" t="s">
        <v>3219</v>
      </c>
      <c r="F850" s="10" t="s">
        <v>793</v>
      </c>
      <c r="G850" s="10" t="s">
        <v>23</v>
      </c>
      <c r="H850" s="7" t="s">
        <v>24</v>
      </c>
      <c r="I850" s="7" t="s">
        <v>25</v>
      </c>
      <c r="J850" s="13" t="str">
        <f>HYPERLINK("https://www.airitibooks.com/Detail/Detail?PublicationID=P20190905037", "https://www.airitibooks.com/Detail/Detail?PublicationID=P20190905037")</f>
        <v>https://www.airitibooks.com/Detail/Detail?PublicationID=P20190905037</v>
      </c>
      <c r="K850" s="13" t="str">
        <f>HYPERLINK("https://ntsu.idm.oclc.org/login?url=https://www.airitibooks.com/Detail/Detail?PublicationID=P20190905037", "https://ntsu.idm.oclc.org/login?url=https://www.airitibooks.com/Detail/Detail?PublicationID=P20190905037")</f>
        <v>https://ntsu.idm.oclc.org/login?url=https://www.airitibooks.com/Detail/Detail?PublicationID=P20190905037</v>
      </c>
    </row>
    <row r="851" spans="1:11" ht="51" x14ac:dyDescent="0.4">
      <c r="A851" s="10" t="s">
        <v>12223</v>
      </c>
      <c r="B851" s="10" t="s">
        <v>12224</v>
      </c>
      <c r="C851" s="10" t="s">
        <v>791</v>
      </c>
      <c r="D851" s="10" t="s">
        <v>12218</v>
      </c>
      <c r="E851" s="10" t="s">
        <v>3219</v>
      </c>
      <c r="F851" s="10" t="s">
        <v>793</v>
      </c>
      <c r="G851" s="10" t="s">
        <v>23</v>
      </c>
      <c r="H851" s="7" t="s">
        <v>24</v>
      </c>
      <c r="I851" s="7" t="s">
        <v>25</v>
      </c>
      <c r="J851" s="13" t="str">
        <f>HYPERLINK("https://www.airitibooks.com/Detail/Detail?PublicationID=P20190905038", "https://www.airitibooks.com/Detail/Detail?PublicationID=P20190905038")</f>
        <v>https://www.airitibooks.com/Detail/Detail?PublicationID=P20190905038</v>
      </c>
      <c r="K851" s="13" t="str">
        <f>HYPERLINK("https://ntsu.idm.oclc.org/login?url=https://www.airitibooks.com/Detail/Detail?PublicationID=P20190905038", "https://ntsu.idm.oclc.org/login?url=https://www.airitibooks.com/Detail/Detail?PublicationID=P20190905038")</f>
        <v>https://ntsu.idm.oclc.org/login?url=https://www.airitibooks.com/Detail/Detail?PublicationID=P20190905038</v>
      </c>
    </row>
    <row r="852" spans="1:11" ht="68" x14ac:dyDescent="0.4">
      <c r="A852" s="10" t="s">
        <v>12233</v>
      </c>
      <c r="B852" s="10" t="s">
        <v>12234</v>
      </c>
      <c r="C852" s="10" t="s">
        <v>3244</v>
      </c>
      <c r="D852" s="10" t="s">
        <v>12235</v>
      </c>
      <c r="E852" s="10" t="s">
        <v>3219</v>
      </c>
      <c r="F852" s="10" t="s">
        <v>1917</v>
      </c>
      <c r="G852" s="10" t="s">
        <v>23</v>
      </c>
      <c r="H852" s="7" t="s">
        <v>24</v>
      </c>
      <c r="I852" s="7" t="s">
        <v>25</v>
      </c>
      <c r="J852" s="13" t="str">
        <f>HYPERLINK("https://www.airitibooks.com/Detail/Detail?PublicationID=P20190905065", "https://www.airitibooks.com/Detail/Detail?PublicationID=P20190905065")</f>
        <v>https://www.airitibooks.com/Detail/Detail?PublicationID=P20190905065</v>
      </c>
      <c r="K852" s="13" t="str">
        <f>HYPERLINK("https://ntsu.idm.oclc.org/login?url=https://www.airitibooks.com/Detail/Detail?PublicationID=P20190905065", "https://ntsu.idm.oclc.org/login?url=https://www.airitibooks.com/Detail/Detail?PublicationID=P20190905065")</f>
        <v>https://ntsu.idm.oclc.org/login?url=https://www.airitibooks.com/Detail/Detail?PublicationID=P20190905065</v>
      </c>
    </row>
    <row r="853" spans="1:11" ht="85" x14ac:dyDescent="0.4">
      <c r="A853" s="10" t="s">
        <v>12239</v>
      </c>
      <c r="B853" s="10" t="s">
        <v>12240</v>
      </c>
      <c r="C853" s="10" t="s">
        <v>12241</v>
      </c>
      <c r="D853" s="10" t="s">
        <v>12242</v>
      </c>
      <c r="E853" s="10" t="s">
        <v>3219</v>
      </c>
      <c r="F853" s="10" t="s">
        <v>565</v>
      </c>
      <c r="G853" s="10" t="s">
        <v>23</v>
      </c>
      <c r="H853" s="7" t="s">
        <v>24</v>
      </c>
      <c r="I853" s="7" t="s">
        <v>25</v>
      </c>
      <c r="J853" s="13" t="str">
        <f>HYPERLINK("https://www.airitibooks.com/Detail/Detail?PublicationID=P20190905092", "https://www.airitibooks.com/Detail/Detail?PublicationID=P20190905092")</f>
        <v>https://www.airitibooks.com/Detail/Detail?PublicationID=P20190905092</v>
      </c>
      <c r="K853" s="13" t="str">
        <f>HYPERLINK("https://ntsu.idm.oclc.org/login?url=https://www.airitibooks.com/Detail/Detail?PublicationID=P20190905092", "https://ntsu.idm.oclc.org/login?url=https://www.airitibooks.com/Detail/Detail?PublicationID=P20190905092")</f>
        <v>https://ntsu.idm.oclc.org/login?url=https://www.airitibooks.com/Detail/Detail?PublicationID=P20190905092</v>
      </c>
    </row>
    <row r="854" spans="1:11" ht="51" x14ac:dyDescent="0.4">
      <c r="A854" s="10" t="s">
        <v>1647</v>
      </c>
      <c r="B854" s="10" t="s">
        <v>12255</v>
      </c>
      <c r="C854" s="10" t="s">
        <v>938</v>
      </c>
      <c r="D854" s="10" t="s">
        <v>3907</v>
      </c>
      <c r="E854" s="10" t="s">
        <v>3219</v>
      </c>
      <c r="F854" s="10" t="s">
        <v>1646</v>
      </c>
      <c r="G854" s="10" t="s">
        <v>23</v>
      </c>
      <c r="H854" s="7" t="s">
        <v>24</v>
      </c>
      <c r="I854" s="7" t="s">
        <v>25</v>
      </c>
      <c r="J854" s="13" t="str">
        <f>HYPERLINK("https://www.airitibooks.com/Detail/Detail?PublicationID=P20190911029", "https://www.airitibooks.com/Detail/Detail?PublicationID=P20190911029")</f>
        <v>https://www.airitibooks.com/Detail/Detail?PublicationID=P20190911029</v>
      </c>
      <c r="K854" s="13" t="str">
        <f>HYPERLINK("https://ntsu.idm.oclc.org/login?url=https://www.airitibooks.com/Detail/Detail?PublicationID=P20190911029", "https://ntsu.idm.oclc.org/login?url=https://www.airitibooks.com/Detail/Detail?PublicationID=P20190911029")</f>
        <v>https://ntsu.idm.oclc.org/login?url=https://www.airitibooks.com/Detail/Detail?PublicationID=P20190911029</v>
      </c>
    </row>
    <row r="855" spans="1:11" ht="51" x14ac:dyDescent="0.4">
      <c r="A855" s="10" t="s">
        <v>12256</v>
      </c>
      <c r="B855" s="10" t="s">
        <v>12257</v>
      </c>
      <c r="C855" s="10" t="s">
        <v>10921</v>
      </c>
      <c r="D855" s="10" t="s">
        <v>12258</v>
      </c>
      <c r="E855" s="10" t="s">
        <v>3219</v>
      </c>
      <c r="F855" s="10" t="s">
        <v>1856</v>
      </c>
      <c r="G855" s="10" t="s">
        <v>23</v>
      </c>
      <c r="H855" s="7" t="s">
        <v>24</v>
      </c>
      <c r="I855" s="7" t="s">
        <v>25</v>
      </c>
      <c r="J855" s="13" t="str">
        <f>HYPERLINK("https://www.airitibooks.com/Detail/Detail?PublicationID=P20190911150", "https://www.airitibooks.com/Detail/Detail?PublicationID=P20190911150")</f>
        <v>https://www.airitibooks.com/Detail/Detail?PublicationID=P20190911150</v>
      </c>
      <c r="K855" s="13" t="str">
        <f>HYPERLINK("https://ntsu.idm.oclc.org/login?url=https://www.airitibooks.com/Detail/Detail?PublicationID=P20190911150", "https://ntsu.idm.oclc.org/login?url=https://www.airitibooks.com/Detail/Detail?PublicationID=P20190911150")</f>
        <v>https://ntsu.idm.oclc.org/login?url=https://www.airitibooks.com/Detail/Detail?PublicationID=P20190911150</v>
      </c>
    </row>
    <row r="856" spans="1:11" ht="51" x14ac:dyDescent="0.4">
      <c r="A856" s="10" t="s">
        <v>12266</v>
      </c>
      <c r="B856" s="10" t="s">
        <v>12267</v>
      </c>
      <c r="C856" s="10" t="s">
        <v>10921</v>
      </c>
      <c r="D856" s="10" t="s">
        <v>12268</v>
      </c>
      <c r="E856" s="10" t="s">
        <v>3219</v>
      </c>
      <c r="F856" s="10" t="s">
        <v>565</v>
      </c>
      <c r="G856" s="10" t="s">
        <v>23</v>
      </c>
      <c r="H856" s="7" t="s">
        <v>24</v>
      </c>
      <c r="I856" s="7" t="s">
        <v>25</v>
      </c>
      <c r="J856" s="13" t="str">
        <f>HYPERLINK("https://www.airitibooks.com/Detail/Detail?PublicationID=P20190911156", "https://www.airitibooks.com/Detail/Detail?PublicationID=P20190911156")</f>
        <v>https://www.airitibooks.com/Detail/Detail?PublicationID=P20190911156</v>
      </c>
      <c r="K856" s="13" t="str">
        <f>HYPERLINK("https://ntsu.idm.oclc.org/login?url=https://www.airitibooks.com/Detail/Detail?PublicationID=P20190911156", "https://ntsu.idm.oclc.org/login?url=https://www.airitibooks.com/Detail/Detail?PublicationID=P20190911156")</f>
        <v>https://ntsu.idm.oclc.org/login?url=https://www.airitibooks.com/Detail/Detail?PublicationID=P20190911156</v>
      </c>
    </row>
    <row r="857" spans="1:11" ht="51" x14ac:dyDescent="0.4">
      <c r="A857" s="10" t="s">
        <v>12269</v>
      </c>
      <c r="B857" s="10" t="s">
        <v>12270</v>
      </c>
      <c r="C857" s="10" t="s">
        <v>10921</v>
      </c>
      <c r="D857" s="10" t="s">
        <v>12271</v>
      </c>
      <c r="E857" s="10" t="s">
        <v>3219</v>
      </c>
      <c r="F857" s="10" t="s">
        <v>565</v>
      </c>
      <c r="G857" s="10" t="s">
        <v>23</v>
      </c>
      <c r="H857" s="7" t="s">
        <v>24</v>
      </c>
      <c r="I857" s="7" t="s">
        <v>25</v>
      </c>
      <c r="J857" s="13" t="str">
        <f>HYPERLINK("https://www.airitibooks.com/Detail/Detail?PublicationID=P20190911157", "https://www.airitibooks.com/Detail/Detail?PublicationID=P20190911157")</f>
        <v>https://www.airitibooks.com/Detail/Detail?PublicationID=P20190911157</v>
      </c>
      <c r="K857" s="13" t="str">
        <f>HYPERLINK("https://ntsu.idm.oclc.org/login?url=https://www.airitibooks.com/Detail/Detail?PublicationID=P20190911157", "https://ntsu.idm.oclc.org/login?url=https://www.airitibooks.com/Detail/Detail?PublicationID=P20190911157")</f>
        <v>https://ntsu.idm.oclc.org/login?url=https://www.airitibooks.com/Detail/Detail?PublicationID=P20190911157</v>
      </c>
    </row>
    <row r="858" spans="1:11" ht="51" x14ac:dyDescent="0.4">
      <c r="A858" s="10" t="s">
        <v>12272</v>
      </c>
      <c r="B858" s="10" t="s">
        <v>12273</v>
      </c>
      <c r="C858" s="10" t="s">
        <v>10921</v>
      </c>
      <c r="D858" s="10" t="s">
        <v>12274</v>
      </c>
      <c r="E858" s="10" t="s">
        <v>3219</v>
      </c>
      <c r="F858" s="10" t="s">
        <v>565</v>
      </c>
      <c r="G858" s="10" t="s">
        <v>23</v>
      </c>
      <c r="H858" s="7" t="s">
        <v>24</v>
      </c>
      <c r="I858" s="7" t="s">
        <v>25</v>
      </c>
      <c r="J858" s="13" t="str">
        <f>HYPERLINK("https://www.airitibooks.com/Detail/Detail?PublicationID=P20190911160", "https://www.airitibooks.com/Detail/Detail?PublicationID=P20190911160")</f>
        <v>https://www.airitibooks.com/Detail/Detail?PublicationID=P20190911160</v>
      </c>
      <c r="K858" s="13" t="str">
        <f>HYPERLINK("https://ntsu.idm.oclc.org/login?url=https://www.airitibooks.com/Detail/Detail?PublicationID=P20190911160", "https://ntsu.idm.oclc.org/login?url=https://www.airitibooks.com/Detail/Detail?PublicationID=P20190911160")</f>
        <v>https://ntsu.idm.oclc.org/login?url=https://www.airitibooks.com/Detail/Detail?PublicationID=P20190911160</v>
      </c>
    </row>
    <row r="859" spans="1:11" ht="51" x14ac:dyDescent="0.4">
      <c r="A859" s="10" t="s">
        <v>12275</v>
      </c>
      <c r="B859" s="10" t="s">
        <v>12276</v>
      </c>
      <c r="C859" s="10" t="s">
        <v>10921</v>
      </c>
      <c r="D859" s="10" t="s">
        <v>12277</v>
      </c>
      <c r="E859" s="10" t="s">
        <v>3219</v>
      </c>
      <c r="F859" s="10" t="s">
        <v>565</v>
      </c>
      <c r="G859" s="10" t="s">
        <v>23</v>
      </c>
      <c r="H859" s="7" t="s">
        <v>24</v>
      </c>
      <c r="I859" s="7" t="s">
        <v>25</v>
      </c>
      <c r="J859" s="13" t="str">
        <f>HYPERLINK("https://www.airitibooks.com/Detail/Detail?PublicationID=P20190911162", "https://www.airitibooks.com/Detail/Detail?PublicationID=P20190911162")</f>
        <v>https://www.airitibooks.com/Detail/Detail?PublicationID=P20190911162</v>
      </c>
      <c r="K859" s="13" t="str">
        <f>HYPERLINK("https://ntsu.idm.oclc.org/login?url=https://www.airitibooks.com/Detail/Detail?PublicationID=P20190911162", "https://ntsu.idm.oclc.org/login?url=https://www.airitibooks.com/Detail/Detail?PublicationID=P20190911162")</f>
        <v>https://ntsu.idm.oclc.org/login?url=https://www.airitibooks.com/Detail/Detail?PublicationID=P20190911162</v>
      </c>
    </row>
    <row r="860" spans="1:11" ht="51" x14ac:dyDescent="0.4">
      <c r="A860" s="10" t="s">
        <v>12284</v>
      </c>
      <c r="B860" s="10" t="s">
        <v>12285</v>
      </c>
      <c r="C860" s="10" t="s">
        <v>1095</v>
      </c>
      <c r="D860" s="10" t="s">
        <v>12286</v>
      </c>
      <c r="E860" s="10" t="s">
        <v>3219</v>
      </c>
      <c r="F860" s="10" t="s">
        <v>9519</v>
      </c>
      <c r="G860" s="10" t="s">
        <v>23</v>
      </c>
      <c r="H860" s="7" t="s">
        <v>24</v>
      </c>
      <c r="I860" s="7" t="s">
        <v>25</v>
      </c>
      <c r="J860" s="13" t="str">
        <f>HYPERLINK("https://www.airitibooks.com/Detail/Detail?PublicationID=P20190920023", "https://www.airitibooks.com/Detail/Detail?PublicationID=P20190920023")</f>
        <v>https://www.airitibooks.com/Detail/Detail?PublicationID=P20190920023</v>
      </c>
      <c r="K860" s="13" t="str">
        <f>HYPERLINK("https://ntsu.idm.oclc.org/login?url=https://www.airitibooks.com/Detail/Detail?PublicationID=P20190920023", "https://ntsu.idm.oclc.org/login?url=https://www.airitibooks.com/Detail/Detail?PublicationID=P20190920023")</f>
        <v>https://ntsu.idm.oclc.org/login?url=https://www.airitibooks.com/Detail/Detail?PublicationID=P20190920023</v>
      </c>
    </row>
    <row r="861" spans="1:11" ht="51" x14ac:dyDescent="0.4">
      <c r="A861" s="10" t="s">
        <v>12287</v>
      </c>
      <c r="B861" s="10" t="s">
        <v>12288</v>
      </c>
      <c r="C861" s="10" t="s">
        <v>3298</v>
      </c>
      <c r="D861" s="10" t="s">
        <v>9784</v>
      </c>
      <c r="E861" s="10" t="s">
        <v>3219</v>
      </c>
      <c r="F861" s="10" t="s">
        <v>7925</v>
      </c>
      <c r="G861" s="10" t="s">
        <v>23</v>
      </c>
      <c r="H861" s="7" t="s">
        <v>24</v>
      </c>
      <c r="I861" s="7" t="s">
        <v>25</v>
      </c>
      <c r="J861" s="13" t="str">
        <f>HYPERLINK("https://www.airitibooks.com/Detail/Detail?PublicationID=P20190920057", "https://www.airitibooks.com/Detail/Detail?PublicationID=P20190920057")</f>
        <v>https://www.airitibooks.com/Detail/Detail?PublicationID=P20190920057</v>
      </c>
      <c r="K861" s="13" t="str">
        <f>HYPERLINK("https://ntsu.idm.oclc.org/login?url=https://www.airitibooks.com/Detail/Detail?PublicationID=P20190920057", "https://ntsu.idm.oclc.org/login?url=https://www.airitibooks.com/Detail/Detail?PublicationID=P20190920057")</f>
        <v>https://ntsu.idm.oclc.org/login?url=https://www.airitibooks.com/Detail/Detail?PublicationID=P20190920057</v>
      </c>
    </row>
    <row r="862" spans="1:11" ht="51" x14ac:dyDescent="0.4">
      <c r="A862" s="10" t="s">
        <v>12326</v>
      </c>
      <c r="B862" s="10" t="s">
        <v>12327</v>
      </c>
      <c r="C862" s="10" t="s">
        <v>212</v>
      </c>
      <c r="D862" s="10" t="s">
        <v>671</v>
      </c>
      <c r="E862" s="10" t="s">
        <v>3219</v>
      </c>
      <c r="F862" s="10" t="s">
        <v>1599</v>
      </c>
      <c r="G862" s="10" t="s">
        <v>23</v>
      </c>
      <c r="H862" s="7" t="s">
        <v>24</v>
      </c>
      <c r="I862" s="7" t="s">
        <v>25</v>
      </c>
      <c r="J862" s="13" t="str">
        <f>HYPERLINK("https://www.airitibooks.com/Detail/Detail?PublicationID=P20190920107", "https://www.airitibooks.com/Detail/Detail?PublicationID=P20190920107")</f>
        <v>https://www.airitibooks.com/Detail/Detail?PublicationID=P20190920107</v>
      </c>
      <c r="K862" s="13" t="str">
        <f>HYPERLINK("https://ntsu.idm.oclc.org/login?url=https://www.airitibooks.com/Detail/Detail?PublicationID=P20190920107", "https://ntsu.idm.oclc.org/login?url=https://www.airitibooks.com/Detail/Detail?PublicationID=P20190920107")</f>
        <v>https://ntsu.idm.oclc.org/login?url=https://www.airitibooks.com/Detail/Detail?PublicationID=P20190920107</v>
      </c>
    </row>
    <row r="863" spans="1:11" ht="51" x14ac:dyDescent="0.4">
      <c r="A863" s="10" t="s">
        <v>5698</v>
      </c>
      <c r="B863" s="10" t="s">
        <v>12331</v>
      </c>
      <c r="C863" s="10" t="s">
        <v>212</v>
      </c>
      <c r="D863" s="10" t="s">
        <v>5700</v>
      </c>
      <c r="E863" s="10" t="s">
        <v>3219</v>
      </c>
      <c r="F863" s="10" t="s">
        <v>4653</v>
      </c>
      <c r="G863" s="10" t="s">
        <v>23</v>
      </c>
      <c r="H863" s="7" t="s">
        <v>24</v>
      </c>
      <c r="I863" s="7" t="s">
        <v>25</v>
      </c>
      <c r="J863" s="13" t="str">
        <f>HYPERLINK("https://www.airitibooks.com/Detail/Detail?PublicationID=P20190920113", "https://www.airitibooks.com/Detail/Detail?PublicationID=P20190920113")</f>
        <v>https://www.airitibooks.com/Detail/Detail?PublicationID=P20190920113</v>
      </c>
      <c r="K863" s="13" t="str">
        <f>HYPERLINK("https://ntsu.idm.oclc.org/login?url=https://www.airitibooks.com/Detail/Detail?PublicationID=P20190920113", "https://ntsu.idm.oclc.org/login?url=https://www.airitibooks.com/Detail/Detail?PublicationID=P20190920113")</f>
        <v>https://ntsu.idm.oclc.org/login?url=https://www.airitibooks.com/Detail/Detail?PublicationID=P20190920113</v>
      </c>
    </row>
    <row r="864" spans="1:11" ht="51" x14ac:dyDescent="0.4">
      <c r="A864" s="10" t="s">
        <v>12332</v>
      </c>
      <c r="B864" s="10" t="s">
        <v>12333</v>
      </c>
      <c r="C864" s="10" t="s">
        <v>212</v>
      </c>
      <c r="D864" s="10" t="s">
        <v>671</v>
      </c>
      <c r="E864" s="10" t="s">
        <v>3219</v>
      </c>
      <c r="F864" s="10" t="s">
        <v>1122</v>
      </c>
      <c r="G864" s="10" t="s">
        <v>23</v>
      </c>
      <c r="H864" s="7" t="s">
        <v>24</v>
      </c>
      <c r="I864" s="7" t="s">
        <v>25</v>
      </c>
      <c r="J864" s="13" t="str">
        <f>HYPERLINK("https://www.airitibooks.com/Detail/Detail?PublicationID=P20190920114", "https://www.airitibooks.com/Detail/Detail?PublicationID=P20190920114")</f>
        <v>https://www.airitibooks.com/Detail/Detail?PublicationID=P20190920114</v>
      </c>
      <c r="K864" s="13" t="str">
        <f>HYPERLINK("https://ntsu.idm.oclc.org/login?url=https://www.airitibooks.com/Detail/Detail?PublicationID=P20190920114", "https://ntsu.idm.oclc.org/login?url=https://www.airitibooks.com/Detail/Detail?PublicationID=P20190920114")</f>
        <v>https://ntsu.idm.oclc.org/login?url=https://www.airitibooks.com/Detail/Detail?PublicationID=P20190920114</v>
      </c>
    </row>
    <row r="865" spans="1:11" ht="51" x14ac:dyDescent="0.4">
      <c r="A865" s="10" t="s">
        <v>6386</v>
      </c>
      <c r="B865" s="10" t="s">
        <v>12334</v>
      </c>
      <c r="C865" s="10" t="s">
        <v>212</v>
      </c>
      <c r="D865" s="10" t="s">
        <v>213</v>
      </c>
      <c r="E865" s="10" t="s">
        <v>3219</v>
      </c>
      <c r="F865" s="10" t="s">
        <v>214</v>
      </c>
      <c r="G865" s="10" t="s">
        <v>23</v>
      </c>
      <c r="H865" s="7" t="s">
        <v>24</v>
      </c>
      <c r="I865" s="7" t="s">
        <v>25</v>
      </c>
      <c r="J865" s="13" t="str">
        <f>HYPERLINK("https://www.airitibooks.com/Detail/Detail?PublicationID=P20190920115", "https://www.airitibooks.com/Detail/Detail?PublicationID=P20190920115")</f>
        <v>https://www.airitibooks.com/Detail/Detail?PublicationID=P20190920115</v>
      </c>
      <c r="K865" s="13" t="str">
        <f>HYPERLINK("https://ntsu.idm.oclc.org/login?url=https://www.airitibooks.com/Detail/Detail?PublicationID=P20190920115", "https://ntsu.idm.oclc.org/login?url=https://www.airitibooks.com/Detail/Detail?PublicationID=P20190920115")</f>
        <v>https://ntsu.idm.oclc.org/login?url=https://www.airitibooks.com/Detail/Detail?PublicationID=P20190920115</v>
      </c>
    </row>
    <row r="866" spans="1:11" ht="51" x14ac:dyDescent="0.4">
      <c r="A866" s="10" t="s">
        <v>12335</v>
      </c>
      <c r="B866" s="10" t="s">
        <v>12336</v>
      </c>
      <c r="C866" s="10" t="s">
        <v>212</v>
      </c>
      <c r="D866" s="10" t="s">
        <v>671</v>
      </c>
      <c r="E866" s="10" t="s">
        <v>3219</v>
      </c>
      <c r="F866" s="10" t="s">
        <v>672</v>
      </c>
      <c r="G866" s="10" t="s">
        <v>23</v>
      </c>
      <c r="H866" s="7" t="s">
        <v>24</v>
      </c>
      <c r="I866" s="7" t="s">
        <v>25</v>
      </c>
      <c r="J866" s="13" t="str">
        <f>HYPERLINK("https://www.airitibooks.com/Detail/Detail?PublicationID=P20190920116", "https://www.airitibooks.com/Detail/Detail?PublicationID=P20190920116")</f>
        <v>https://www.airitibooks.com/Detail/Detail?PublicationID=P20190920116</v>
      </c>
      <c r="K866" s="13" t="str">
        <f>HYPERLINK("https://ntsu.idm.oclc.org/login?url=https://www.airitibooks.com/Detail/Detail?PublicationID=P20190920116", "https://ntsu.idm.oclc.org/login?url=https://www.airitibooks.com/Detail/Detail?PublicationID=P20190920116")</f>
        <v>https://ntsu.idm.oclc.org/login?url=https://www.airitibooks.com/Detail/Detail?PublicationID=P20190920116</v>
      </c>
    </row>
    <row r="867" spans="1:11" ht="51" x14ac:dyDescent="0.4">
      <c r="A867" s="10" t="s">
        <v>12064</v>
      </c>
      <c r="B867" s="10" t="s">
        <v>12337</v>
      </c>
      <c r="C867" s="10" t="s">
        <v>212</v>
      </c>
      <c r="D867" s="10" t="s">
        <v>671</v>
      </c>
      <c r="E867" s="10" t="s">
        <v>3219</v>
      </c>
      <c r="F867" s="10" t="s">
        <v>1599</v>
      </c>
      <c r="G867" s="10" t="s">
        <v>23</v>
      </c>
      <c r="H867" s="7" t="s">
        <v>24</v>
      </c>
      <c r="I867" s="7" t="s">
        <v>25</v>
      </c>
      <c r="J867" s="13" t="str">
        <f>HYPERLINK("https://www.airitibooks.com/Detail/Detail?PublicationID=P20190920117", "https://www.airitibooks.com/Detail/Detail?PublicationID=P20190920117")</f>
        <v>https://www.airitibooks.com/Detail/Detail?PublicationID=P20190920117</v>
      </c>
      <c r="K867" s="13" t="str">
        <f>HYPERLINK("https://ntsu.idm.oclc.org/login?url=https://www.airitibooks.com/Detail/Detail?PublicationID=P20190920117", "https://ntsu.idm.oclc.org/login?url=https://www.airitibooks.com/Detail/Detail?PublicationID=P20190920117")</f>
        <v>https://ntsu.idm.oclc.org/login?url=https://www.airitibooks.com/Detail/Detail?PublicationID=P20190920117</v>
      </c>
    </row>
    <row r="868" spans="1:11" ht="51" x14ac:dyDescent="0.4">
      <c r="A868" s="10" t="s">
        <v>12340</v>
      </c>
      <c r="B868" s="10" t="s">
        <v>12341</v>
      </c>
      <c r="C868" s="10" t="s">
        <v>756</v>
      </c>
      <c r="D868" s="10" t="s">
        <v>3578</v>
      </c>
      <c r="E868" s="10" t="s">
        <v>3219</v>
      </c>
      <c r="F868" s="10" t="s">
        <v>3719</v>
      </c>
      <c r="G868" s="10" t="s">
        <v>23</v>
      </c>
      <c r="H868" s="7" t="s">
        <v>24</v>
      </c>
      <c r="I868" s="7" t="s">
        <v>25</v>
      </c>
      <c r="J868" s="13" t="str">
        <f>HYPERLINK("https://www.airitibooks.com/Detail/Detail?PublicationID=P20190920121", "https://www.airitibooks.com/Detail/Detail?PublicationID=P20190920121")</f>
        <v>https://www.airitibooks.com/Detail/Detail?PublicationID=P20190920121</v>
      </c>
      <c r="K868" s="13" t="str">
        <f>HYPERLINK("https://ntsu.idm.oclc.org/login?url=https://www.airitibooks.com/Detail/Detail?PublicationID=P20190920121", "https://ntsu.idm.oclc.org/login?url=https://www.airitibooks.com/Detail/Detail?PublicationID=P20190920121")</f>
        <v>https://ntsu.idm.oclc.org/login?url=https://www.airitibooks.com/Detail/Detail?PublicationID=P20190920121</v>
      </c>
    </row>
    <row r="869" spans="1:11" ht="51" x14ac:dyDescent="0.4">
      <c r="A869" s="10" t="s">
        <v>12345</v>
      </c>
      <c r="B869" s="10" t="s">
        <v>12346</v>
      </c>
      <c r="C869" s="10" t="s">
        <v>6289</v>
      </c>
      <c r="D869" s="10" t="s">
        <v>10716</v>
      </c>
      <c r="E869" s="10" t="s">
        <v>3219</v>
      </c>
      <c r="F869" s="10" t="s">
        <v>12347</v>
      </c>
      <c r="G869" s="10" t="s">
        <v>23</v>
      </c>
      <c r="H869" s="7" t="s">
        <v>24</v>
      </c>
      <c r="I869" s="7" t="s">
        <v>25</v>
      </c>
      <c r="J869" s="13" t="str">
        <f>HYPERLINK("https://www.airitibooks.com/Detail/Detail?PublicationID=P20190920149", "https://www.airitibooks.com/Detail/Detail?PublicationID=P20190920149")</f>
        <v>https://www.airitibooks.com/Detail/Detail?PublicationID=P20190920149</v>
      </c>
      <c r="K869" s="13" t="str">
        <f>HYPERLINK("https://ntsu.idm.oclc.org/login?url=https://www.airitibooks.com/Detail/Detail?PublicationID=P20190920149", "https://ntsu.idm.oclc.org/login?url=https://www.airitibooks.com/Detail/Detail?PublicationID=P20190920149")</f>
        <v>https://ntsu.idm.oclc.org/login?url=https://www.airitibooks.com/Detail/Detail?PublicationID=P20190920149</v>
      </c>
    </row>
    <row r="870" spans="1:11" ht="51" x14ac:dyDescent="0.4">
      <c r="A870" s="10" t="s">
        <v>12348</v>
      </c>
      <c r="B870" s="10" t="s">
        <v>12349</v>
      </c>
      <c r="C870" s="10" t="s">
        <v>7294</v>
      </c>
      <c r="D870" s="10" t="s">
        <v>12350</v>
      </c>
      <c r="E870" s="10" t="s">
        <v>3219</v>
      </c>
      <c r="F870" s="10" t="s">
        <v>1837</v>
      </c>
      <c r="G870" s="10" t="s">
        <v>23</v>
      </c>
      <c r="H870" s="7" t="s">
        <v>7839</v>
      </c>
      <c r="I870" s="7" t="s">
        <v>25</v>
      </c>
      <c r="J870" s="13" t="str">
        <f>HYPERLINK("https://www.airitibooks.com/Detail/Detail?PublicationID=P20190920156", "https://www.airitibooks.com/Detail/Detail?PublicationID=P20190920156")</f>
        <v>https://www.airitibooks.com/Detail/Detail?PublicationID=P20190920156</v>
      </c>
      <c r="K870" s="13" t="str">
        <f>HYPERLINK("https://ntsu.idm.oclc.org/login?url=https://www.airitibooks.com/Detail/Detail?PublicationID=P20190920156", "https://ntsu.idm.oclc.org/login?url=https://www.airitibooks.com/Detail/Detail?PublicationID=P20190920156")</f>
        <v>https://ntsu.idm.oclc.org/login?url=https://www.airitibooks.com/Detail/Detail?PublicationID=P20190920156</v>
      </c>
    </row>
    <row r="871" spans="1:11" ht="85" x14ac:dyDescent="0.4">
      <c r="A871" s="10" t="s">
        <v>12355</v>
      </c>
      <c r="B871" s="10" t="s">
        <v>12356</v>
      </c>
      <c r="C871" s="10" t="s">
        <v>12241</v>
      </c>
      <c r="D871" s="10" t="s">
        <v>12357</v>
      </c>
      <c r="E871" s="10" t="s">
        <v>3219</v>
      </c>
      <c r="F871" s="10" t="s">
        <v>4484</v>
      </c>
      <c r="G871" s="10" t="s">
        <v>23</v>
      </c>
      <c r="H871" s="7" t="s">
        <v>24</v>
      </c>
      <c r="I871" s="7" t="s">
        <v>25</v>
      </c>
      <c r="J871" s="13" t="str">
        <f>HYPERLINK("https://www.airitibooks.com/Detail/Detail?PublicationID=P20190920203", "https://www.airitibooks.com/Detail/Detail?PublicationID=P20190920203")</f>
        <v>https://www.airitibooks.com/Detail/Detail?PublicationID=P20190920203</v>
      </c>
      <c r="K871" s="13" t="str">
        <f>HYPERLINK("https://ntsu.idm.oclc.org/login?url=https://www.airitibooks.com/Detail/Detail?PublicationID=P20190920203", "https://ntsu.idm.oclc.org/login?url=https://www.airitibooks.com/Detail/Detail?PublicationID=P20190920203")</f>
        <v>https://ntsu.idm.oclc.org/login?url=https://www.airitibooks.com/Detail/Detail?PublicationID=P20190920203</v>
      </c>
    </row>
    <row r="872" spans="1:11" ht="68" x14ac:dyDescent="0.4">
      <c r="A872" s="10" t="s">
        <v>12388</v>
      </c>
      <c r="B872" s="10" t="s">
        <v>12389</v>
      </c>
      <c r="C872" s="10" t="s">
        <v>791</v>
      </c>
      <c r="D872" s="10" t="s">
        <v>12390</v>
      </c>
      <c r="E872" s="10" t="s">
        <v>3219</v>
      </c>
      <c r="F872" s="10" t="s">
        <v>793</v>
      </c>
      <c r="G872" s="10" t="s">
        <v>23</v>
      </c>
      <c r="H872" s="7" t="s">
        <v>24</v>
      </c>
      <c r="I872" s="7" t="s">
        <v>25</v>
      </c>
      <c r="J872" s="13" t="str">
        <f>HYPERLINK("https://www.airitibooks.com/Detail/Detail?PublicationID=P20190927238", "https://www.airitibooks.com/Detail/Detail?PublicationID=P20190927238")</f>
        <v>https://www.airitibooks.com/Detail/Detail?PublicationID=P20190927238</v>
      </c>
      <c r="K872" s="13" t="str">
        <f>HYPERLINK("https://ntsu.idm.oclc.org/login?url=https://www.airitibooks.com/Detail/Detail?PublicationID=P20190927238", "https://ntsu.idm.oclc.org/login?url=https://www.airitibooks.com/Detail/Detail?PublicationID=P20190927238")</f>
        <v>https://ntsu.idm.oclc.org/login?url=https://www.airitibooks.com/Detail/Detail?PublicationID=P20190927238</v>
      </c>
    </row>
    <row r="873" spans="1:11" ht="51" x14ac:dyDescent="0.4">
      <c r="A873" s="10" t="s">
        <v>12391</v>
      </c>
      <c r="B873" s="10" t="s">
        <v>12392</v>
      </c>
      <c r="C873" s="10" t="s">
        <v>791</v>
      </c>
      <c r="D873" s="10" t="s">
        <v>12393</v>
      </c>
      <c r="E873" s="10" t="s">
        <v>3219</v>
      </c>
      <c r="F873" s="10" t="s">
        <v>394</v>
      </c>
      <c r="G873" s="10" t="s">
        <v>23</v>
      </c>
      <c r="H873" s="7" t="s">
        <v>7839</v>
      </c>
      <c r="I873" s="7" t="s">
        <v>25</v>
      </c>
      <c r="J873" s="13" t="str">
        <f>HYPERLINK("https://www.airitibooks.com/Detail/Detail?PublicationID=P20190927241", "https://www.airitibooks.com/Detail/Detail?PublicationID=P20190927241")</f>
        <v>https://www.airitibooks.com/Detail/Detail?PublicationID=P20190927241</v>
      </c>
      <c r="K873" s="13" t="str">
        <f>HYPERLINK("https://ntsu.idm.oclc.org/login?url=https://www.airitibooks.com/Detail/Detail?PublicationID=P20190927241", "https://ntsu.idm.oclc.org/login?url=https://www.airitibooks.com/Detail/Detail?PublicationID=P20190927241")</f>
        <v>https://ntsu.idm.oclc.org/login?url=https://www.airitibooks.com/Detail/Detail?PublicationID=P20190927241</v>
      </c>
    </row>
    <row r="874" spans="1:11" ht="51" x14ac:dyDescent="0.4">
      <c r="A874" s="10" t="s">
        <v>12454</v>
      </c>
      <c r="B874" s="10" t="s">
        <v>12455</v>
      </c>
      <c r="C874" s="10" t="s">
        <v>1296</v>
      </c>
      <c r="D874" s="10" t="s">
        <v>12456</v>
      </c>
      <c r="E874" s="10" t="s">
        <v>3219</v>
      </c>
      <c r="F874" s="10" t="s">
        <v>3719</v>
      </c>
      <c r="G874" s="10" t="s">
        <v>23</v>
      </c>
      <c r="H874" s="7" t="s">
        <v>24</v>
      </c>
      <c r="I874" s="7" t="s">
        <v>25</v>
      </c>
      <c r="J874" s="13" t="str">
        <f>HYPERLINK("https://www.airitibooks.com/Detail/Detail?PublicationID=P20190927277", "https://www.airitibooks.com/Detail/Detail?PublicationID=P20190927277")</f>
        <v>https://www.airitibooks.com/Detail/Detail?PublicationID=P20190927277</v>
      </c>
      <c r="K874" s="13" t="str">
        <f>HYPERLINK("https://ntsu.idm.oclc.org/login?url=https://www.airitibooks.com/Detail/Detail?PublicationID=P20190927277", "https://ntsu.idm.oclc.org/login?url=https://www.airitibooks.com/Detail/Detail?PublicationID=P20190927277")</f>
        <v>https://ntsu.idm.oclc.org/login?url=https://www.airitibooks.com/Detail/Detail?PublicationID=P20190927277</v>
      </c>
    </row>
    <row r="875" spans="1:11" ht="51" x14ac:dyDescent="0.4">
      <c r="A875" s="10" t="s">
        <v>12544</v>
      </c>
      <c r="B875" s="10" t="s">
        <v>12545</v>
      </c>
      <c r="C875" s="10" t="s">
        <v>3298</v>
      </c>
      <c r="D875" s="10" t="s">
        <v>12546</v>
      </c>
      <c r="E875" s="10" t="s">
        <v>3219</v>
      </c>
      <c r="F875" s="10" t="s">
        <v>4385</v>
      </c>
      <c r="G875" s="10" t="s">
        <v>23</v>
      </c>
      <c r="H875" s="7" t="s">
        <v>24</v>
      </c>
      <c r="I875" s="7" t="s">
        <v>25</v>
      </c>
      <c r="J875" s="13" t="str">
        <f>HYPERLINK("https://www.airitibooks.com/Detail/Detail?PublicationID=P20191009022", "https://www.airitibooks.com/Detail/Detail?PublicationID=P20191009022")</f>
        <v>https://www.airitibooks.com/Detail/Detail?PublicationID=P20191009022</v>
      </c>
      <c r="K875" s="13" t="str">
        <f>HYPERLINK("https://ntsu.idm.oclc.org/login?url=https://www.airitibooks.com/Detail/Detail?PublicationID=P20191009022", "https://ntsu.idm.oclc.org/login?url=https://www.airitibooks.com/Detail/Detail?PublicationID=P20191009022")</f>
        <v>https://ntsu.idm.oclc.org/login?url=https://www.airitibooks.com/Detail/Detail?PublicationID=P20191009022</v>
      </c>
    </row>
    <row r="876" spans="1:11" ht="51" x14ac:dyDescent="0.4">
      <c r="A876" s="10" t="s">
        <v>12621</v>
      </c>
      <c r="B876" s="10" t="s">
        <v>12622</v>
      </c>
      <c r="C876" s="10" t="s">
        <v>10846</v>
      </c>
      <c r="D876" s="10" t="s">
        <v>12623</v>
      </c>
      <c r="E876" s="10" t="s">
        <v>3219</v>
      </c>
      <c r="F876" s="10" t="s">
        <v>565</v>
      </c>
      <c r="G876" s="10" t="s">
        <v>23</v>
      </c>
      <c r="H876" s="7" t="s">
        <v>24</v>
      </c>
      <c r="I876" s="7" t="s">
        <v>25</v>
      </c>
      <c r="J876" s="13" t="str">
        <f>HYPERLINK("https://www.airitibooks.com/Detail/Detail?PublicationID=P20191017042", "https://www.airitibooks.com/Detail/Detail?PublicationID=P20191017042")</f>
        <v>https://www.airitibooks.com/Detail/Detail?PublicationID=P20191017042</v>
      </c>
      <c r="K876" s="13" t="str">
        <f>HYPERLINK("https://ntsu.idm.oclc.org/login?url=https://www.airitibooks.com/Detail/Detail?PublicationID=P20191017042", "https://ntsu.idm.oclc.org/login?url=https://www.airitibooks.com/Detail/Detail?PublicationID=P20191017042")</f>
        <v>https://ntsu.idm.oclc.org/login?url=https://www.airitibooks.com/Detail/Detail?PublicationID=P20191017042</v>
      </c>
    </row>
    <row r="877" spans="1:11" ht="51" x14ac:dyDescent="0.4">
      <c r="A877" s="10" t="s">
        <v>12630</v>
      </c>
      <c r="B877" s="10" t="s">
        <v>12631</v>
      </c>
      <c r="C877" s="10" t="s">
        <v>12626</v>
      </c>
      <c r="D877" s="10" t="s">
        <v>12632</v>
      </c>
      <c r="E877" s="10" t="s">
        <v>3219</v>
      </c>
      <c r="F877" s="10" t="s">
        <v>5154</v>
      </c>
      <c r="G877" s="10" t="s">
        <v>23</v>
      </c>
      <c r="H877" s="7" t="s">
        <v>24</v>
      </c>
      <c r="I877" s="7" t="s">
        <v>25</v>
      </c>
      <c r="J877" s="13" t="str">
        <f>HYPERLINK("https://www.airitibooks.com/Detail/Detail?PublicationID=P20191017045", "https://www.airitibooks.com/Detail/Detail?PublicationID=P20191017045")</f>
        <v>https://www.airitibooks.com/Detail/Detail?PublicationID=P20191017045</v>
      </c>
      <c r="K877" s="13" t="str">
        <f>HYPERLINK("https://ntsu.idm.oclc.org/login?url=https://www.airitibooks.com/Detail/Detail?PublicationID=P20191017045", "https://ntsu.idm.oclc.org/login?url=https://www.airitibooks.com/Detail/Detail?PublicationID=P20191017045")</f>
        <v>https://ntsu.idm.oclc.org/login?url=https://www.airitibooks.com/Detail/Detail?PublicationID=P20191017045</v>
      </c>
    </row>
    <row r="878" spans="1:11" ht="51" x14ac:dyDescent="0.4">
      <c r="A878" s="10" t="s">
        <v>12633</v>
      </c>
      <c r="B878" s="10" t="s">
        <v>12634</v>
      </c>
      <c r="C878" s="10" t="s">
        <v>12626</v>
      </c>
      <c r="D878" s="10" t="s">
        <v>12179</v>
      </c>
      <c r="E878" s="10" t="s">
        <v>3219</v>
      </c>
      <c r="F878" s="10" t="s">
        <v>394</v>
      </c>
      <c r="G878" s="10" t="s">
        <v>23</v>
      </c>
      <c r="H878" s="7" t="s">
        <v>7839</v>
      </c>
      <c r="I878" s="7" t="s">
        <v>25</v>
      </c>
      <c r="J878" s="13" t="str">
        <f>HYPERLINK("https://www.airitibooks.com/Detail/Detail?PublicationID=P20191017046", "https://www.airitibooks.com/Detail/Detail?PublicationID=P20191017046")</f>
        <v>https://www.airitibooks.com/Detail/Detail?PublicationID=P20191017046</v>
      </c>
      <c r="K878" s="13" t="str">
        <f>HYPERLINK("https://ntsu.idm.oclc.org/login?url=https://www.airitibooks.com/Detail/Detail?PublicationID=P20191017046", "https://ntsu.idm.oclc.org/login?url=https://www.airitibooks.com/Detail/Detail?PublicationID=P20191017046")</f>
        <v>https://ntsu.idm.oclc.org/login?url=https://www.airitibooks.com/Detail/Detail?PublicationID=P20191017046</v>
      </c>
    </row>
    <row r="879" spans="1:11" ht="102" x14ac:dyDescent="0.4">
      <c r="A879" s="10" t="s">
        <v>12635</v>
      </c>
      <c r="B879" s="10" t="s">
        <v>12636</v>
      </c>
      <c r="C879" s="10" t="s">
        <v>12626</v>
      </c>
      <c r="D879" s="10" t="s">
        <v>12179</v>
      </c>
      <c r="E879" s="10" t="s">
        <v>3219</v>
      </c>
      <c r="F879" s="10" t="s">
        <v>394</v>
      </c>
      <c r="G879" s="10" t="s">
        <v>23</v>
      </c>
      <c r="H879" s="7" t="s">
        <v>7839</v>
      </c>
      <c r="I879" s="7" t="s">
        <v>25</v>
      </c>
      <c r="J879" s="13" t="str">
        <f>HYPERLINK("https://www.airitibooks.com/Detail/Detail?PublicationID=P20191017047", "https://www.airitibooks.com/Detail/Detail?PublicationID=P20191017047")</f>
        <v>https://www.airitibooks.com/Detail/Detail?PublicationID=P20191017047</v>
      </c>
      <c r="K879" s="13" t="str">
        <f>HYPERLINK("https://ntsu.idm.oclc.org/login?url=https://www.airitibooks.com/Detail/Detail?PublicationID=P20191017047", "https://ntsu.idm.oclc.org/login?url=https://www.airitibooks.com/Detail/Detail?PublicationID=P20191017047")</f>
        <v>https://ntsu.idm.oclc.org/login?url=https://www.airitibooks.com/Detail/Detail?PublicationID=P20191017047</v>
      </c>
    </row>
    <row r="880" spans="1:11" ht="102" x14ac:dyDescent="0.4">
      <c r="A880" s="10" t="s">
        <v>12637</v>
      </c>
      <c r="B880" s="10" t="s">
        <v>12638</v>
      </c>
      <c r="C880" s="10" t="s">
        <v>12626</v>
      </c>
      <c r="D880" s="10" t="s">
        <v>12639</v>
      </c>
      <c r="E880" s="10" t="s">
        <v>3219</v>
      </c>
      <c r="F880" s="10" t="s">
        <v>394</v>
      </c>
      <c r="G880" s="10" t="s">
        <v>23</v>
      </c>
      <c r="H880" s="7" t="s">
        <v>7839</v>
      </c>
      <c r="I880" s="7" t="s">
        <v>25</v>
      </c>
      <c r="J880" s="13" t="str">
        <f>HYPERLINK("https://www.airitibooks.com/Detail/Detail?PublicationID=P20191017048", "https://www.airitibooks.com/Detail/Detail?PublicationID=P20191017048")</f>
        <v>https://www.airitibooks.com/Detail/Detail?PublicationID=P20191017048</v>
      </c>
      <c r="K880" s="13" t="str">
        <f>HYPERLINK("https://ntsu.idm.oclc.org/login?url=https://www.airitibooks.com/Detail/Detail?PublicationID=P20191017048", "https://ntsu.idm.oclc.org/login?url=https://www.airitibooks.com/Detail/Detail?PublicationID=P20191017048")</f>
        <v>https://ntsu.idm.oclc.org/login?url=https://www.airitibooks.com/Detail/Detail?PublicationID=P20191017048</v>
      </c>
    </row>
    <row r="881" spans="1:11" ht="68" x14ac:dyDescent="0.4">
      <c r="A881" s="10" t="s">
        <v>12643</v>
      </c>
      <c r="B881" s="10" t="s">
        <v>12644</v>
      </c>
      <c r="C881" s="10" t="s">
        <v>12626</v>
      </c>
      <c r="D881" s="10" t="s">
        <v>12645</v>
      </c>
      <c r="E881" s="10" t="s">
        <v>3219</v>
      </c>
      <c r="F881" s="10" t="s">
        <v>394</v>
      </c>
      <c r="G881" s="10" t="s">
        <v>23</v>
      </c>
      <c r="H881" s="7" t="s">
        <v>7839</v>
      </c>
      <c r="I881" s="7" t="s">
        <v>25</v>
      </c>
      <c r="J881" s="13" t="str">
        <f>HYPERLINK("https://www.airitibooks.com/Detail/Detail?PublicationID=P20191017050", "https://www.airitibooks.com/Detail/Detail?PublicationID=P20191017050")</f>
        <v>https://www.airitibooks.com/Detail/Detail?PublicationID=P20191017050</v>
      </c>
      <c r="K881" s="13" t="str">
        <f>HYPERLINK("https://ntsu.idm.oclc.org/login?url=https://www.airitibooks.com/Detail/Detail?PublicationID=P20191017050", "https://ntsu.idm.oclc.org/login?url=https://www.airitibooks.com/Detail/Detail?PublicationID=P20191017050")</f>
        <v>https://ntsu.idm.oclc.org/login?url=https://www.airitibooks.com/Detail/Detail?PublicationID=P20191017050</v>
      </c>
    </row>
    <row r="882" spans="1:11" ht="68" x14ac:dyDescent="0.4">
      <c r="A882" s="10" t="s">
        <v>12646</v>
      </c>
      <c r="B882" s="10" t="s">
        <v>12647</v>
      </c>
      <c r="C882" s="10" t="s">
        <v>12626</v>
      </c>
      <c r="D882" s="10" t="s">
        <v>12648</v>
      </c>
      <c r="E882" s="10" t="s">
        <v>3219</v>
      </c>
      <c r="F882" s="10" t="s">
        <v>394</v>
      </c>
      <c r="G882" s="10" t="s">
        <v>23</v>
      </c>
      <c r="H882" s="7" t="s">
        <v>7839</v>
      </c>
      <c r="I882" s="7" t="s">
        <v>25</v>
      </c>
      <c r="J882" s="13" t="str">
        <f>HYPERLINK("https://www.airitibooks.com/Detail/Detail?PublicationID=P20191017051", "https://www.airitibooks.com/Detail/Detail?PublicationID=P20191017051")</f>
        <v>https://www.airitibooks.com/Detail/Detail?PublicationID=P20191017051</v>
      </c>
      <c r="K882" s="13" t="str">
        <f>HYPERLINK("https://ntsu.idm.oclc.org/login?url=https://www.airitibooks.com/Detail/Detail?PublicationID=P20191017051", "https://ntsu.idm.oclc.org/login?url=https://www.airitibooks.com/Detail/Detail?PublicationID=P20191017051")</f>
        <v>https://ntsu.idm.oclc.org/login?url=https://www.airitibooks.com/Detail/Detail?PublicationID=P20191017051</v>
      </c>
    </row>
    <row r="883" spans="1:11" ht="51" x14ac:dyDescent="0.4">
      <c r="A883" s="10" t="s">
        <v>12757</v>
      </c>
      <c r="B883" s="10" t="s">
        <v>12758</v>
      </c>
      <c r="C883" s="10" t="s">
        <v>7164</v>
      </c>
      <c r="D883" s="10" t="s">
        <v>12759</v>
      </c>
      <c r="E883" s="10" t="s">
        <v>3219</v>
      </c>
      <c r="F883" s="10" t="s">
        <v>720</v>
      </c>
      <c r="G883" s="10" t="s">
        <v>23</v>
      </c>
      <c r="H883" s="7" t="s">
        <v>7839</v>
      </c>
      <c r="I883" s="7" t="s">
        <v>25</v>
      </c>
      <c r="J883" s="13" t="str">
        <f>HYPERLINK("https://www.airitibooks.com/Detail/Detail?PublicationID=P20191031030", "https://www.airitibooks.com/Detail/Detail?PublicationID=P20191031030")</f>
        <v>https://www.airitibooks.com/Detail/Detail?PublicationID=P20191031030</v>
      </c>
      <c r="K883" s="13" t="str">
        <f>HYPERLINK("https://ntsu.idm.oclc.org/login?url=https://www.airitibooks.com/Detail/Detail?PublicationID=P20191031030", "https://ntsu.idm.oclc.org/login?url=https://www.airitibooks.com/Detail/Detail?PublicationID=P20191031030")</f>
        <v>https://ntsu.idm.oclc.org/login?url=https://www.airitibooks.com/Detail/Detail?PublicationID=P20191031030</v>
      </c>
    </row>
    <row r="884" spans="1:11" ht="51" x14ac:dyDescent="0.4">
      <c r="A884" s="10" t="s">
        <v>12763</v>
      </c>
      <c r="B884" s="10" t="s">
        <v>12764</v>
      </c>
      <c r="C884" s="10" t="s">
        <v>7164</v>
      </c>
      <c r="D884" s="10" t="s">
        <v>8429</v>
      </c>
      <c r="E884" s="10" t="s">
        <v>3219</v>
      </c>
      <c r="F884" s="10" t="s">
        <v>214</v>
      </c>
      <c r="G884" s="10" t="s">
        <v>23</v>
      </c>
      <c r="H884" s="7" t="s">
        <v>7839</v>
      </c>
      <c r="I884" s="7" t="s">
        <v>25</v>
      </c>
      <c r="J884" s="13" t="str">
        <f>HYPERLINK("https://www.airitibooks.com/Detail/Detail?PublicationID=P20191031032", "https://www.airitibooks.com/Detail/Detail?PublicationID=P20191031032")</f>
        <v>https://www.airitibooks.com/Detail/Detail?PublicationID=P20191031032</v>
      </c>
      <c r="K884" s="13" t="str">
        <f>HYPERLINK("https://ntsu.idm.oclc.org/login?url=https://www.airitibooks.com/Detail/Detail?PublicationID=P20191031032", "https://ntsu.idm.oclc.org/login?url=https://www.airitibooks.com/Detail/Detail?PublicationID=P20191031032")</f>
        <v>https://ntsu.idm.oclc.org/login?url=https://www.airitibooks.com/Detail/Detail?PublicationID=P20191031032</v>
      </c>
    </row>
    <row r="885" spans="1:11" ht="51" x14ac:dyDescent="0.4">
      <c r="A885" s="10" t="s">
        <v>12769</v>
      </c>
      <c r="B885" s="10" t="s">
        <v>12770</v>
      </c>
      <c r="C885" s="10" t="s">
        <v>11995</v>
      </c>
      <c r="D885" s="10" t="s">
        <v>12771</v>
      </c>
      <c r="E885" s="10" t="s">
        <v>3219</v>
      </c>
      <c r="F885" s="10" t="s">
        <v>720</v>
      </c>
      <c r="G885" s="10" t="s">
        <v>23</v>
      </c>
      <c r="H885" s="7" t="s">
        <v>7839</v>
      </c>
      <c r="I885" s="7" t="s">
        <v>25</v>
      </c>
      <c r="J885" s="13" t="str">
        <f>HYPERLINK("https://www.airitibooks.com/Detail/Detail?PublicationID=P20191031034", "https://www.airitibooks.com/Detail/Detail?PublicationID=P20191031034")</f>
        <v>https://www.airitibooks.com/Detail/Detail?PublicationID=P20191031034</v>
      </c>
      <c r="K885" s="13" t="str">
        <f>HYPERLINK("https://ntsu.idm.oclc.org/login?url=https://www.airitibooks.com/Detail/Detail?PublicationID=P20191031034", "https://ntsu.idm.oclc.org/login?url=https://www.airitibooks.com/Detail/Detail?PublicationID=P20191031034")</f>
        <v>https://ntsu.idm.oclc.org/login?url=https://www.airitibooks.com/Detail/Detail?PublicationID=P20191031034</v>
      </c>
    </row>
    <row r="886" spans="1:11" ht="51" x14ac:dyDescent="0.4">
      <c r="A886" s="10" t="s">
        <v>12772</v>
      </c>
      <c r="B886" s="10" t="s">
        <v>12773</v>
      </c>
      <c r="C886" s="10" t="s">
        <v>11995</v>
      </c>
      <c r="D886" s="10" t="s">
        <v>12774</v>
      </c>
      <c r="E886" s="10" t="s">
        <v>3219</v>
      </c>
      <c r="F886" s="10" t="s">
        <v>720</v>
      </c>
      <c r="G886" s="10" t="s">
        <v>23</v>
      </c>
      <c r="H886" s="7" t="s">
        <v>7839</v>
      </c>
      <c r="I886" s="7" t="s">
        <v>25</v>
      </c>
      <c r="J886" s="13" t="str">
        <f>HYPERLINK("https://www.airitibooks.com/Detail/Detail?PublicationID=P20191031035", "https://www.airitibooks.com/Detail/Detail?PublicationID=P20191031035")</f>
        <v>https://www.airitibooks.com/Detail/Detail?PublicationID=P20191031035</v>
      </c>
      <c r="K886" s="13" t="str">
        <f>HYPERLINK("https://ntsu.idm.oclc.org/login?url=https://www.airitibooks.com/Detail/Detail?PublicationID=P20191031035", "https://ntsu.idm.oclc.org/login?url=https://www.airitibooks.com/Detail/Detail?PublicationID=P20191031035")</f>
        <v>https://ntsu.idm.oclc.org/login?url=https://www.airitibooks.com/Detail/Detail?PublicationID=P20191031035</v>
      </c>
    </row>
    <row r="887" spans="1:11" ht="51" x14ac:dyDescent="0.4">
      <c r="A887" s="10" t="s">
        <v>13058</v>
      </c>
      <c r="B887" s="10" t="s">
        <v>13059</v>
      </c>
      <c r="C887" s="10" t="s">
        <v>9079</v>
      </c>
      <c r="D887" s="10" t="s">
        <v>13060</v>
      </c>
      <c r="E887" s="10" t="s">
        <v>3219</v>
      </c>
      <c r="F887" s="10" t="s">
        <v>11351</v>
      </c>
      <c r="G887" s="10" t="s">
        <v>23</v>
      </c>
      <c r="H887" s="7" t="s">
        <v>24</v>
      </c>
      <c r="I887" s="7" t="s">
        <v>25</v>
      </c>
      <c r="J887" s="13" t="str">
        <f>HYPERLINK("https://www.airitibooks.com/Detail/Detail?PublicationID=P20191213191", "https://www.airitibooks.com/Detail/Detail?PublicationID=P20191213191")</f>
        <v>https://www.airitibooks.com/Detail/Detail?PublicationID=P20191213191</v>
      </c>
      <c r="K887" s="13" t="str">
        <f>HYPERLINK("https://ntsu.idm.oclc.org/login?url=https://www.airitibooks.com/Detail/Detail?PublicationID=P20191213191", "https://ntsu.idm.oclc.org/login?url=https://www.airitibooks.com/Detail/Detail?PublicationID=P20191213191")</f>
        <v>https://ntsu.idm.oclc.org/login?url=https://www.airitibooks.com/Detail/Detail?PublicationID=P20191213191</v>
      </c>
    </row>
    <row r="888" spans="1:11" ht="51" x14ac:dyDescent="0.4">
      <c r="A888" s="10" t="s">
        <v>13103</v>
      </c>
      <c r="B888" s="10" t="s">
        <v>13104</v>
      </c>
      <c r="C888" s="10" t="s">
        <v>2731</v>
      </c>
      <c r="D888" s="10" t="s">
        <v>13105</v>
      </c>
      <c r="E888" s="10" t="s">
        <v>3219</v>
      </c>
      <c r="F888" s="10" t="s">
        <v>13106</v>
      </c>
      <c r="G888" s="10" t="s">
        <v>23</v>
      </c>
      <c r="H888" s="7" t="s">
        <v>2593</v>
      </c>
      <c r="I888" s="7" t="s">
        <v>25</v>
      </c>
      <c r="J888" s="13" t="str">
        <f>HYPERLINK("https://www.airitibooks.com/Detail/Detail?PublicationID=P20191224026", "https://www.airitibooks.com/Detail/Detail?PublicationID=P20191224026")</f>
        <v>https://www.airitibooks.com/Detail/Detail?PublicationID=P20191224026</v>
      </c>
      <c r="K888" s="13" t="str">
        <f>HYPERLINK("https://ntsu.idm.oclc.org/login?url=https://www.airitibooks.com/Detail/Detail?PublicationID=P20191224026", "https://ntsu.idm.oclc.org/login?url=https://www.airitibooks.com/Detail/Detail?PublicationID=P20191224026")</f>
        <v>https://ntsu.idm.oclc.org/login?url=https://www.airitibooks.com/Detail/Detail?PublicationID=P20191224026</v>
      </c>
    </row>
    <row r="889" spans="1:11" ht="51" x14ac:dyDescent="0.4">
      <c r="A889" s="10" t="s">
        <v>13155</v>
      </c>
      <c r="B889" s="10" t="s">
        <v>13156</v>
      </c>
      <c r="C889" s="10" t="s">
        <v>240</v>
      </c>
      <c r="D889" s="10" t="s">
        <v>13157</v>
      </c>
      <c r="E889" s="10" t="s">
        <v>3219</v>
      </c>
      <c r="F889" s="10" t="s">
        <v>2536</v>
      </c>
      <c r="G889" s="10" t="s">
        <v>23</v>
      </c>
      <c r="H889" s="7" t="s">
        <v>24</v>
      </c>
      <c r="I889" s="7" t="s">
        <v>25</v>
      </c>
      <c r="J889" s="13" t="str">
        <f>HYPERLINK("https://www.airitibooks.com/Detail/Detail?PublicationID=P20191226015", "https://www.airitibooks.com/Detail/Detail?PublicationID=P20191226015")</f>
        <v>https://www.airitibooks.com/Detail/Detail?PublicationID=P20191226015</v>
      </c>
      <c r="K889" s="13" t="str">
        <f>HYPERLINK("https://ntsu.idm.oclc.org/login?url=https://www.airitibooks.com/Detail/Detail?PublicationID=P20191226015", "https://ntsu.idm.oclc.org/login?url=https://www.airitibooks.com/Detail/Detail?PublicationID=P20191226015")</f>
        <v>https://ntsu.idm.oclc.org/login?url=https://www.airitibooks.com/Detail/Detail?PublicationID=P20191226015</v>
      </c>
    </row>
    <row r="890" spans="1:11" ht="51" x14ac:dyDescent="0.4">
      <c r="A890" s="10" t="s">
        <v>13158</v>
      </c>
      <c r="B890" s="10" t="s">
        <v>13159</v>
      </c>
      <c r="C890" s="10" t="s">
        <v>240</v>
      </c>
      <c r="D890" s="10" t="s">
        <v>13160</v>
      </c>
      <c r="E890" s="10" t="s">
        <v>3219</v>
      </c>
      <c r="F890" s="10" t="s">
        <v>3719</v>
      </c>
      <c r="G890" s="10" t="s">
        <v>23</v>
      </c>
      <c r="H890" s="7" t="s">
        <v>24</v>
      </c>
      <c r="I890" s="7" t="s">
        <v>25</v>
      </c>
      <c r="J890" s="13" t="str">
        <f>HYPERLINK("https://www.airitibooks.com/Detail/Detail?PublicationID=P20191226019", "https://www.airitibooks.com/Detail/Detail?PublicationID=P20191226019")</f>
        <v>https://www.airitibooks.com/Detail/Detail?PublicationID=P20191226019</v>
      </c>
      <c r="K890" s="13" t="str">
        <f>HYPERLINK("https://ntsu.idm.oclc.org/login?url=https://www.airitibooks.com/Detail/Detail?PublicationID=P20191226019", "https://ntsu.idm.oclc.org/login?url=https://www.airitibooks.com/Detail/Detail?PublicationID=P20191226019")</f>
        <v>https://ntsu.idm.oclc.org/login?url=https://www.airitibooks.com/Detail/Detail?PublicationID=P20191226019</v>
      </c>
    </row>
    <row r="891" spans="1:11" ht="51" x14ac:dyDescent="0.4">
      <c r="A891" s="10" t="s">
        <v>13171</v>
      </c>
      <c r="B891" s="10" t="s">
        <v>13172</v>
      </c>
      <c r="C891" s="10" t="s">
        <v>791</v>
      </c>
      <c r="D891" s="10" t="s">
        <v>13173</v>
      </c>
      <c r="E891" s="10" t="s">
        <v>3219</v>
      </c>
      <c r="F891" s="10" t="s">
        <v>710</v>
      </c>
      <c r="G891" s="10" t="s">
        <v>23</v>
      </c>
      <c r="H891" s="7" t="s">
        <v>24</v>
      </c>
      <c r="I891" s="7" t="s">
        <v>25</v>
      </c>
      <c r="J891" s="13" t="str">
        <f>HYPERLINK("https://www.airitibooks.com/Detail/Detail?PublicationID=P20191226024", "https://www.airitibooks.com/Detail/Detail?PublicationID=P20191226024")</f>
        <v>https://www.airitibooks.com/Detail/Detail?PublicationID=P20191226024</v>
      </c>
      <c r="K891" s="13" t="str">
        <f>HYPERLINK("https://ntsu.idm.oclc.org/login?url=https://www.airitibooks.com/Detail/Detail?PublicationID=P20191226024", "https://ntsu.idm.oclc.org/login?url=https://www.airitibooks.com/Detail/Detail?PublicationID=P20191226024")</f>
        <v>https://ntsu.idm.oclc.org/login?url=https://www.airitibooks.com/Detail/Detail?PublicationID=P20191226024</v>
      </c>
    </row>
    <row r="892" spans="1:11" ht="51" x14ac:dyDescent="0.4">
      <c r="A892" s="10" t="s">
        <v>13174</v>
      </c>
      <c r="B892" s="10" t="s">
        <v>13175</v>
      </c>
      <c r="C892" s="10" t="s">
        <v>791</v>
      </c>
      <c r="D892" s="10" t="s">
        <v>449</v>
      </c>
      <c r="E892" s="10" t="s">
        <v>3219</v>
      </c>
      <c r="F892" s="10" t="s">
        <v>793</v>
      </c>
      <c r="G892" s="10" t="s">
        <v>23</v>
      </c>
      <c r="H892" s="7" t="s">
        <v>24</v>
      </c>
      <c r="I892" s="7" t="s">
        <v>25</v>
      </c>
      <c r="J892" s="13" t="str">
        <f>HYPERLINK("https://www.airitibooks.com/Detail/Detail?PublicationID=P20191226025", "https://www.airitibooks.com/Detail/Detail?PublicationID=P20191226025")</f>
        <v>https://www.airitibooks.com/Detail/Detail?PublicationID=P20191226025</v>
      </c>
      <c r="K892" s="13" t="str">
        <f>HYPERLINK("https://ntsu.idm.oclc.org/login?url=https://www.airitibooks.com/Detail/Detail?PublicationID=P20191226025", "https://ntsu.idm.oclc.org/login?url=https://www.airitibooks.com/Detail/Detail?PublicationID=P20191226025")</f>
        <v>https://ntsu.idm.oclc.org/login?url=https://www.airitibooks.com/Detail/Detail?PublicationID=P20191226025</v>
      </c>
    </row>
    <row r="893" spans="1:11" ht="51" x14ac:dyDescent="0.4">
      <c r="A893" s="10" t="s">
        <v>13178</v>
      </c>
      <c r="B893" s="10" t="s">
        <v>13179</v>
      </c>
      <c r="C893" s="10" t="s">
        <v>7294</v>
      </c>
      <c r="D893" s="10" t="s">
        <v>5672</v>
      </c>
      <c r="E893" s="10" t="s">
        <v>3219</v>
      </c>
      <c r="F893" s="10" t="s">
        <v>214</v>
      </c>
      <c r="G893" s="10" t="s">
        <v>23</v>
      </c>
      <c r="H893" s="7" t="s">
        <v>24</v>
      </c>
      <c r="I893" s="7" t="s">
        <v>25</v>
      </c>
      <c r="J893" s="13" t="str">
        <f>HYPERLINK("https://www.airitibooks.com/Detail/Detail?PublicationID=P20191226044", "https://www.airitibooks.com/Detail/Detail?PublicationID=P20191226044")</f>
        <v>https://www.airitibooks.com/Detail/Detail?PublicationID=P20191226044</v>
      </c>
      <c r="K893" s="13" t="str">
        <f>HYPERLINK("https://ntsu.idm.oclc.org/login?url=https://www.airitibooks.com/Detail/Detail?PublicationID=P20191226044", "https://ntsu.idm.oclc.org/login?url=https://www.airitibooks.com/Detail/Detail?PublicationID=P20191226044")</f>
        <v>https://ntsu.idm.oclc.org/login?url=https://www.airitibooks.com/Detail/Detail?PublicationID=P20191226044</v>
      </c>
    </row>
    <row r="894" spans="1:11" ht="51" x14ac:dyDescent="0.4">
      <c r="A894" s="10" t="s">
        <v>13180</v>
      </c>
      <c r="B894" s="10" t="s">
        <v>13181</v>
      </c>
      <c r="C894" s="10" t="s">
        <v>3473</v>
      </c>
      <c r="D894" s="10" t="s">
        <v>13182</v>
      </c>
      <c r="E894" s="10" t="s">
        <v>3219</v>
      </c>
      <c r="F894" s="10" t="s">
        <v>3181</v>
      </c>
      <c r="G894" s="10" t="s">
        <v>23</v>
      </c>
      <c r="H894" s="7" t="s">
        <v>24</v>
      </c>
      <c r="I894" s="7" t="s">
        <v>25</v>
      </c>
      <c r="J894" s="13" t="str">
        <f>HYPERLINK("https://www.airitibooks.com/Detail/Detail?PublicationID=P20191226045", "https://www.airitibooks.com/Detail/Detail?PublicationID=P20191226045")</f>
        <v>https://www.airitibooks.com/Detail/Detail?PublicationID=P20191226045</v>
      </c>
      <c r="K894" s="13" t="str">
        <f>HYPERLINK("https://ntsu.idm.oclc.org/login?url=https://www.airitibooks.com/Detail/Detail?PublicationID=P20191226045", "https://ntsu.idm.oclc.org/login?url=https://www.airitibooks.com/Detail/Detail?PublicationID=P20191226045")</f>
        <v>https://ntsu.idm.oclc.org/login?url=https://www.airitibooks.com/Detail/Detail?PublicationID=P20191226045</v>
      </c>
    </row>
    <row r="895" spans="1:11" ht="51" x14ac:dyDescent="0.4">
      <c r="A895" s="10" t="s">
        <v>13192</v>
      </c>
      <c r="B895" s="10" t="s">
        <v>13193</v>
      </c>
      <c r="C895" s="10" t="s">
        <v>13194</v>
      </c>
      <c r="D895" s="10" t="s">
        <v>13195</v>
      </c>
      <c r="E895" s="10" t="s">
        <v>3219</v>
      </c>
      <c r="F895" s="10" t="s">
        <v>565</v>
      </c>
      <c r="G895" s="10" t="s">
        <v>23</v>
      </c>
      <c r="H895" s="7" t="s">
        <v>24</v>
      </c>
      <c r="I895" s="7" t="s">
        <v>25</v>
      </c>
      <c r="J895" s="13" t="str">
        <f>HYPERLINK("https://www.airitibooks.com/Detail/Detail?PublicationID=P20191226051", "https://www.airitibooks.com/Detail/Detail?PublicationID=P20191226051")</f>
        <v>https://www.airitibooks.com/Detail/Detail?PublicationID=P20191226051</v>
      </c>
      <c r="K895" s="13" t="str">
        <f>HYPERLINK("https://ntsu.idm.oclc.org/login?url=https://www.airitibooks.com/Detail/Detail?PublicationID=P20191226051", "https://ntsu.idm.oclc.org/login?url=https://www.airitibooks.com/Detail/Detail?PublicationID=P20191226051")</f>
        <v>https://ntsu.idm.oclc.org/login?url=https://www.airitibooks.com/Detail/Detail?PublicationID=P20191226051</v>
      </c>
    </row>
    <row r="896" spans="1:11" ht="51" x14ac:dyDescent="0.4">
      <c r="A896" s="10" t="s">
        <v>13196</v>
      </c>
      <c r="B896" s="10" t="s">
        <v>13197</v>
      </c>
      <c r="C896" s="10" t="s">
        <v>13194</v>
      </c>
      <c r="D896" s="10" t="s">
        <v>13198</v>
      </c>
      <c r="E896" s="10" t="s">
        <v>3219</v>
      </c>
      <c r="F896" s="10" t="s">
        <v>565</v>
      </c>
      <c r="G896" s="10" t="s">
        <v>23</v>
      </c>
      <c r="H896" s="7" t="s">
        <v>24</v>
      </c>
      <c r="I896" s="7" t="s">
        <v>25</v>
      </c>
      <c r="J896" s="13" t="str">
        <f>HYPERLINK("https://www.airitibooks.com/Detail/Detail?PublicationID=P20191226052", "https://www.airitibooks.com/Detail/Detail?PublicationID=P20191226052")</f>
        <v>https://www.airitibooks.com/Detail/Detail?PublicationID=P20191226052</v>
      </c>
      <c r="K896" s="13" t="str">
        <f>HYPERLINK("https://ntsu.idm.oclc.org/login?url=https://www.airitibooks.com/Detail/Detail?PublicationID=P20191226052", "https://ntsu.idm.oclc.org/login?url=https://www.airitibooks.com/Detail/Detail?PublicationID=P20191226052")</f>
        <v>https://ntsu.idm.oclc.org/login?url=https://www.airitibooks.com/Detail/Detail?PublicationID=P20191226052</v>
      </c>
    </row>
    <row r="897" spans="1:11" ht="51" x14ac:dyDescent="0.4">
      <c r="A897" s="10" t="s">
        <v>13225</v>
      </c>
      <c r="B897" s="10" t="s">
        <v>13226</v>
      </c>
      <c r="C897" s="10" t="s">
        <v>938</v>
      </c>
      <c r="D897" s="10" t="s">
        <v>13227</v>
      </c>
      <c r="E897" s="10" t="s">
        <v>3219</v>
      </c>
      <c r="F897" s="10" t="s">
        <v>359</v>
      </c>
      <c r="G897" s="10" t="s">
        <v>23</v>
      </c>
      <c r="H897" s="7" t="s">
        <v>24</v>
      </c>
      <c r="I897" s="7" t="s">
        <v>25</v>
      </c>
      <c r="J897" s="13" t="str">
        <f>HYPERLINK("https://www.airitibooks.com/Detail/Detail?PublicationID=P20200103194", "https://www.airitibooks.com/Detail/Detail?PublicationID=P20200103194")</f>
        <v>https://www.airitibooks.com/Detail/Detail?PublicationID=P20200103194</v>
      </c>
      <c r="K897" s="13" t="str">
        <f>HYPERLINK("https://ntsu.idm.oclc.org/login?url=https://www.airitibooks.com/Detail/Detail?PublicationID=P20200103194", "https://ntsu.idm.oclc.org/login?url=https://www.airitibooks.com/Detail/Detail?PublicationID=P20200103194")</f>
        <v>https://ntsu.idm.oclc.org/login?url=https://www.airitibooks.com/Detail/Detail?PublicationID=P20200103194</v>
      </c>
    </row>
    <row r="898" spans="1:11" ht="51" x14ac:dyDescent="0.4">
      <c r="A898" s="10" t="s">
        <v>13246</v>
      </c>
      <c r="B898" s="10" t="s">
        <v>13247</v>
      </c>
      <c r="C898" s="10" t="s">
        <v>371</v>
      </c>
      <c r="D898" s="10" t="s">
        <v>13248</v>
      </c>
      <c r="E898" s="10" t="s">
        <v>3219</v>
      </c>
      <c r="F898" s="10" t="s">
        <v>565</v>
      </c>
      <c r="G898" s="10" t="s">
        <v>23</v>
      </c>
      <c r="H898" s="7" t="s">
        <v>24</v>
      </c>
      <c r="I898" s="7" t="s">
        <v>25</v>
      </c>
      <c r="J898" s="13" t="str">
        <f>HYPERLINK("https://www.airitibooks.com/Detail/Detail?PublicationID=P20200103240", "https://www.airitibooks.com/Detail/Detail?PublicationID=P20200103240")</f>
        <v>https://www.airitibooks.com/Detail/Detail?PublicationID=P20200103240</v>
      </c>
      <c r="K898" s="13" t="str">
        <f>HYPERLINK("https://ntsu.idm.oclc.org/login?url=https://www.airitibooks.com/Detail/Detail?PublicationID=P20200103240", "https://ntsu.idm.oclc.org/login?url=https://www.airitibooks.com/Detail/Detail?PublicationID=P20200103240")</f>
        <v>https://ntsu.idm.oclc.org/login?url=https://www.airitibooks.com/Detail/Detail?PublicationID=P20200103240</v>
      </c>
    </row>
    <row r="899" spans="1:11" ht="51" x14ac:dyDescent="0.4">
      <c r="A899" s="10" t="s">
        <v>10430</v>
      </c>
      <c r="B899" s="10" t="s">
        <v>13267</v>
      </c>
      <c r="C899" s="10" t="s">
        <v>938</v>
      </c>
      <c r="D899" s="10" t="s">
        <v>13268</v>
      </c>
      <c r="E899" s="10" t="s">
        <v>3219</v>
      </c>
      <c r="F899" s="10" t="s">
        <v>720</v>
      </c>
      <c r="G899" s="10" t="s">
        <v>23</v>
      </c>
      <c r="H899" s="7" t="s">
        <v>24</v>
      </c>
      <c r="I899" s="7" t="s">
        <v>25</v>
      </c>
      <c r="J899" s="13" t="str">
        <f>HYPERLINK("https://www.airitibooks.com/Detail/Detail?PublicationID=P20200103270", "https://www.airitibooks.com/Detail/Detail?PublicationID=P20200103270")</f>
        <v>https://www.airitibooks.com/Detail/Detail?PublicationID=P20200103270</v>
      </c>
      <c r="K899" s="13" t="str">
        <f>HYPERLINK("https://ntsu.idm.oclc.org/login?url=https://www.airitibooks.com/Detail/Detail?PublicationID=P20200103270", "https://ntsu.idm.oclc.org/login?url=https://www.airitibooks.com/Detail/Detail?PublicationID=P20200103270")</f>
        <v>https://ntsu.idm.oclc.org/login?url=https://www.airitibooks.com/Detail/Detail?PublicationID=P20200103270</v>
      </c>
    </row>
    <row r="900" spans="1:11" ht="51" x14ac:dyDescent="0.4">
      <c r="A900" s="10" t="s">
        <v>13269</v>
      </c>
      <c r="B900" s="10" t="s">
        <v>13270</v>
      </c>
      <c r="C900" s="10" t="s">
        <v>938</v>
      </c>
      <c r="D900" s="10" t="s">
        <v>5269</v>
      </c>
      <c r="E900" s="10" t="s">
        <v>3219</v>
      </c>
      <c r="F900" s="10" t="s">
        <v>2484</v>
      </c>
      <c r="G900" s="10" t="s">
        <v>23</v>
      </c>
      <c r="H900" s="7" t="s">
        <v>24</v>
      </c>
      <c r="I900" s="7" t="s">
        <v>25</v>
      </c>
      <c r="J900" s="13" t="str">
        <f>HYPERLINK("https://www.airitibooks.com/Detail/Detail?PublicationID=P20200103277", "https://www.airitibooks.com/Detail/Detail?PublicationID=P20200103277")</f>
        <v>https://www.airitibooks.com/Detail/Detail?PublicationID=P20200103277</v>
      </c>
      <c r="K900" s="13" t="str">
        <f>HYPERLINK("https://ntsu.idm.oclc.org/login?url=https://www.airitibooks.com/Detail/Detail?PublicationID=P20200103277", "https://ntsu.idm.oclc.org/login?url=https://www.airitibooks.com/Detail/Detail?PublicationID=P20200103277")</f>
        <v>https://ntsu.idm.oclc.org/login?url=https://www.airitibooks.com/Detail/Detail?PublicationID=P20200103277</v>
      </c>
    </row>
    <row r="901" spans="1:11" ht="51" x14ac:dyDescent="0.4">
      <c r="A901" s="10" t="s">
        <v>13289</v>
      </c>
      <c r="B901" s="10" t="s">
        <v>13290</v>
      </c>
      <c r="C901" s="10" t="s">
        <v>13291</v>
      </c>
      <c r="D901" s="10" t="s">
        <v>1863</v>
      </c>
      <c r="E901" s="10" t="s">
        <v>3219</v>
      </c>
      <c r="F901" s="10" t="s">
        <v>13292</v>
      </c>
      <c r="G901" s="10" t="s">
        <v>23</v>
      </c>
      <c r="H901" s="7" t="s">
        <v>24</v>
      </c>
      <c r="I901" s="7" t="s">
        <v>25</v>
      </c>
      <c r="J901" s="13" t="str">
        <f>HYPERLINK("https://www.airitibooks.com/Detail/Detail?PublicationID=P20200110121", "https://www.airitibooks.com/Detail/Detail?PublicationID=P20200110121")</f>
        <v>https://www.airitibooks.com/Detail/Detail?PublicationID=P20200110121</v>
      </c>
      <c r="K901" s="13" t="str">
        <f>HYPERLINK("https://ntsu.idm.oclc.org/login?url=https://www.airitibooks.com/Detail/Detail?PublicationID=P20200110121", "https://ntsu.idm.oclc.org/login?url=https://www.airitibooks.com/Detail/Detail?PublicationID=P20200110121")</f>
        <v>https://ntsu.idm.oclc.org/login?url=https://www.airitibooks.com/Detail/Detail?PublicationID=P20200110121</v>
      </c>
    </row>
    <row r="902" spans="1:11" ht="51" x14ac:dyDescent="0.4">
      <c r="A902" s="10" t="s">
        <v>13386</v>
      </c>
      <c r="B902" s="10" t="s">
        <v>13387</v>
      </c>
      <c r="C902" s="10" t="s">
        <v>791</v>
      </c>
      <c r="D902" s="10" t="s">
        <v>13388</v>
      </c>
      <c r="E902" s="10" t="s">
        <v>3219</v>
      </c>
      <c r="F902" s="10" t="s">
        <v>696</v>
      </c>
      <c r="G902" s="10" t="s">
        <v>23</v>
      </c>
      <c r="H902" s="7" t="s">
        <v>2593</v>
      </c>
      <c r="I902" s="7" t="s">
        <v>25</v>
      </c>
      <c r="J902" s="13" t="str">
        <f>HYPERLINK("https://www.airitibooks.com/Detail/Detail?PublicationID=P20200131001", "https://www.airitibooks.com/Detail/Detail?PublicationID=P20200131001")</f>
        <v>https://www.airitibooks.com/Detail/Detail?PublicationID=P20200131001</v>
      </c>
      <c r="K902" s="13" t="str">
        <f>HYPERLINK("https://ntsu.idm.oclc.org/login?url=https://www.airitibooks.com/Detail/Detail?PublicationID=P20200131001", "https://ntsu.idm.oclc.org/login?url=https://www.airitibooks.com/Detail/Detail?PublicationID=P20200131001")</f>
        <v>https://ntsu.idm.oclc.org/login?url=https://www.airitibooks.com/Detail/Detail?PublicationID=P20200131001</v>
      </c>
    </row>
    <row r="903" spans="1:11" ht="68" x14ac:dyDescent="0.4">
      <c r="A903" s="10" t="s">
        <v>13389</v>
      </c>
      <c r="B903" s="10" t="s">
        <v>13390</v>
      </c>
      <c r="C903" s="10" t="s">
        <v>791</v>
      </c>
      <c r="D903" s="10" t="s">
        <v>1106</v>
      </c>
      <c r="E903" s="10" t="s">
        <v>3219</v>
      </c>
      <c r="F903" s="10" t="s">
        <v>793</v>
      </c>
      <c r="G903" s="10" t="s">
        <v>23</v>
      </c>
      <c r="H903" s="7" t="s">
        <v>24</v>
      </c>
      <c r="I903" s="7" t="s">
        <v>25</v>
      </c>
      <c r="J903" s="13" t="str">
        <f>HYPERLINK("https://www.airitibooks.com/Detail/Detail?PublicationID=P20200131002", "https://www.airitibooks.com/Detail/Detail?PublicationID=P20200131002")</f>
        <v>https://www.airitibooks.com/Detail/Detail?PublicationID=P20200131002</v>
      </c>
      <c r="K903" s="13" t="str">
        <f>HYPERLINK("https://ntsu.idm.oclc.org/login?url=https://www.airitibooks.com/Detail/Detail?PublicationID=P20200131002", "https://ntsu.idm.oclc.org/login?url=https://www.airitibooks.com/Detail/Detail?PublicationID=P20200131002")</f>
        <v>https://ntsu.idm.oclc.org/login?url=https://www.airitibooks.com/Detail/Detail?PublicationID=P20200131002</v>
      </c>
    </row>
    <row r="904" spans="1:11" ht="51" x14ac:dyDescent="0.4">
      <c r="A904" s="10" t="s">
        <v>13412</v>
      </c>
      <c r="B904" s="10" t="s">
        <v>13413</v>
      </c>
      <c r="C904" s="10" t="s">
        <v>7294</v>
      </c>
      <c r="D904" s="10" t="s">
        <v>13414</v>
      </c>
      <c r="E904" s="10" t="s">
        <v>3219</v>
      </c>
      <c r="F904" s="10" t="s">
        <v>386</v>
      </c>
      <c r="G904" s="10" t="s">
        <v>23</v>
      </c>
      <c r="H904" s="7" t="s">
        <v>7839</v>
      </c>
      <c r="I904" s="7" t="s">
        <v>25</v>
      </c>
      <c r="J904" s="13" t="str">
        <f>HYPERLINK("https://www.airitibooks.com/Detail/Detail?PublicationID=P20200215018", "https://www.airitibooks.com/Detail/Detail?PublicationID=P20200215018")</f>
        <v>https://www.airitibooks.com/Detail/Detail?PublicationID=P20200215018</v>
      </c>
      <c r="K904" s="13" t="str">
        <f>HYPERLINK("https://ntsu.idm.oclc.org/login?url=https://www.airitibooks.com/Detail/Detail?PublicationID=P20200215018", "https://ntsu.idm.oclc.org/login?url=https://www.airitibooks.com/Detail/Detail?PublicationID=P20200215018")</f>
        <v>https://ntsu.idm.oclc.org/login?url=https://www.airitibooks.com/Detail/Detail?PublicationID=P20200215018</v>
      </c>
    </row>
    <row r="905" spans="1:11" ht="51" x14ac:dyDescent="0.4">
      <c r="A905" s="10" t="s">
        <v>13415</v>
      </c>
      <c r="B905" s="10" t="s">
        <v>13416</v>
      </c>
      <c r="C905" s="10" t="s">
        <v>7294</v>
      </c>
      <c r="D905" s="10" t="s">
        <v>13417</v>
      </c>
      <c r="E905" s="10" t="s">
        <v>3219</v>
      </c>
      <c r="F905" s="10" t="s">
        <v>386</v>
      </c>
      <c r="G905" s="10" t="s">
        <v>23</v>
      </c>
      <c r="H905" s="7" t="s">
        <v>7839</v>
      </c>
      <c r="I905" s="7" t="s">
        <v>25</v>
      </c>
      <c r="J905" s="13" t="str">
        <f>HYPERLINK("https://www.airitibooks.com/Detail/Detail?PublicationID=P20200215019", "https://www.airitibooks.com/Detail/Detail?PublicationID=P20200215019")</f>
        <v>https://www.airitibooks.com/Detail/Detail?PublicationID=P20200215019</v>
      </c>
      <c r="K905" s="13" t="str">
        <f>HYPERLINK("https://ntsu.idm.oclc.org/login?url=https://www.airitibooks.com/Detail/Detail?PublicationID=P20200215019", "https://ntsu.idm.oclc.org/login?url=https://www.airitibooks.com/Detail/Detail?PublicationID=P20200215019")</f>
        <v>https://ntsu.idm.oclc.org/login?url=https://www.airitibooks.com/Detail/Detail?PublicationID=P20200215019</v>
      </c>
    </row>
    <row r="906" spans="1:11" ht="51" x14ac:dyDescent="0.4">
      <c r="A906" s="10" t="s">
        <v>13418</v>
      </c>
      <c r="B906" s="10" t="s">
        <v>13419</v>
      </c>
      <c r="C906" s="10" t="s">
        <v>7294</v>
      </c>
      <c r="D906" s="10" t="s">
        <v>13420</v>
      </c>
      <c r="E906" s="10" t="s">
        <v>3219</v>
      </c>
      <c r="F906" s="10" t="s">
        <v>1599</v>
      </c>
      <c r="G906" s="10" t="s">
        <v>23</v>
      </c>
      <c r="H906" s="7" t="s">
        <v>2593</v>
      </c>
      <c r="I906" s="7" t="s">
        <v>25</v>
      </c>
      <c r="J906" s="13" t="str">
        <f>HYPERLINK("https://www.airitibooks.com/Detail/Detail?PublicationID=P20200215020", "https://www.airitibooks.com/Detail/Detail?PublicationID=P20200215020")</f>
        <v>https://www.airitibooks.com/Detail/Detail?PublicationID=P20200215020</v>
      </c>
      <c r="K906" s="13" t="str">
        <f>HYPERLINK("https://ntsu.idm.oclc.org/login?url=https://www.airitibooks.com/Detail/Detail?PublicationID=P20200215020", "https://ntsu.idm.oclc.org/login?url=https://www.airitibooks.com/Detail/Detail?PublicationID=P20200215020")</f>
        <v>https://ntsu.idm.oclc.org/login?url=https://www.airitibooks.com/Detail/Detail?PublicationID=P20200215020</v>
      </c>
    </row>
    <row r="907" spans="1:11" ht="51" x14ac:dyDescent="0.4">
      <c r="A907" s="10" t="s">
        <v>13421</v>
      </c>
      <c r="B907" s="10" t="s">
        <v>13422</v>
      </c>
      <c r="C907" s="10" t="s">
        <v>7294</v>
      </c>
      <c r="D907" s="10" t="s">
        <v>13417</v>
      </c>
      <c r="E907" s="10" t="s">
        <v>3219</v>
      </c>
      <c r="F907" s="10" t="s">
        <v>386</v>
      </c>
      <c r="G907" s="10" t="s">
        <v>23</v>
      </c>
      <c r="H907" s="7" t="s">
        <v>7839</v>
      </c>
      <c r="I907" s="7" t="s">
        <v>25</v>
      </c>
      <c r="J907" s="13" t="str">
        <f>HYPERLINK("https://www.airitibooks.com/Detail/Detail?PublicationID=P20200215021", "https://www.airitibooks.com/Detail/Detail?PublicationID=P20200215021")</f>
        <v>https://www.airitibooks.com/Detail/Detail?PublicationID=P20200215021</v>
      </c>
      <c r="K907" s="13" t="str">
        <f>HYPERLINK("https://ntsu.idm.oclc.org/login?url=https://www.airitibooks.com/Detail/Detail?PublicationID=P20200215021", "https://ntsu.idm.oclc.org/login?url=https://www.airitibooks.com/Detail/Detail?PublicationID=P20200215021")</f>
        <v>https://ntsu.idm.oclc.org/login?url=https://www.airitibooks.com/Detail/Detail?PublicationID=P20200215021</v>
      </c>
    </row>
    <row r="908" spans="1:11" ht="68" x14ac:dyDescent="0.4">
      <c r="A908" s="10" t="s">
        <v>13423</v>
      </c>
      <c r="B908" s="10" t="s">
        <v>13424</v>
      </c>
      <c r="C908" s="10" t="s">
        <v>7294</v>
      </c>
      <c r="D908" s="10" t="s">
        <v>13425</v>
      </c>
      <c r="E908" s="10" t="s">
        <v>3219</v>
      </c>
      <c r="F908" s="10" t="s">
        <v>214</v>
      </c>
      <c r="G908" s="10" t="s">
        <v>23</v>
      </c>
      <c r="H908" s="7" t="s">
        <v>7839</v>
      </c>
      <c r="I908" s="7" t="s">
        <v>25</v>
      </c>
      <c r="J908" s="13" t="str">
        <f>HYPERLINK("https://www.airitibooks.com/Detail/Detail?PublicationID=P20200215022", "https://www.airitibooks.com/Detail/Detail?PublicationID=P20200215022")</f>
        <v>https://www.airitibooks.com/Detail/Detail?PublicationID=P20200215022</v>
      </c>
      <c r="K908" s="13" t="str">
        <f>HYPERLINK("https://ntsu.idm.oclc.org/login?url=https://www.airitibooks.com/Detail/Detail?PublicationID=P20200215022", "https://ntsu.idm.oclc.org/login?url=https://www.airitibooks.com/Detail/Detail?PublicationID=P20200215022")</f>
        <v>https://ntsu.idm.oclc.org/login?url=https://www.airitibooks.com/Detail/Detail?PublicationID=P20200215022</v>
      </c>
    </row>
    <row r="909" spans="1:11" ht="85" x14ac:dyDescent="0.4">
      <c r="A909" s="10" t="s">
        <v>13426</v>
      </c>
      <c r="B909" s="10" t="s">
        <v>13427</v>
      </c>
      <c r="C909" s="10" t="s">
        <v>7294</v>
      </c>
      <c r="D909" s="10" t="s">
        <v>13428</v>
      </c>
      <c r="E909" s="10" t="s">
        <v>3219</v>
      </c>
      <c r="F909" s="10" t="s">
        <v>1599</v>
      </c>
      <c r="G909" s="10" t="s">
        <v>23</v>
      </c>
      <c r="H909" s="7" t="s">
        <v>2593</v>
      </c>
      <c r="I909" s="7" t="s">
        <v>25</v>
      </c>
      <c r="J909" s="13" t="str">
        <f>HYPERLINK("https://www.airitibooks.com/Detail/Detail?PublicationID=P20200215023", "https://www.airitibooks.com/Detail/Detail?PublicationID=P20200215023")</f>
        <v>https://www.airitibooks.com/Detail/Detail?PublicationID=P20200215023</v>
      </c>
      <c r="K909" s="13" t="str">
        <f>HYPERLINK("https://ntsu.idm.oclc.org/login?url=https://www.airitibooks.com/Detail/Detail?PublicationID=P20200215023", "https://ntsu.idm.oclc.org/login?url=https://www.airitibooks.com/Detail/Detail?PublicationID=P20200215023")</f>
        <v>https://ntsu.idm.oclc.org/login?url=https://www.airitibooks.com/Detail/Detail?PublicationID=P20200215023</v>
      </c>
    </row>
    <row r="910" spans="1:11" ht="51" x14ac:dyDescent="0.4">
      <c r="A910" s="10" t="s">
        <v>13429</v>
      </c>
      <c r="B910" s="10" t="s">
        <v>13430</v>
      </c>
      <c r="C910" s="10" t="s">
        <v>7294</v>
      </c>
      <c r="D910" s="10" t="s">
        <v>13431</v>
      </c>
      <c r="E910" s="10" t="s">
        <v>3219</v>
      </c>
      <c r="F910" s="10" t="s">
        <v>394</v>
      </c>
      <c r="G910" s="10" t="s">
        <v>23</v>
      </c>
      <c r="H910" s="7" t="s">
        <v>7839</v>
      </c>
      <c r="I910" s="7" t="s">
        <v>25</v>
      </c>
      <c r="J910" s="13" t="str">
        <f>HYPERLINK("https://www.airitibooks.com/Detail/Detail?PublicationID=P20200215024", "https://www.airitibooks.com/Detail/Detail?PublicationID=P20200215024")</f>
        <v>https://www.airitibooks.com/Detail/Detail?PublicationID=P20200215024</v>
      </c>
      <c r="K910" s="13" t="str">
        <f>HYPERLINK("https://ntsu.idm.oclc.org/login?url=https://www.airitibooks.com/Detail/Detail?PublicationID=P20200215024", "https://ntsu.idm.oclc.org/login?url=https://www.airitibooks.com/Detail/Detail?PublicationID=P20200215024")</f>
        <v>https://ntsu.idm.oclc.org/login?url=https://www.airitibooks.com/Detail/Detail?PublicationID=P20200215024</v>
      </c>
    </row>
    <row r="911" spans="1:11" ht="51" x14ac:dyDescent="0.4">
      <c r="A911" s="10" t="s">
        <v>13432</v>
      </c>
      <c r="B911" s="10" t="s">
        <v>13433</v>
      </c>
      <c r="C911" s="10" t="s">
        <v>7294</v>
      </c>
      <c r="D911" s="10" t="s">
        <v>13434</v>
      </c>
      <c r="E911" s="10" t="s">
        <v>3219</v>
      </c>
      <c r="F911" s="10" t="s">
        <v>2660</v>
      </c>
      <c r="G911" s="10" t="s">
        <v>23</v>
      </c>
      <c r="H911" s="7" t="s">
        <v>24</v>
      </c>
      <c r="I911" s="7" t="s">
        <v>25</v>
      </c>
      <c r="J911" s="13" t="str">
        <f>HYPERLINK("https://www.airitibooks.com/Detail/Detail?PublicationID=P20200215025", "https://www.airitibooks.com/Detail/Detail?PublicationID=P20200215025")</f>
        <v>https://www.airitibooks.com/Detail/Detail?PublicationID=P20200215025</v>
      </c>
      <c r="K911" s="13" t="str">
        <f>HYPERLINK("https://ntsu.idm.oclc.org/login?url=https://www.airitibooks.com/Detail/Detail?PublicationID=P20200215025", "https://ntsu.idm.oclc.org/login?url=https://www.airitibooks.com/Detail/Detail?PublicationID=P20200215025")</f>
        <v>https://ntsu.idm.oclc.org/login?url=https://www.airitibooks.com/Detail/Detail?PublicationID=P20200215025</v>
      </c>
    </row>
    <row r="912" spans="1:11" ht="51" x14ac:dyDescent="0.4">
      <c r="A912" s="10" t="s">
        <v>13435</v>
      </c>
      <c r="B912" s="10" t="s">
        <v>13436</v>
      </c>
      <c r="C912" s="10" t="s">
        <v>7294</v>
      </c>
      <c r="D912" s="10" t="s">
        <v>13437</v>
      </c>
      <c r="E912" s="10" t="s">
        <v>3219</v>
      </c>
      <c r="F912" s="10" t="s">
        <v>1122</v>
      </c>
      <c r="G912" s="10" t="s">
        <v>23</v>
      </c>
      <c r="H912" s="7" t="s">
        <v>2593</v>
      </c>
      <c r="I912" s="7" t="s">
        <v>25</v>
      </c>
      <c r="J912" s="13" t="str">
        <f>HYPERLINK("https://www.airitibooks.com/Detail/Detail?PublicationID=P20200215026", "https://www.airitibooks.com/Detail/Detail?PublicationID=P20200215026")</f>
        <v>https://www.airitibooks.com/Detail/Detail?PublicationID=P20200215026</v>
      </c>
      <c r="K912" s="13" t="str">
        <f>HYPERLINK("https://ntsu.idm.oclc.org/login?url=https://www.airitibooks.com/Detail/Detail?PublicationID=P20200215026", "https://ntsu.idm.oclc.org/login?url=https://www.airitibooks.com/Detail/Detail?PublicationID=P20200215026")</f>
        <v>https://ntsu.idm.oclc.org/login?url=https://www.airitibooks.com/Detail/Detail?PublicationID=P20200215026</v>
      </c>
    </row>
    <row r="913" spans="1:11" ht="51" x14ac:dyDescent="0.4">
      <c r="A913" s="10" t="s">
        <v>13438</v>
      </c>
      <c r="B913" s="10" t="s">
        <v>13439</v>
      </c>
      <c r="C913" s="10" t="s">
        <v>7294</v>
      </c>
      <c r="D913" s="10" t="s">
        <v>3506</v>
      </c>
      <c r="E913" s="10" t="s">
        <v>3219</v>
      </c>
      <c r="F913" s="10" t="s">
        <v>13440</v>
      </c>
      <c r="G913" s="10" t="s">
        <v>23</v>
      </c>
      <c r="H913" s="7" t="s">
        <v>24</v>
      </c>
      <c r="I913" s="7" t="s">
        <v>25</v>
      </c>
      <c r="J913" s="13" t="str">
        <f>HYPERLINK("https://www.airitibooks.com/Detail/Detail?PublicationID=P20200215027", "https://www.airitibooks.com/Detail/Detail?PublicationID=P20200215027")</f>
        <v>https://www.airitibooks.com/Detail/Detail?PublicationID=P20200215027</v>
      </c>
      <c r="K913" s="13" t="str">
        <f>HYPERLINK("https://ntsu.idm.oclc.org/login?url=https://www.airitibooks.com/Detail/Detail?PublicationID=P20200215027", "https://ntsu.idm.oclc.org/login?url=https://www.airitibooks.com/Detail/Detail?PublicationID=P20200215027")</f>
        <v>https://ntsu.idm.oclc.org/login?url=https://www.airitibooks.com/Detail/Detail?PublicationID=P20200215027</v>
      </c>
    </row>
    <row r="914" spans="1:11" ht="51" x14ac:dyDescent="0.4">
      <c r="A914" s="10" t="s">
        <v>13441</v>
      </c>
      <c r="B914" s="10" t="s">
        <v>13442</v>
      </c>
      <c r="C914" s="10" t="s">
        <v>7294</v>
      </c>
      <c r="D914" s="10" t="s">
        <v>13443</v>
      </c>
      <c r="E914" s="10" t="s">
        <v>3219</v>
      </c>
      <c r="F914" s="10" t="s">
        <v>1599</v>
      </c>
      <c r="G914" s="10" t="s">
        <v>23</v>
      </c>
      <c r="H914" s="7" t="s">
        <v>2593</v>
      </c>
      <c r="I914" s="7" t="s">
        <v>25</v>
      </c>
      <c r="J914" s="13" t="str">
        <f>HYPERLINK("https://www.airitibooks.com/Detail/Detail?PublicationID=P20200215028", "https://www.airitibooks.com/Detail/Detail?PublicationID=P20200215028")</f>
        <v>https://www.airitibooks.com/Detail/Detail?PublicationID=P20200215028</v>
      </c>
      <c r="K914" s="13" t="str">
        <f>HYPERLINK("https://ntsu.idm.oclc.org/login?url=https://www.airitibooks.com/Detail/Detail?PublicationID=P20200215028", "https://ntsu.idm.oclc.org/login?url=https://www.airitibooks.com/Detail/Detail?PublicationID=P20200215028")</f>
        <v>https://ntsu.idm.oclc.org/login?url=https://www.airitibooks.com/Detail/Detail?PublicationID=P20200215028</v>
      </c>
    </row>
    <row r="915" spans="1:11" ht="51" x14ac:dyDescent="0.4">
      <c r="A915" s="10" t="s">
        <v>13444</v>
      </c>
      <c r="B915" s="10" t="s">
        <v>13445</v>
      </c>
      <c r="C915" s="10" t="s">
        <v>7294</v>
      </c>
      <c r="D915" s="10" t="s">
        <v>13431</v>
      </c>
      <c r="E915" s="10" t="s">
        <v>3219</v>
      </c>
      <c r="F915" s="10" t="s">
        <v>394</v>
      </c>
      <c r="G915" s="10" t="s">
        <v>23</v>
      </c>
      <c r="H915" s="7" t="s">
        <v>7839</v>
      </c>
      <c r="I915" s="7" t="s">
        <v>25</v>
      </c>
      <c r="J915" s="13" t="str">
        <f>HYPERLINK("https://www.airitibooks.com/Detail/Detail?PublicationID=P20200215029", "https://www.airitibooks.com/Detail/Detail?PublicationID=P20200215029")</f>
        <v>https://www.airitibooks.com/Detail/Detail?PublicationID=P20200215029</v>
      </c>
      <c r="K915" s="13" t="str">
        <f>HYPERLINK("https://ntsu.idm.oclc.org/login?url=https://www.airitibooks.com/Detail/Detail?PublicationID=P20200215029", "https://ntsu.idm.oclc.org/login?url=https://www.airitibooks.com/Detail/Detail?PublicationID=P20200215029")</f>
        <v>https://ntsu.idm.oclc.org/login?url=https://www.airitibooks.com/Detail/Detail?PublicationID=P20200215029</v>
      </c>
    </row>
    <row r="916" spans="1:11" ht="51" x14ac:dyDescent="0.4">
      <c r="A916" s="10" t="s">
        <v>13446</v>
      </c>
      <c r="B916" s="10" t="s">
        <v>13447</v>
      </c>
      <c r="C916" s="10" t="s">
        <v>7294</v>
      </c>
      <c r="D916" s="10" t="s">
        <v>13431</v>
      </c>
      <c r="E916" s="10" t="s">
        <v>3219</v>
      </c>
      <c r="F916" s="10" t="s">
        <v>394</v>
      </c>
      <c r="G916" s="10" t="s">
        <v>23</v>
      </c>
      <c r="H916" s="7" t="s">
        <v>7839</v>
      </c>
      <c r="I916" s="7" t="s">
        <v>25</v>
      </c>
      <c r="J916" s="13" t="str">
        <f>HYPERLINK("https://www.airitibooks.com/Detail/Detail?PublicationID=P20200215030", "https://www.airitibooks.com/Detail/Detail?PublicationID=P20200215030")</f>
        <v>https://www.airitibooks.com/Detail/Detail?PublicationID=P20200215030</v>
      </c>
      <c r="K916" s="13" t="str">
        <f>HYPERLINK("https://ntsu.idm.oclc.org/login?url=https://www.airitibooks.com/Detail/Detail?PublicationID=P20200215030", "https://ntsu.idm.oclc.org/login?url=https://www.airitibooks.com/Detail/Detail?PublicationID=P20200215030")</f>
        <v>https://ntsu.idm.oclc.org/login?url=https://www.airitibooks.com/Detail/Detail?PublicationID=P20200215030</v>
      </c>
    </row>
    <row r="917" spans="1:11" ht="51" x14ac:dyDescent="0.4">
      <c r="A917" s="10" t="s">
        <v>13448</v>
      </c>
      <c r="B917" s="10" t="s">
        <v>13449</v>
      </c>
      <c r="C917" s="10" t="s">
        <v>7294</v>
      </c>
      <c r="D917" s="10" t="s">
        <v>13450</v>
      </c>
      <c r="E917" s="10" t="s">
        <v>3219</v>
      </c>
      <c r="F917" s="10" t="s">
        <v>386</v>
      </c>
      <c r="G917" s="10" t="s">
        <v>23</v>
      </c>
      <c r="H917" s="7" t="s">
        <v>7839</v>
      </c>
      <c r="I917" s="7" t="s">
        <v>25</v>
      </c>
      <c r="J917" s="13" t="str">
        <f>HYPERLINK("https://www.airitibooks.com/Detail/Detail?PublicationID=P20200215031", "https://www.airitibooks.com/Detail/Detail?PublicationID=P20200215031")</f>
        <v>https://www.airitibooks.com/Detail/Detail?PublicationID=P20200215031</v>
      </c>
      <c r="K917" s="13" t="str">
        <f>HYPERLINK("https://ntsu.idm.oclc.org/login?url=https://www.airitibooks.com/Detail/Detail?PublicationID=P20200215031", "https://ntsu.idm.oclc.org/login?url=https://www.airitibooks.com/Detail/Detail?PublicationID=P20200215031")</f>
        <v>https://ntsu.idm.oclc.org/login?url=https://www.airitibooks.com/Detail/Detail?PublicationID=P20200215031</v>
      </c>
    </row>
    <row r="918" spans="1:11" ht="68" x14ac:dyDescent="0.4">
      <c r="A918" s="10" t="s">
        <v>13451</v>
      </c>
      <c r="B918" s="10" t="s">
        <v>13452</v>
      </c>
      <c r="C918" s="10" t="s">
        <v>3473</v>
      </c>
      <c r="D918" s="10" t="s">
        <v>5672</v>
      </c>
      <c r="E918" s="10" t="s">
        <v>3219</v>
      </c>
      <c r="F918" s="10" t="s">
        <v>214</v>
      </c>
      <c r="G918" s="10" t="s">
        <v>23</v>
      </c>
      <c r="H918" s="7" t="s">
        <v>7839</v>
      </c>
      <c r="I918" s="7" t="s">
        <v>25</v>
      </c>
      <c r="J918" s="13" t="str">
        <f>HYPERLINK("https://www.airitibooks.com/Detail/Detail?PublicationID=P20200215032", "https://www.airitibooks.com/Detail/Detail?PublicationID=P20200215032")</f>
        <v>https://www.airitibooks.com/Detail/Detail?PublicationID=P20200215032</v>
      </c>
      <c r="K918" s="13" t="str">
        <f>HYPERLINK("https://ntsu.idm.oclc.org/login?url=https://www.airitibooks.com/Detail/Detail?PublicationID=P20200215032", "https://ntsu.idm.oclc.org/login?url=https://www.airitibooks.com/Detail/Detail?PublicationID=P20200215032")</f>
        <v>https://ntsu.idm.oclc.org/login?url=https://www.airitibooks.com/Detail/Detail?PublicationID=P20200215032</v>
      </c>
    </row>
    <row r="919" spans="1:11" ht="51" x14ac:dyDescent="0.4">
      <c r="A919" s="10" t="s">
        <v>13453</v>
      </c>
      <c r="B919" s="10" t="s">
        <v>13454</v>
      </c>
      <c r="C919" s="10" t="s">
        <v>3473</v>
      </c>
      <c r="D919" s="10" t="s">
        <v>7876</v>
      </c>
      <c r="E919" s="10" t="s">
        <v>3219</v>
      </c>
      <c r="F919" s="10" t="s">
        <v>394</v>
      </c>
      <c r="G919" s="10" t="s">
        <v>23</v>
      </c>
      <c r="H919" s="7" t="s">
        <v>7839</v>
      </c>
      <c r="I919" s="7" t="s">
        <v>25</v>
      </c>
      <c r="J919" s="13" t="str">
        <f>HYPERLINK("https://www.airitibooks.com/Detail/Detail?PublicationID=P20200215033", "https://www.airitibooks.com/Detail/Detail?PublicationID=P20200215033")</f>
        <v>https://www.airitibooks.com/Detail/Detail?PublicationID=P20200215033</v>
      </c>
      <c r="K919" s="13" t="str">
        <f>HYPERLINK("https://ntsu.idm.oclc.org/login?url=https://www.airitibooks.com/Detail/Detail?PublicationID=P20200215033", "https://ntsu.idm.oclc.org/login?url=https://www.airitibooks.com/Detail/Detail?PublicationID=P20200215033")</f>
        <v>https://ntsu.idm.oclc.org/login?url=https://www.airitibooks.com/Detail/Detail?PublicationID=P20200215033</v>
      </c>
    </row>
    <row r="920" spans="1:11" ht="51" x14ac:dyDescent="0.4">
      <c r="A920" s="10" t="s">
        <v>13455</v>
      </c>
      <c r="B920" s="10" t="s">
        <v>13456</v>
      </c>
      <c r="C920" s="10" t="s">
        <v>3473</v>
      </c>
      <c r="D920" s="10" t="s">
        <v>5672</v>
      </c>
      <c r="E920" s="10" t="s">
        <v>3219</v>
      </c>
      <c r="F920" s="10" t="s">
        <v>214</v>
      </c>
      <c r="G920" s="10" t="s">
        <v>23</v>
      </c>
      <c r="H920" s="7" t="s">
        <v>7839</v>
      </c>
      <c r="I920" s="7" t="s">
        <v>25</v>
      </c>
      <c r="J920" s="13" t="str">
        <f>HYPERLINK("https://www.airitibooks.com/Detail/Detail?PublicationID=P20200215034", "https://www.airitibooks.com/Detail/Detail?PublicationID=P20200215034")</f>
        <v>https://www.airitibooks.com/Detail/Detail?PublicationID=P20200215034</v>
      </c>
      <c r="K920" s="13" t="str">
        <f>HYPERLINK("https://ntsu.idm.oclc.org/login?url=https://www.airitibooks.com/Detail/Detail?PublicationID=P20200215034", "https://ntsu.idm.oclc.org/login?url=https://www.airitibooks.com/Detail/Detail?PublicationID=P20200215034")</f>
        <v>https://ntsu.idm.oclc.org/login?url=https://www.airitibooks.com/Detail/Detail?PublicationID=P20200215034</v>
      </c>
    </row>
    <row r="921" spans="1:11" ht="51" x14ac:dyDescent="0.4">
      <c r="A921" s="10" t="s">
        <v>13457</v>
      </c>
      <c r="B921" s="10" t="s">
        <v>13458</v>
      </c>
      <c r="C921" s="10" t="s">
        <v>3473</v>
      </c>
      <c r="D921" s="10" t="s">
        <v>13459</v>
      </c>
      <c r="E921" s="10" t="s">
        <v>3219</v>
      </c>
      <c r="F921" s="10" t="s">
        <v>214</v>
      </c>
      <c r="G921" s="10" t="s">
        <v>23</v>
      </c>
      <c r="H921" s="7" t="s">
        <v>7839</v>
      </c>
      <c r="I921" s="7" t="s">
        <v>25</v>
      </c>
      <c r="J921" s="13" t="str">
        <f>HYPERLINK("https://www.airitibooks.com/Detail/Detail?PublicationID=P20200215035", "https://www.airitibooks.com/Detail/Detail?PublicationID=P20200215035")</f>
        <v>https://www.airitibooks.com/Detail/Detail?PublicationID=P20200215035</v>
      </c>
      <c r="K921" s="13" t="str">
        <f>HYPERLINK("https://ntsu.idm.oclc.org/login?url=https://www.airitibooks.com/Detail/Detail?PublicationID=P20200215035", "https://ntsu.idm.oclc.org/login?url=https://www.airitibooks.com/Detail/Detail?PublicationID=P20200215035")</f>
        <v>https://ntsu.idm.oclc.org/login?url=https://www.airitibooks.com/Detail/Detail?PublicationID=P20200215035</v>
      </c>
    </row>
    <row r="922" spans="1:11" ht="51" x14ac:dyDescent="0.4">
      <c r="A922" s="10" t="s">
        <v>13460</v>
      </c>
      <c r="B922" s="10" t="s">
        <v>13461</v>
      </c>
      <c r="C922" s="10" t="s">
        <v>3473</v>
      </c>
      <c r="D922" s="10" t="s">
        <v>7973</v>
      </c>
      <c r="E922" s="10" t="s">
        <v>3219</v>
      </c>
      <c r="F922" s="10" t="s">
        <v>13440</v>
      </c>
      <c r="G922" s="10" t="s">
        <v>23</v>
      </c>
      <c r="H922" s="7" t="s">
        <v>24</v>
      </c>
      <c r="I922" s="7" t="s">
        <v>25</v>
      </c>
      <c r="J922" s="13" t="str">
        <f>HYPERLINK("https://www.airitibooks.com/Detail/Detail?PublicationID=P20200215036", "https://www.airitibooks.com/Detail/Detail?PublicationID=P20200215036")</f>
        <v>https://www.airitibooks.com/Detail/Detail?PublicationID=P20200215036</v>
      </c>
      <c r="K922" s="13" t="str">
        <f>HYPERLINK("https://ntsu.idm.oclc.org/login?url=https://www.airitibooks.com/Detail/Detail?PublicationID=P20200215036", "https://ntsu.idm.oclc.org/login?url=https://www.airitibooks.com/Detail/Detail?PublicationID=P20200215036")</f>
        <v>https://ntsu.idm.oclc.org/login?url=https://www.airitibooks.com/Detail/Detail?PublicationID=P20200215036</v>
      </c>
    </row>
    <row r="923" spans="1:11" ht="51" x14ac:dyDescent="0.4">
      <c r="A923" s="10" t="s">
        <v>13465</v>
      </c>
      <c r="B923" s="10" t="s">
        <v>13466</v>
      </c>
      <c r="C923" s="10" t="s">
        <v>3473</v>
      </c>
      <c r="D923" s="10" t="s">
        <v>7876</v>
      </c>
      <c r="E923" s="10" t="s">
        <v>3219</v>
      </c>
      <c r="F923" s="10" t="s">
        <v>2492</v>
      </c>
      <c r="G923" s="10" t="s">
        <v>23</v>
      </c>
      <c r="H923" s="7" t="s">
        <v>7839</v>
      </c>
      <c r="I923" s="7" t="s">
        <v>25</v>
      </c>
      <c r="J923" s="13" t="str">
        <f>HYPERLINK("https://www.airitibooks.com/Detail/Detail?PublicationID=P20200215038", "https://www.airitibooks.com/Detail/Detail?PublicationID=P20200215038")</f>
        <v>https://www.airitibooks.com/Detail/Detail?PublicationID=P20200215038</v>
      </c>
      <c r="K923" s="13" t="str">
        <f>HYPERLINK("https://ntsu.idm.oclc.org/login?url=https://www.airitibooks.com/Detail/Detail?PublicationID=P20200215038", "https://ntsu.idm.oclc.org/login?url=https://www.airitibooks.com/Detail/Detail?PublicationID=P20200215038")</f>
        <v>https://ntsu.idm.oclc.org/login?url=https://www.airitibooks.com/Detail/Detail?PublicationID=P20200215038</v>
      </c>
    </row>
    <row r="924" spans="1:11" ht="51" x14ac:dyDescent="0.4">
      <c r="A924" s="10" t="s">
        <v>13467</v>
      </c>
      <c r="B924" s="10" t="s">
        <v>13468</v>
      </c>
      <c r="C924" s="10" t="s">
        <v>7294</v>
      </c>
      <c r="D924" s="10" t="s">
        <v>13431</v>
      </c>
      <c r="E924" s="10" t="s">
        <v>3219</v>
      </c>
      <c r="F924" s="10" t="s">
        <v>394</v>
      </c>
      <c r="G924" s="10" t="s">
        <v>23</v>
      </c>
      <c r="H924" s="7" t="s">
        <v>7839</v>
      </c>
      <c r="I924" s="7" t="s">
        <v>25</v>
      </c>
      <c r="J924" s="13" t="str">
        <f>HYPERLINK("https://www.airitibooks.com/Detail/Detail?PublicationID=P20200215039", "https://www.airitibooks.com/Detail/Detail?PublicationID=P20200215039")</f>
        <v>https://www.airitibooks.com/Detail/Detail?PublicationID=P20200215039</v>
      </c>
      <c r="K924" s="13" t="str">
        <f>HYPERLINK("https://ntsu.idm.oclc.org/login?url=https://www.airitibooks.com/Detail/Detail?PublicationID=P20200215039", "https://ntsu.idm.oclc.org/login?url=https://www.airitibooks.com/Detail/Detail?PublicationID=P20200215039")</f>
        <v>https://ntsu.idm.oclc.org/login?url=https://www.airitibooks.com/Detail/Detail?PublicationID=P20200215039</v>
      </c>
    </row>
    <row r="925" spans="1:11" ht="51" x14ac:dyDescent="0.4">
      <c r="A925" s="10" t="s">
        <v>13469</v>
      </c>
      <c r="B925" s="10" t="s">
        <v>13470</v>
      </c>
      <c r="C925" s="10" t="s">
        <v>7294</v>
      </c>
      <c r="D925" s="10" t="s">
        <v>7979</v>
      </c>
      <c r="E925" s="10" t="s">
        <v>3219</v>
      </c>
      <c r="F925" s="10" t="s">
        <v>1599</v>
      </c>
      <c r="G925" s="10" t="s">
        <v>23</v>
      </c>
      <c r="H925" s="7" t="s">
        <v>2593</v>
      </c>
      <c r="I925" s="7" t="s">
        <v>25</v>
      </c>
      <c r="J925" s="13" t="str">
        <f>HYPERLINK("https://www.airitibooks.com/Detail/Detail?PublicationID=P20200215040", "https://www.airitibooks.com/Detail/Detail?PublicationID=P20200215040")</f>
        <v>https://www.airitibooks.com/Detail/Detail?PublicationID=P20200215040</v>
      </c>
      <c r="K925" s="13" t="str">
        <f>HYPERLINK("https://ntsu.idm.oclc.org/login?url=https://www.airitibooks.com/Detail/Detail?PublicationID=P20200215040", "https://ntsu.idm.oclc.org/login?url=https://www.airitibooks.com/Detail/Detail?PublicationID=P20200215040")</f>
        <v>https://ntsu.idm.oclc.org/login?url=https://www.airitibooks.com/Detail/Detail?PublicationID=P20200215040</v>
      </c>
    </row>
    <row r="926" spans="1:11" ht="68" x14ac:dyDescent="0.4">
      <c r="A926" s="10" t="s">
        <v>13471</v>
      </c>
      <c r="B926" s="10" t="s">
        <v>13472</v>
      </c>
      <c r="C926" s="10" t="s">
        <v>3473</v>
      </c>
      <c r="D926" s="10" t="s">
        <v>5672</v>
      </c>
      <c r="E926" s="10" t="s">
        <v>3219</v>
      </c>
      <c r="F926" s="10" t="s">
        <v>214</v>
      </c>
      <c r="G926" s="10" t="s">
        <v>23</v>
      </c>
      <c r="H926" s="7" t="s">
        <v>7839</v>
      </c>
      <c r="I926" s="7" t="s">
        <v>25</v>
      </c>
      <c r="J926" s="13" t="str">
        <f>HYPERLINK("https://www.airitibooks.com/Detail/Detail?PublicationID=P20200215041", "https://www.airitibooks.com/Detail/Detail?PublicationID=P20200215041")</f>
        <v>https://www.airitibooks.com/Detail/Detail?PublicationID=P20200215041</v>
      </c>
      <c r="K926" s="13" t="str">
        <f>HYPERLINK("https://ntsu.idm.oclc.org/login?url=https://www.airitibooks.com/Detail/Detail?PublicationID=P20200215041", "https://ntsu.idm.oclc.org/login?url=https://www.airitibooks.com/Detail/Detail?PublicationID=P20200215041")</f>
        <v>https://ntsu.idm.oclc.org/login?url=https://www.airitibooks.com/Detail/Detail?PublicationID=P20200215041</v>
      </c>
    </row>
    <row r="927" spans="1:11" ht="51" x14ac:dyDescent="0.4">
      <c r="A927" s="10" t="s">
        <v>13473</v>
      </c>
      <c r="B927" s="10" t="s">
        <v>13474</v>
      </c>
      <c r="C927" s="10" t="s">
        <v>7294</v>
      </c>
      <c r="D927" s="10" t="s">
        <v>13420</v>
      </c>
      <c r="E927" s="10" t="s">
        <v>3219</v>
      </c>
      <c r="F927" s="10" t="s">
        <v>1599</v>
      </c>
      <c r="G927" s="10" t="s">
        <v>23</v>
      </c>
      <c r="H927" s="7" t="s">
        <v>2593</v>
      </c>
      <c r="I927" s="7" t="s">
        <v>25</v>
      </c>
      <c r="J927" s="13" t="str">
        <f>HYPERLINK("https://www.airitibooks.com/Detail/Detail?PublicationID=P20200215042", "https://www.airitibooks.com/Detail/Detail?PublicationID=P20200215042")</f>
        <v>https://www.airitibooks.com/Detail/Detail?PublicationID=P20200215042</v>
      </c>
      <c r="K927" s="13" t="str">
        <f>HYPERLINK("https://ntsu.idm.oclc.org/login?url=https://www.airitibooks.com/Detail/Detail?PublicationID=P20200215042", "https://ntsu.idm.oclc.org/login?url=https://www.airitibooks.com/Detail/Detail?PublicationID=P20200215042")</f>
        <v>https://ntsu.idm.oclc.org/login?url=https://www.airitibooks.com/Detail/Detail?PublicationID=P20200215042</v>
      </c>
    </row>
    <row r="928" spans="1:11" ht="51" x14ac:dyDescent="0.4">
      <c r="A928" s="10" t="s">
        <v>13475</v>
      </c>
      <c r="B928" s="10" t="s">
        <v>13476</v>
      </c>
      <c r="C928" s="10" t="s">
        <v>7294</v>
      </c>
      <c r="D928" s="10" t="s">
        <v>13477</v>
      </c>
      <c r="E928" s="10" t="s">
        <v>3219</v>
      </c>
      <c r="F928" s="10" t="s">
        <v>7880</v>
      </c>
      <c r="G928" s="10" t="s">
        <v>23</v>
      </c>
      <c r="H928" s="7" t="s">
        <v>24</v>
      </c>
      <c r="I928" s="7" t="s">
        <v>25</v>
      </c>
      <c r="J928" s="13" t="str">
        <f>HYPERLINK("https://www.airitibooks.com/Detail/Detail?PublicationID=P20200215043", "https://www.airitibooks.com/Detail/Detail?PublicationID=P20200215043")</f>
        <v>https://www.airitibooks.com/Detail/Detail?PublicationID=P20200215043</v>
      </c>
      <c r="K928" s="13" t="str">
        <f>HYPERLINK("https://ntsu.idm.oclc.org/login?url=https://www.airitibooks.com/Detail/Detail?PublicationID=P20200215043", "https://ntsu.idm.oclc.org/login?url=https://www.airitibooks.com/Detail/Detail?PublicationID=P20200215043")</f>
        <v>https://ntsu.idm.oclc.org/login?url=https://www.airitibooks.com/Detail/Detail?PublicationID=P20200215043</v>
      </c>
    </row>
    <row r="929" spans="1:11" ht="51" x14ac:dyDescent="0.4">
      <c r="A929" s="10" t="s">
        <v>13481</v>
      </c>
      <c r="B929" s="10" t="s">
        <v>13482</v>
      </c>
      <c r="C929" s="10" t="s">
        <v>7294</v>
      </c>
      <c r="D929" s="10" t="s">
        <v>13483</v>
      </c>
      <c r="E929" s="10" t="s">
        <v>3219</v>
      </c>
      <c r="F929" s="10" t="s">
        <v>1427</v>
      </c>
      <c r="G929" s="10" t="s">
        <v>23</v>
      </c>
      <c r="H929" s="7" t="s">
        <v>24</v>
      </c>
      <c r="I929" s="7" t="s">
        <v>25</v>
      </c>
      <c r="J929" s="13" t="str">
        <f>HYPERLINK("https://www.airitibooks.com/Detail/Detail?PublicationID=P20200215045", "https://www.airitibooks.com/Detail/Detail?PublicationID=P20200215045")</f>
        <v>https://www.airitibooks.com/Detail/Detail?PublicationID=P20200215045</v>
      </c>
      <c r="K929" s="13" t="str">
        <f>HYPERLINK("https://ntsu.idm.oclc.org/login?url=https://www.airitibooks.com/Detail/Detail?PublicationID=P20200215045", "https://ntsu.idm.oclc.org/login?url=https://www.airitibooks.com/Detail/Detail?PublicationID=P20200215045")</f>
        <v>https://ntsu.idm.oclc.org/login?url=https://www.airitibooks.com/Detail/Detail?PublicationID=P20200215045</v>
      </c>
    </row>
    <row r="930" spans="1:11" ht="51" x14ac:dyDescent="0.4">
      <c r="A930" s="10" t="s">
        <v>13544</v>
      </c>
      <c r="B930" s="10" t="s">
        <v>13545</v>
      </c>
      <c r="C930" s="10" t="s">
        <v>5050</v>
      </c>
      <c r="D930" s="10" t="s">
        <v>13546</v>
      </c>
      <c r="E930" s="10" t="s">
        <v>3219</v>
      </c>
      <c r="F930" s="10" t="s">
        <v>299</v>
      </c>
      <c r="G930" s="10" t="s">
        <v>23</v>
      </c>
      <c r="H930" s="7" t="s">
        <v>24</v>
      </c>
      <c r="I930" s="7" t="s">
        <v>25</v>
      </c>
      <c r="J930" s="13" t="str">
        <f>HYPERLINK("https://www.airitibooks.com/Detail/Detail?PublicationID=P20200221090", "https://www.airitibooks.com/Detail/Detail?PublicationID=P20200221090")</f>
        <v>https://www.airitibooks.com/Detail/Detail?PublicationID=P20200221090</v>
      </c>
      <c r="K930" s="13" t="str">
        <f>HYPERLINK("https://ntsu.idm.oclc.org/login?url=https://www.airitibooks.com/Detail/Detail?PublicationID=P20200221090", "https://ntsu.idm.oclc.org/login?url=https://www.airitibooks.com/Detail/Detail?PublicationID=P20200221090")</f>
        <v>https://ntsu.idm.oclc.org/login?url=https://www.airitibooks.com/Detail/Detail?PublicationID=P20200221090</v>
      </c>
    </row>
    <row r="931" spans="1:11" ht="51" x14ac:dyDescent="0.4">
      <c r="A931" s="10" t="s">
        <v>13556</v>
      </c>
      <c r="B931" s="10" t="s">
        <v>13557</v>
      </c>
      <c r="C931" s="10" t="s">
        <v>5050</v>
      </c>
      <c r="D931" s="10" t="s">
        <v>13558</v>
      </c>
      <c r="E931" s="10" t="s">
        <v>3219</v>
      </c>
      <c r="F931" s="10" t="s">
        <v>299</v>
      </c>
      <c r="G931" s="10" t="s">
        <v>23</v>
      </c>
      <c r="H931" s="7" t="s">
        <v>24</v>
      </c>
      <c r="I931" s="7" t="s">
        <v>25</v>
      </c>
      <c r="J931" s="13" t="str">
        <f>HYPERLINK("https://www.airitibooks.com/Detail/Detail?PublicationID=P20200221098", "https://www.airitibooks.com/Detail/Detail?PublicationID=P20200221098")</f>
        <v>https://www.airitibooks.com/Detail/Detail?PublicationID=P20200221098</v>
      </c>
      <c r="K931" s="13" t="str">
        <f>HYPERLINK("https://ntsu.idm.oclc.org/login?url=https://www.airitibooks.com/Detail/Detail?PublicationID=P20200221098", "https://ntsu.idm.oclc.org/login?url=https://www.airitibooks.com/Detail/Detail?PublicationID=P20200221098")</f>
        <v>https://ntsu.idm.oclc.org/login?url=https://www.airitibooks.com/Detail/Detail?PublicationID=P20200221098</v>
      </c>
    </row>
    <row r="932" spans="1:11" ht="51" x14ac:dyDescent="0.4">
      <c r="A932" s="10" t="s">
        <v>13563</v>
      </c>
      <c r="B932" s="10" t="s">
        <v>13564</v>
      </c>
      <c r="C932" s="10" t="s">
        <v>5050</v>
      </c>
      <c r="D932" s="10" t="s">
        <v>9494</v>
      </c>
      <c r="E932" s="10" t="s">
        <v>3219</v>
      </c>
      <c r="F932" s="10" t="s">
        <v>565</v>
      </c>
      <c r="G932" s="10" t="s">
        <v>23</v>
      </c>
      <c r="H932" s="7" t="s">
        <v>24</v>
      </c>
      <c r="I932" s="7" t="s">
        <v>25</v>
      </c>
      <c r="J932" s="13" t="str">
        <f>HYPERLINK("https://www.airitibooks.com/Detail/Detail?PublicationID=P20200221101", "https://www.airitibooks.com/Detail/Detail?PublicationID=P20200221101")</f>
        <v>https://www.airitibooks.com/Detail/Detail?PublicationID=P20200221101</v>
      </c>
      <c r="K932" s="13" t="str">
        <f>HYPERLINK("https://ntsu.idm.oclc.org/login?url=https://www.airitibooks.com/Detail/Detail?PublicationID=P20200221101", "https://ntsu.idm.oclc.org/login?url=https://www.airitibooks.com/Detail/Detail?PublicationID=P20200221101")</f>
        <v>https://ntsu.idm.oclc.org/login?url=https://www.airitibooks.com/Detail/Detail?PublicationID=P20200221101</v>
      </c>
    </row>
    <row r="933" spans="1:11" ht="51" x14ac:dyDescent="0.4">
      <c r="A933" s="10" t="s">
        <v>13621</v>
      </c>
      <c r="B933" s="10" t="s">
        <v>13622</v>
      </c>
      <c r="C933" s="10" t="s">
        <v>938</v>
      </c>
      <c r="D933" s="10" t="s">
        <v>13623</v>
      </c>
      <c r="E933" s="10" t="s">
        <v>3219</v>
      </c>
      <c r="F933" s="10" t="s">
        <v>7409</v>
      </c>
      <c r="G933" s="10" t="s">
        <v>23</v>
      </c>
      <c r="H933" s="7" t="s">
        <v>24</v>
      </c>
      <c r="I933" s="7" t="s">
        <v>25</v>
      </c>
      <c r="J933" s="13" t="str">
        <f>HYPERLINK("https://www.airitibooks.com/Detail/Detail?PublicationID=P20200321002", "https://www.airitibooks.com/Detail/Detail?PublicationID=P20200321002")</f>
        <v>https://www.airitibooks.com/Detail/Detail?PublicationID=P20200321002</v>
      </c>
      <c r="K933" s="13" t="str">
        <f>HYPERLINK("https://ntsu.idm.oclc.org/login?url=https://www.airitibooks.com/Detail/Detail?PublicationID=P20200321002", "https://ntsu.idm.oclc.org/login?url=https://www.airitibooks.com/Detail/Detail?PublicationID=P20200321002")</f>
        <v>https://ntsu.idm.oclc.org/login?url=https://www.airitibooks.com/Detail/Detail?PublicationID=P20200321002</v>
      </c>
    </row>
    <row r="934" spans="1:11" ht="51" x14ac:dyDescent="0.4">
      <c r="A934" s="10" t="s">
        <v>10397</v>
      </c>
      <c r="B934" s="10" t="s">
        <v>13624</v>
      </c>
      <c r="C934" s="10" t="s">
        <v>938</v>
      </c>
      <c r="D934" s="10" t="s">
        <v>10102</v>
      </c>
      <c r="E934" s="10" t="s">
        <v>3219</v>
      </c>
      <c r="F934" s="10" t="s">
        <v>1646</v>
      </c>
      <c r="G934" s="10" t="s">
        <v>23</v>
      </c>
      <c r="H934" s="7" t="s">
        <v>7839</v>
      </c>
      <c r="I934" s="7" t="s">
        <v>25</v>
      </c>
      <c r="J934" s="13" t="str">
        <f>HYPERLINK("https://www.airitibooks.com/Detail/Detail?PublicationID=P20200321003", "https://www.airitibooks.com/Detail/Detail?PublicationID=P20200321003")</f>
        <v>https://www.airitibooks.com/Detail/Detail?PublicationID=P20200321003</v>
      </c>
      <c r="K934" s="13" t="str">
        <f>HYPERLINK("https://ntsu.idm.oclc.org/login?url=https://www.airitibooks.com/Detail/Detail?PublicationID=P20200321003", "https://ntsu.idm.oclc.org/login?url=https://www.airitibooks.com/Detail/Detail?PublicationID=P20200321003")</f>
        <v>https://ntsu.idm.oclc.org/login?url=https://www.airitibooks.com/Detail/Detail?PublicationID=P20200321003</v>
      </c>
    </row>
    <row r="935" spans="1:11" ht="51" x14ac:dyDescent="0.4">
      <c r="A935" s="10" t="s">
        <v>13633</v>
      </c>
      <c r="B935" s="10" t="s">
        <v>13634</v>
      </c>
      <c r="C935" s="10" t="s">
        <v>544</v>
      </c>
      <c r="D935" s="10" t="s">
        <v>13635</v>
      </c>
      <c r="E935" s="10" t="s">
        <v>3219</v>
      </c>
      <c r="F935" s="10" t="s">
        <v>3132</v>
      </c>
      <c r="G935" s="10" t="s">
        <v>23</v>
      </c>
      <c r="H935" s="7" t="s">
        <v>24</v>
      </c>
      <c r="I935" s="7" t="s">
        <v>25</v>
      </c>
      <c r="J935" s="13" t="str">
        <f>HYPERLINK("https://www.airitibooks.com/Detail/Detail?PublicationID=P20200321031", "https://www.airitibooks.com/Detail/Detail?PublicationID=P20200321031")</f>
        <v>https://www.airitibooks.com/Detail/Detail?PublicationID=P20200321031</v>
      </c>
      <c r="K935" s="13" t="str">
        <f>HYPERLINK("https://ntsu.idm.oclc.org/login?url=https://www.airitibooks.com/Detail/Detail?PublicationID=P20200321031", "https://ntsu.idm.oclc.org/login?url=https://www.airitibooks.com/Detail/Detail?PublicationID=P20200321031")</f>
        <v>https://ntsu.idm.oclc.org/login?url=https://www.airitibooks.com/Detail/Detail?PublicationID=P20200321031</v>
      </c>
    </row>
    <row r="936" spans="1:11" ht="51" x14ac:dyDescent="0.4">
      <c r="A936" s="10" t="s">
        <v>13636</v>
      </c>
      <c r="B936" s="10" t="s">
        <v>13637</v>
      </c>
      <c r="C936" s="10" t="s">
        <v>544</v>
      </c>
      <c r="D936" s="10" t="s">
        <v>13638</v>
      </c>
      <c r="E936" s="10" t="s">
        <v>3219</v>
      </c>
      <c r="F936" s="10" t="s">
        <v>762</v>
      </c>
      <c r="G936" s="10" t="s">
        <v>23</v>
      </c>
      <c r="H936" s="7" t="s">
        <v>24</v>
      </c>
      <c r="I936" s="7" t="s">
        <v>25</v>
      </c>
      <c r="J936" s="13" t="str">
        <f>HYPERLINK("https://www.airitibooks.com/Detail/Detail?PublicationID=P20200321032", "https://www.airitibooks.com/Detail/Detail?PublicationID=P20200321032")</f>
        <v>https://www.airitibooks.com/Detail/Detail?PublicationID=P20200321032</v>
      </c>
      <c r="K936" s="13" t="str">
        <f>HYPERLINK("https://ntsu.idm.oclc.org/login?url=https://www.airitibooks.com/Detail/Detail?PublicationID=P20200321032", "https://ntsu.idm.oclc.org/login?url=https://www.airitibooks.com/Detail/Detail?PublicationID=P20200321032")</f>
        <v>https://ntsu.idm.oclc.org/login?url=https://www.airitibooks.com/Detail/Detail?PublicationID=P20200321032</v>
      </c>
    </row>
    <row r="937" spans="1:11" ht="51" x14ac:dyDescent="0.4">
      <c r="A937" s="10" t="s">
        <v>13643</v>
      </c>
      <c r="B937" s="10" t="s">
        <v>13644</v>
      </c>
      <c r="C937" s="10" t="s">
        <v>544</v>
      </c>
      <c r="D937" s="10" t="s">
        <v>13645</v>
      </c>
      <c r="E937" s="10" t="s">
        <v>3219</v>
      </c>
      <c r="F937" s="10" t="s">
        <v>13646</v>
      </c>
      <c r="G937" s="10" t="s">
        <v>23</v>
      </c>
      <c r="H937" s="7" t="s">
        <v>24</v>
      </c>
      <c r="I937" s="7" t="s">
        <v>25</v>
      </c>
      <c r="J937" s="13" t="str">
        <f>HYPERLINK("https://www.airitibooks.com/Detail/Detail?PublicationID=P20200321038", "https://www.airitibooks.com/Detail/Detail?PublicationID=P20200321038")</f>
        <v>https://www.airitibooks.com/Detail/Detail?PublicationID=P20200321038</v>
      </c>
      <c r="K937" s="13" t="str">
        <f>HYPERLINK("https://ntsu.idm.oclc.org/login?url=https://www.airitibooks.com/Detail/Detail?PublicationID=P20200321038", "https://ntsu.idm.oclc.org/login?url=https://www.airitibooks.com/Detail/Detail?PublicationID=P20200321038")</f>
        <v>https://ntsu.idm.oclc.org/login?url=https://www.airitibooks.com/Detail/Detail?PublicationID=P20200321038</v>
      </c>
    </row>
    <row r="938" spans="1:11" ht="51" x14ac:dyDescent="0.4">
      <c r="A938" s="10" t="s">
        <v>13657</v>
      </c>
      <c r="B938" s="10" t="s">
        <v>13658</v>
      </c>
      <c r="C938" s="10" t="s">
        <v>544</v>
      </c>
      <c r="D938" s="10" t="s">
        <v>13659</v>
      </c>
      <c r="E938" s="10" t="s">
        <v>3219</v>
      </c>
      <c r="F938" s="10" t="s">
        <v>6659</v>
      </c>
      <c r="G938" s="10" t="s">
        <v>23</v>
      </c>
      <c r="H938" s="7" t="s">
        <v>24</v>
      </c>
      <c r="I938" s="7" t="s">
        <v>25</v>
      </c>
      <c r="J938" s="13" t="str">
        <f>HYPERLINK("https://www.airitibooks.com/Detail/Detail?PublicationID=P20200321043", "https://www.airitibooks.com/Detail/Detail?PublicationID=P20200321043")</f>
        <v>https://www.airitibooks.com/Detail/Detail?PublicationID=P20200321043</v>
      </c>
      <c r="K938" s="13" t="str">
        <f>HYPERLINK("https://ntsu.idm.oclc.org/login?url=https://www.airitibooks.com/Detail/Detail?PublicationID=P20200321043", "https://ntsu.idm.oclc.org/login?url=https://www.airitibooks.com/Detail/Detail?PublicationID=P20200321043")</f>
        <v>https://ntsu.idm.oclc.org/login?url=https://www.airitibooks.com/Detail/Detail?PublicationID=P20200321043</v>
      </c>
    </row>
    <row r="939" spans="1:11" ht="51" x14ac:dyDescent="0.4">
      <c r="A939" s="10" t="s">
        <v>13861</v>
      </c>
      <c r="B939" s="10" t="s">
        <v>13862</v>
      </c>
      <c r="C939" s="10" t="s">
        <v>11607</v>
      </c>
      <c r="D939" s="10" t="s">
        <v>13863</v>
      </c>
      <c r="E939" s="10" t="s">
        <v>3219</v>
      </c>
      <c r="F939" s="10" t="s">
        <v>1122</v>
      </c>
      <c r="G939" s="10" t="s">
        <v>23</v>
      </c>
      <c r="H939" s="7" t="s">
        <v>2593</v>
      </c>
      <c r="I939" s="7" t="s">
        <v>25</v>
      </c>
      <c r="J939" s="13" t="str">
        <f>HYPERLINK("https://www.airitibooks.com/Detail/Detail?PublicationID=P20200413031", "https://www.airitibooks.com/Detail/Detail?PublicationID=P20200413031")</f>
        <v>https://www.airitibooks.com/Detail/Detail?PublicationID=P20200413031</v>
      </c>
      <c r="K939" s="13" t="str">
        <f>HYPERLINK("https://ntsu.idm.oclc.org/login?url=https://www.airitibooks.com/Detail/Detail?PublicationID=P20200413031", "https://ntsu.idm.oclc.org/login?url=https://www.airitibooks.com/Detail/Detail?PublicationID=P20200413031")</f>
        <v>https://ntsu.idm.oclc.org/login?url=https://www.airitibooks.com/Detail/Detail?PublicationID=P20200413031</v>
      </c>
    </row>
    <row r="940" spans="1:11" ht="51" x14ac:dyDescent="0.4">
      <c r="A940" s="10" t="s">
        <v>13873</v>
      </c>
      <c r="B940" s="10" t="s">
        <v>13874</v>
      </c>
      <c r="C940" s="10" t="s">
        <v>3473</v>
      </c>
      <c r="D940" s="10" t="s">
        <v>13875</v>
      </c>
      <c r="E940" s="10" t="s">
        <v>3219</v>
      </c>
      <c r="F940" s="10" t="s">
        <v>7869</v>
      </c>
      <c r="G940" s="10" t="s">
        <v>23</v>
      </c>
      <c r="H940" s="7" t="s">
        <v>24</v>
      </c>
      <c r="I940" s="7" t="s">
        <v>25</v>
      </c>
      <c r="J940" s="13" t="str">
        <f>HYPERLINK("https://www.airitibooks.com/Detail/Detail?PublicationID=P20200413138", "https://www.airitibooks.com/Detail/Detail?PublicationID=P20200413138")</f>
        <v>https://www.airitibooks.com/Detail/Detail?PublicationID=P20200413138</v>
      </c>
      <c r="K940" s="13" t="str">
        <f>HYPERLINK("https://ntsu.idm.oclc.org/login?url=https://www.airitibooks.com/Detail/Detail?PublicationID=P20200413138", "https://ntsu.idm.oclc.org/login?url=https://www.airitibooks.com/Detail/Detail?PublicationID=P20200413138")</f>
        <v>https://ntsu.idm.oclc.org/login?url=https://www.airitibooks.com/Detail/Detail?PublicationID=P20200413138</v>
      </c>
    </row>
    <row r="941" spans="1:11" ht="51" x14ac:dyDescent="0.4">
      <c r="A941" s="10" t="s">
        <v>13923</v>
      </c>
      <c r="B941" s="10" t="s">
        <v>13924</v>
      </c>
      <c r="C941" s="10" t="s">
        <v>544</v>
      </c>
      <c r="D941" s="10" t="s">
        <v>13925</v>
      </c>
      <c r="E941" s="10" t="s">
        <v>3219</v>
      </c>
      <c r="F941" s="10" t="s">
        <v>13926</v>
      </c>
      <c r="G941" s="10" t="s">
        <v>23</v>
      </c>
      <c r="H941" s="7" t="s">
        <v>24</v>
      </c>
      <c r="I941" s="7" t="s">
        <v>25</v>
      </c>
      <c r="J941" s="13" t="str">
        <f>HYPERLINK("https://www.airitibooks.com/Detail/Detail?PublicationID=P20200430018", "https://www.airitibooks.com/Detail/Detail?PublicationID=P20200430018")</f>
        <v>https://www.airitibooks.com/Detail/Detail?PublicationID=P20200430018</v>
      </c>
      <c r="K941" s="13" t="str">
        <f>HYPERLINK("https://ntsu.idm.oclc.org/login?url=https://www.airitibooks.com/Detail/Detail?PublicationID=P20200430018", "https://ntsu.idm.oclc.org/login?url=https://www.airitibooks.com/Detail/Detail?PublicationID=P20200430018")</f>
        <v>https://ntsu.idm.oclc.org/login?url=https://www.airitibooks.com/Detail/Detail?PublicationID=P20200430018</v>
      </c>
    </row>
    <row r="942" spans="1:11" ht="51" x14ac:dyDescent="0.4">
      <c r="A942" s="10" t="s">
        <v>13931</v>
      </c>
      <c r="B942" s="10" t="s">
        <v>13932</v>
      </c>
      <c r="C942" s="10" t="s">
        <v>544</v>
      </c>
      <c r="D942" s="10" t="s">
        <v>13933</v>
      </c>
      <c r="E942" s="10" t="s">
        <v>3219</v>
      </c>
      <c r="F942" s="10" t="s">
        <v>13106</v>
      </c>
      <c r="G942" s="10" t="s">
        <v>23</v>
      </c>
      <c r="H942" s="7" t="s">
        <v>24</v>
      </c>
      <c r="I942" s="7" t="s">
        <v>25</v>
      </c>
      <c r="J942" s="13" t="str">
        <f>HYPERLINK("https://www.airitibooks.com/Detail/Detail?PublicationID=P20200430020", "https://www.airitibooks.com/Detail/Detail?PublicationID=P20200430020")</f>
        <v>https://www.airitibooks.com/Detail/Detail?PublicationID=P20200430020</v>
      </c>
      <c r="K942" s="13" t="str">
        <f>HYPERLINK("https://ntsu.idm.oclc.org/login?url=https://www.airitibooks.com/Detail/Detail?PublicationID=P20200430020", "https://ntsu.idm.oclc.org/login?url=https://www.airitibooks.com/Detail/Detail?PublicationID=P20200430020")</f>
        <v>https://ntsu.idm.oclc.org/login?url=https://www.airitibooks.com/Detail/Detail?PublicationID=P20200430020</v>
      </c>
    </row>
    <row r="943" spans="1:11" ht="51" x14ac:dyDescent="0.4">
      <c r="A943" s="10" t="s">
        <v>13938</v>
      </c>
      <c r="B943" s="10" t="s">
        <v>13939</v>
      </c>
      <c r="C943" s="10" t="s">
        <v>544</v>
      </c>
      <c r="D943" s="10" t="s">
        <v>13940</v>
      </c>
      <c r="E943" s="10" t="s">
        <v>3219</v>
      </c>
      <c r="F943" s="10" t="s">
        <v>762</v>
      </c>
      <c r="G943" s="10" t="s">
        <v>23</v>
      </c>
      <c r="H943" s="7" t="s">
        <v>24</v>
      </c>
      <c r="I943" s="7" t="s">
        <v>25</v>
      </c>
      <c r="J943" s="13" t="str">
        <f>HYPERLINK("https://www.airitibooks.com/Detail/Detail?PublicationID=P20200430024", "https://www.airitibooks.com/Detail/Detail?PublicationID=P20200430024")</f>
        <v>https://www.airitibooks.com/Detail/Detail?PublicationID=P20200430024</v>
      </c>
      <c r="K943" s="13" t="str">
        <f>HYPERLINK("https://ntsu.idm.oclc.org/login?url=https://www.airitibooks.com/Detail/Detail?PublicationID=P20200430024", "https://ntsu.idm.oclc.org/login?url=https://www.airitibooks.com/Detail/Detail?PublicationID=P20200430024")</f>
        <v>https://ntsu.idm.oclc.org/login?url=https://www.airitibooks.com/Detail/Detail?PublicationID=P20200430024</v>
      </c>
    </row>
    <row r="944" spans="1:11" ht="51" x14ac:dyDescent="0.4">
      <c r="A944" s="10" t="s">
        <v>13941</v>
      </c>
      <c r="B944" s="10" t="s">
        <v>13942</v>
      </c>
      <c r="C944" s="10" t="s">
        <v>544</v>
      </c>
      <c r="D944" s="10" t="s">
        <v>13943</v>
      </c>
      <c r="E944" s="10" t="s">
        <v>3219</v>
      </c>
      <c r="F944" s="10" t="s">
        <v>11543</v>
      </c>
      <c r="G944" s="10" t="s">
        <v>23</v>
      </c>
      <c r="H944" s="7" t="s">
        <v>24</v>
      </c>
      <c r="I944" s="7" t="s">
        <v>25</v>
      </c>
      <c r="J944" s="13" t="str">
        <f>HYPERLINK("https://www.airitibooks.com/Detail/Detail?PublicationID=P20200430026", "https://www.airitibooks.com/Detail/Detail?PublicationID=P20200430026")</f>
        <v>https://www.airitibooks.com/Detail/Detail?PublicationID=P20200430026</v>
      </c>
      <c r="K944" s="13" t="str">
        <f>HYPERLINK("https://ntsu.idm.oclc.org/login?url=https://www.airitibooks.com/Detail/Detail?PublicationID=P20200430026", "https://ntsu.idm.oclc.org/login?url=https://www.airitibooks.com/Detail/Detail?PublicationID=P20200430026")</f>
        <v>https://ntsu.idm.oclc.org/login?url=https://www.airitibooks.com/Detail/Detail?PublicationID=P20200430026</v>
      </c>
    </row>
    <row r="945" spans="1:11" ht="51" x14ac:dyDescent="0.4">
      <c r="A945" s="10" t="s">
        <v>13948</v>
      </c>
      <c r="B945" s="10" t="s">
        <v>13949</v>
      </c>
      <c r="C945" s="10" t="s">
        <v>544</v>
      </c>
      <c r="D945" s="10" t="s">
        <v>13950</v>
      </c>
      <c r="E945" s="10" t="s">
        <v>3219</v>
      </c>
      <c r="F945" s="10" t="s">
        <v>1622</v>
      </c>
      <c r="G945" s="10" t="s">
        <v>23</v>
      </c>
      <c r="H945" s="7" t="s">
        <v>24</v>
      </c>
      <c r="I945" s="7" t="s">
        <v>25</v>
      </c>
      <c r="J945" s="13" t="str">
        <f>HYPERLINK("https://www.airitibooks.com/Detail/Detail?PublicationID=P20200430036", "https://www.airitibooks.com/Detail/Detail?PublicationID=P20200430036")</f>
        <v>https://www.airitibooks.com/Detail/Detail?PublicationID=P20200430036</v>
      </c>
      <c r="K945" s="13" t="str">
        <f>HYPERLINK("https://ntsu.idm.oclc.org/login?url=https://www.airitibooks.com/Detail/Detail?PublicationID=P20200430036", "https://ntsu.idm.oclc.org/login?url=https://www.airitibooks.com/Detail/Detail?PublicationID=P20200430036")</f>
        <v>https://ntsu.idm.oclc.org/login?url=https://www.airitibooks.com/Detail/Detail?PublicationID=P20200430036</v>
      </c>
    </row>
    <row r="946" spans="1:11" ht="51" x14ac:dyDescent="0.4">
      <c r="A946" s="10" t="s">
        <v>13955</v>
      </c>
      <c r="B946" s="10" t="s">
        <v>13956</v>
      </c>
      <c r="C946" s="10" t="s">
        <v>544</v>
      </c>
      <c r="D946" s="10" t="s">
        <v>8810</v>
      </c>
      <c r="E946" s="10" t="s">
        <v>3219</v>
      </c>
      <c r="F946" s="10" t="s">
        <v>762</v>
      </c>
      <c r="G946" s="10" t="s">
        <v>23</v>
      </c>
      <c r="H946" s="7" t="s">
        <v>24</v>
      </c>
      <c r="I946" s="7" t="s">
        <v>25</v>
      </c>
      <c r="J946" s="13" t="str">
        <f>HYPERLINK("https://www.airitibooks.com/Detail/Detail?PublicationID=P20200430038", "https://www.airitibooks.com/Detail/Detail?PublicationID=P20200430038")</f>
        <v>https://www.airitibooks.com/Detail/Detail?PublicationID=P20200430038</v>
      </c>
      <c r="K946" s="13" t="str">
        <f>HYPERLINK("https://ntsu.idm.oclc.org/login?url=https://www.airitibooks.com/Detail/Detail?PublicationID=P20200430038", "https://ntsu.idm.oclc.org/login?url=https://www.airitibooks.com/Detail/Detail?PublicationID=P20200430038")</f>
        <v>https://ntsu.idm.oclc.org/login?url=https://www.airitibooks.com/Detail/Detail?PublicationID=P20200430038</v>
      </c>
    </row>
    <row r="947" spans="1:11" ht="51" x14ac:dyDescent="0.4">
      <c r="A947" s="10" t="s">
        <v>13960</v>
      </c>
      <c r="B947" s="10" t="s">
        <v>13961</v>
      </c>
      <c r="C947" s="10" t="s">
        <v>544</v>
      </c>
      <c r="D947" s="10" t="s">
        <v>13962</v>
      </c>
      <c r="E947" s="10" t="s">
        <v>3219</v>
      </c>
      <c r="F947" s="10" t="s">
        <v>12347</v>
      </c>
      <c r="G947" s="10" t="s">
        <v>23</v>
      </c>
      <c r="H947" s="7" t="s">
        <v>24</v>
      </c>
      <c r="I947" s="7" t="s">
        <v>25</v>
      </c>
      <c r="J947" s="13" t="str">
        <f>HYPERLINK("https://www.airitibooks.com/Detail/Detail?PublicationID=P20200430041", "https://www.airitibooks.com/Detail/Detail?PublicationID=P20200430041")</f>
        <v>https://www.airitibooks.com/Detail/Detail?PublicationID=P20200430041</v>
      </c>
      <c r="K947" s="13" t="str">
        <f>HYPERLINK("https://ntsu.idm.oclc.org/login?url=https://www.airitibooks.com/Detail/Detail?PublicationID=P20200430041", "https://ntsu.idm.oclc.org/login?url=https://www.airitibooks.com/Detail/Detail?PublicationID=P20200430041")</f>
        <v>https://ntsu.idm.oclc.org/login?url=https://www.airitibooks.com/Detail/Detail?PublicationID=P20200430041</v>
      </c>
    </row>
    <row r="948" spans="1:11" ht="51" x14ac:dyDescent="0.4">
      <c r="A948" s="10" t="s">
        <v>13963</v>
      </c>
      <c r="B948" s="10" t="s">
        <v>13964</v>
      </c>
      <c r="C948" s="10" t="s">
        <v>544</v>
      </c>
      <c r="D948" s="10" t="s">
        <v>13965</v>
      </c>
      <c r="E948" s="10" t="s">
        <v>3219</v>
      </c>
      <c r="F948" s="10" t="s">
        <v>4429</v>
      </c>
      <c r="G948" s="10" t="s">
        <v>23</v>
      </c>
      <c r="H948" s="7" t="s">
        <v>24</v>
      </c>
      <c r="I948" s="7" t="s">
        <v>25</v>
      </c>
      <c r="J948" s="13" t="str">
        <f>HYPERLINK("https://www.airitibooks.com/Detail/Detail?PublicationID=P20200430042", "https://www.airitibooks.com/Detail/Detail?PublicationID=P20200430042")</f>
        <v>https://www.airitibooks.com/Detail/Detail?PublicationID=P20200430042</v>
      </c>
      <c r="K948" s="13" t="str">
        <f>HYPERLINK("https://ntsu.idm.oclc.org/login?url=https://www.airitibooks.com/Detail/Detail?PublicationID=P20200430042", "https://ntsu.idm.oclc.org/login?url=https://www.airitibooks.com/Detail/Detail?PublicationID=P20200430042")</f>
        <v>https://ntsu.idm.oclc.org/login?url=https://www.airitibooks.com/Detail/Detail?PublicationID=P20200430042</v>
      </c>
    </row>
    <row r="949" spans="1:11" ht="51" x14ac:dyDescent="0.4">
      <c r="A949" s="10" t="s">
        <v>13966</v>
      </c>
      <c r="B949" s="10" t="s">
        <v>13967</v>
      </c>
      <c r="C949" s="10" t="s">
        <v>544</v>
      </c>
      <c r="D949" s="10" t="s">
        <v>13968</v>
      </c>
      <c r="E949" s="10" t="s">
        <v>3219</v>
      </c>
      <c r="F949" s="10" t="s">
        <v>4429</v>
      </c>
      <c r="G949" s="10" t="s">
        <v>23</v>
      </c>
      <c r="H949" s="7" t="s">
        <v>24</v>
      </c>
      <c r="I949" s="7" t="s">
        <v>25</v>
      </c>
      <c r="J949" s="13" t="str">
        <f>HYPERLINK("https://www.airitibooks.com/Detail/Detail?PublicationID=P20200430043", "https://www.airitibooks.com/Detail/Detail?PublicationID=P20200430043")</f>
        <v>https://www.airitibooks.com/Detail/Detail?PublicationID=P20200430043</v>
      </c>
      <c r="K949" s="13" t="str">
        <f>HYPERLINK("https://ntsu.idm.oclc.org/login?url=https://www.airitibooks.com/Detail/Detail?PublicationID=P20200430043", "https://ntsu.idm.oclc.org/login?url=https://www.airitibooks.com/Detail/Detail?PublicationID=P20200430043")</f>
        <v>https://ntsu.idm.oclc.org/login?url=https://www.airitibooks.com/Detail/Detail?PublicationID=P20200430043</v>
      </c>
    </row>
    <row r="950" spans="1:11" ht="51" x14ac:dyDescent="0.4">
      <c r="A950" s="10" t="s">
        <v>13969</v>
      </c>
      <c r="B950" s="10" t="s">
        <v>13970</v>
      </c>
      <c r="C950" s="10" t="s">
        <v>544</v>
      </c>
      <c r="D950" s="10" t="s">
        <v>13971</v>
      </c>
      <c r="E950" s="10" t="s">
        <v>3219</v>
      </c>
      <c r="F950" s="10" t="s">
        <v>2536</v>
      </c>
      <c r="G950" s="10" t="s">
        <v>23</v>
      </c>
      <c r="H950" s="7" t="s">
        <v>24</v>
      </c>
      <c r="I950" s="7" t="s">
        <v>25</v>
      </c>
      <c r="J950" s="13" t="str">
        <f>HYPERLINK("https://www.airitibooks.com/Detail/Detail?PublicationID=P20200430048", "https://www.airitibooks.com/Detail/Detail?PublicationID=P20200430048")</f>
        <v>https://www.airitibooks.com/Detail/Detail?PublicationID=P20200430048</v>
      </c>
      <c r="K950" s="13" t="str">
        <f>HYPERLINK("https://ntsu.idm.oclc.org/login?url=https://www.airitibooks.com/Detail/Detail?PublicationID=P20200430048", "https://ntsu.idm.oclc.org/login?url=https://www.airitibooks.com/Detail/Detail?PublicationID=P20200430048")</f>
        <v>https://ntsu.idm.oclc.org/login?url=https://www.airitibooks.com/Detail/Detail?PublicationID=P20200430048</v>
      </c>
    </row>
    <row r="951" spans="1:11" ht="68" x14ac:dyDescent="0.4">
      <c r="A951" s="10" t="s">
        <v>13972</v>
      </c>
      <c r="B951" s="10" t="s">
        <v>13973</v>
      </c>
      <c r="C951" s="10" t="s">
        <v>544</v>
      </c>
      <c r="D951" s="10" t="s">
        <v>13974</v>
      </c>
      <c r="E951" s="10" t="s">
        <v>3219</v>
      </c>
      <c r="F951" s="10" t="s">
        <v>13975</v>
      </c>
      <c r="G951" s="10" t="s">
        <v>23</v>
      </c>
      <c r="H951" s="7" t="s">
        <v>24</v>
      </c>
      <c r="I951" s="7" t="s">
        <v>25</v>
      </c>
      <c r="J951" s="13" t="str">
        <f>HYPERLINK("https://www.airitibooks.com/Detail/Detail?PublicationID=P20200430050", "https://www.airitibooks.com/Detail/Detail?PublicationID=P20200430050")</f>
        <v>https://www.airitibooks.com/Detail/Detail?PublicationID=P20200430050</v>
      </c>
      <c r="K951" s="13" t="str">
        <f>HYPERLINK("https://ntsu.idm.oclc.org/login?url=https://www.airitibooks.com/Detail/Detail?PublicationID=P20200430050", "https://ntsu.idm.oclc.org/login?url=https://www.airitibooks.com/Detail/Detail?PublicationID=P20200430050")</f>
        <v>https://ntsu.idm.oclc.org/login?url=https://www.airitibooks.com/Detail/Detail?PublicationID=P20200430050</v>
      </c>
    </row>
    <row r="952" spans="1:11" ht="51" x14ac:dyDescent="0.4">
      <c r="A952" s="10" t="s">
        <v>13991</v>
      </c>
      <c r="B952" s="10" t="s">
        <v>13992</v>
      </c>
      <c r="C952" s="10" t="s">
        <v>544</v>
      </c>
      <c r="D952" s="10" t="s">
        <v>13993</v>
      </c>
      <c r="E952" s="10" t="s">
        <v>3219</v>
      </c>
      <c r="F952" s="10" t="s">
        <v>13994</v>
      </c>
      <c r="G952" s="10" t="s">
        <v>23</v>
      </c>
      <c r="H952" s="7" t="s">
        <v>24</v>
      </c>
      <c r="I952" s="7" t="s">
        <v>25</v>
      </c>
      <c r="J952" s="13" t="str">
        <f>HYPERLINK("https://www.airitibooks.com/Detail/Detail?PublicationID=P20200430056", "https://www.airitibooks.com/Detail/Detail?PublicationID=P20200430056")</f>
        <v>https://www.airitibooks.com/Detail/Detail?PublicationID=P20200430056</v>
      </c>
      <c r="K952" s="13" t="str">
        <f>HYPERLINK("https://ntsu.idm.oclc.org/login?url=https://www.airitibooks.com/Detail/Detail?PublicationID=P20200430056", "https://ntsu.idm.oclc.org/login?url=https://www.airitibooks.com/Detail/Detail?PublicationID=P20200430056")</f>
        <v>https://ntsu.idm.oclc.org/login?url=https://www.airitibooks.com/Detail/Detail?PublicationID=P20200430056</v>
      </c>
    </row>
    <row r="953" spans="1:11" ht="51" x14ac:dyDescent="0.4">
      <c r="A953" s="10" t="s">
        <v>14260</v>
      </c>
      <c r="B953" s="10" t="s">
        <v>14261</v>
      </c>
      <c r="C953" s="10" t="s">
        <v>9828</v>
      </c>
      <c r="D953" s="10" t="s">
        <v>14262</v>
      </c>
      <c r="E953" s="10" t="s">
        <v>3219</v>
      </c>
      <c r="F953" s="10" t="s">
        <v>11422</v>
      </c>
      <c r="G953" s="10" t="s">
        <v>23</v>
      </c>
      <c r="H953" s="7" t="s">
        <v>1031</v>
      </c>
      <c r="I953" s="7" t="s">
        <v>25</v>
      </c>
      <c r="J953" s="13" t="str">
        <f>HYPERLINK("https://www.airitibooks.com/Detail/Detail?PublicationID=P20200521242", "https://www.airitibooks.com/Detail/Detail?PublicationID=P20200521242")</f>
        <v>https://www.airitibooks.com/Detail/Detail?PublicationID=P20200521242</v>
      </c>
      <c r="K953" s="13" t="str">
        <f>HYPERLINK("https://ntsu.idm.oclc.org/login?url=https://www.airitibooks.com/Detail/Detail?PublicationID=P20200521242", "https://ntsu.idm.oclc.org/login?url=https://www.airitibooks.com/Detail/Detail?PublicationID=P20200521242")</f>
        <v>https://ntsu.idm.oclc.org/login?url=https://www.airitibooks.com/Detail/Detail?PublicationID=P20200521242</v>
      </c>
    </row>
    <row r="954" spans="1:11" ht="51" x14ac:dyDescent="0.4">
      <c r="A954" s="10" t="s">
        <v>14328</v>
      </c>
      <c r="B954" s="10" t="s">
        <v>14329</v>
      </c>
      <c r="C954" s="10" t="s">
        <v>14330</v>
      </c>
      <c r="D954" s="10" t="s">
        <v>14331</v>
      </c>
      <c r="E954" s="10" t="s">
        <v>3219</v>
      </c>
      <c r="F954" s="10" t="s">
        <v>7849</v>
      </c>
      <c r="G954" s="10" t="s">
        <v>23</v>
      </c>
      <c r="H954" s="7" t="s">
        <v>1031</v>
      </c>
      <c r="I954" s="7" t="s">
        <v>25</v>
      </c>
      <c r="J954" s="13" t="str">
        <f>HYPERLINK("https://www.airitibooks.com/Detail/Detail?PublicationID=P20200605507", "https://www.airitibooks.com/Detail/Detail?PublicationID=P20200605507")</f>
        <v>https://www.airitibooks.com/Detail/Detail?PublicationID=P20200605507</v>
      </c>
      <c r="K954" s="13" t="str">
        <f>HYPERLINK("https://ntsu.idm.oclc.org/login?url=https://www.airitibooks.com/Detail/Detail?PublicationID=P20200605507", "https://ntsu.idm.oclc.org/login?url=https://www.airitibooks.com/Detail/Detail?PublicationID=P20200605507")</f>
        <v>https://ntsu.idm.oclc.org/login?url=https://www.airitibooks.com/Detail/Detail?PublicationID=P20200605507</v>
      </c>
    </row>
    <row r="955" spans="1:11" ht="51" x14ac:dyDescent="0.4">
      <c r="A955" s="10" t="s">
        <v>14346</v>
      </c>
      <c r="B955" s="10" t="s">
        <v>14347</v>
      </c>
      <c r="C955" s="10" t="s">
        <v>14330</v>
      </c>
      <c r="D955" s="10" t="s">
        <v>14348</v>
      </c>
      <c r="E955" s="10" t="s">
        <v>3219</v>
      </c>
      <c r="F955" s="10" t="s">
        <v>7849</v>
      </c>
      <c r="G955" s="10" t="s">
        <v>23</v>
      </c>
      <c r="H955" s="7" t="s">
        <v>1031</v>
      </c>
      <c r="I955" s="7" t="s">
        <v>25</v>
      </c>
      <c r="J955" s="13" t="str">
        <f>HYPERLINK("https://www.airitibooks.com/Detail/Detail?PublicationID=P20200612279", "https://www.airitibooks.com/Detail/Detail?PublicationID=P20200612279")</f>
        <v>https://www.airitibooks.com/Detail/Detail?PublicationID=P20200612279</v>
      </c>
      <c r="K955" s="13" t="str">
        <f>HYPERLINK("https://ntsu.idm.oclc.org/login?url=https://www.airitibooks.com/Detail/Detail?PublicationID=P20200612279", "https://ntsu.idm.oclc.org/login?url=https://www.airitibooks.com/Detail/Detail?PublicationID=P20200612279")</f>
        <v>https://ntsu.idm.oclc.org/login?url=https://www.airitibooks.com/Detail/Detail?PublicationID=P20200612279</v>
      </c>
    </row>
    <row r="956" spans="1:11" ht="51" x14ac:dyDescent="0.4">
      <c r="A956" s="10" t="s">
        <v>14349</v>
      </c>
      <c r="B956" s="10" t="s">
        <v>14350</v>
      </c>
      <c r="C956" s="10" t="s">
        <v>14330</v>
      </c>
      <c r="D956" s="10" t="s">
        <v>14351</v>
      </c>
      <c r="E956" s="10" t="s">
        <v>3219</v>
      </c>
      <c r="F956" s="10" t="s">
        <v>11422</v>
      </c>
      <c r="G956" s="10" t="s">
        <v>23</v>
      </c>
      <c r="H956" s="7" t="s">
        <v>1031</v>
      </c>
      <c r="I956" s="7" t="s">
        <v>25</v>
      </c>
      <c r="J956" s="13" t="str">
        <f>HYPERLINK("https://www.airitibooks.com/Detail/Detail?PublicationID=P20200612285", "https://www.airitibooks.com/Detail/Detail?PublicationID=P20200612285")</f>
        <v>https://www.airitibooks.com/Detail/Detail?PublicationID=P20200612285</v>
      </c>
      <c r="K956" s="13" t="str">
        <f>HYPERLINK("https://ntsu.idm.oclc.org/login?url=https://www.airitibooks.com/Detail/Detail?PublicationID=P20200612285", "https://ntsu.idm.oclc.org/login?url=https://www.airitibooks.com/Detail/Detail?PublicationID=P20200612285")</f>
        <v>https://ntsu.idm.oclc.org/login?url=https://www.airitibooks.com/Detail/Detail?PublicationID=P20200612285</v>
      </c>
    </row>
    <row r="957" spans="1:11" ht="51" x14ac:dyDescent="0.4">
      <c r="A957" s="10" t="s">
        <v>14355</v>
      </c>
      <c r="B957" s="10" t="s">
        <v>14356</v>
      </c>
      <c r="C957" s="10" t="s">
        <v>14330</v>
      </c>
      <c r="D957" s="10" t="s">
        <v>14357</v>
      </c>
      <c r="E957" s="10" t="s">
        <v>3219</v>
      </c>
      <c r="F957" s="10" t="s">
        <v>9519</v>
      </c>
      <c r="G957" s="10" t="s">
        <v>23</v>
      </c>
      <c r="H957" s="7" t="s">
        <v>1031</v>
      </c>
      <c r="I957" s="7" t="s">
        <v>25</v>
      </c>
      <c r="J957" s="13" t="str">
        <f>HYPERLINK("https://www.airitibooks.com/Detail/Detail?PublicationID=P20200612290", "https://www.airitibooks.com/Detail/Detail?PublicationID=P20200612290")</f>
        <v>https://www.airitibooks.com/Detail/Detail?PublicationID=P20200612290</v>
      </c>
      <c r="K957" s="13" t="str">
        <f>HYPERLINK("https://ntsu.idm.oclc.org/login?url=https://www.airitibooks.com/Detail/Detail?PublicationID=P20200612290", "https://ntsu.idm.oclc.org/login?url=https://www.airitibooks.com/Detail/Detail?PublicationID=P20200612290")</f>
        <v>https://ntsu.idm.oclc.org/login?url=https://www.airitibooks.com/Detail/Detail?PublicationID=P20200612290</v>
      </c>
    </row>
    <row r="958" spans="1:11" ht="51" x14ac:dyDescent="0.4">
      <c r="A958" s="10" t="s">
        <v>14358</v>
      </c>
      <c r="B958" s="10" t="s">
        <v>14359</v>
      </c>
      <c r="C958" s="10" t="s">
        <v>14330</v>
      </c>
      <c r="D958" s="10" t="s">
        <v>14360</v>
      </c>
      <c r="E958" s="10" t="s">
        <v>3219</v>
      </c>
      <c r="F958" s="10" t="s">
        <v>7849</v>
      </c>
      <c r="G958" s="10" t="s">
        <v>23</v>
      </c>
      <c r="H958" s="7" t="s">
        <v>1031</v>
      </c>
      <c r="I958" s="7" t="s">
        <v>25</v>
      </c>
      <c r="J958" s="13" t="str">
        <f>HYPERLINK("https://www.airitibooks.com/Detail/Detail?PublicationID=P20200612295", "https://www.airitibooks.com/Detail/Detail?PublicationID=P20200612295")</f>
        <v>https://www.airitibooks.com/Detail/Detail?PublicationID=P20200612295</v>
      </c>
      <c r="K958" s="13" t="str">
        <f>HYPERLINK("https://ntsu.idm.oclc.org/login?url=https://www.airitibooks.com/Detail/Detail?PublicationID=P20200612295", "https://ntsu.idm.oclc.org/login?url=https://www.airitibooks.com/Detail/Detail?PublicationID=P20200612295")</f>
        <v>https://ntsu.idm.oclc.org/login?url=https://www.airitibooks.com/Detail/Detail?PublicationID=P20200612295</v>
      </c>
    </row>
    <row r="959" spans="1:11" ht="51" x14ac:dyDescent="0.4">
      <c r="A959" s="10" t="s">
        <v>14367</v>
      </c>
      <c r="B959" s="10" t="s">
        <v>14368</v>
      </c>
      <c r="C959" s="10" t="s">
        <v>14330</v>
      </c>
      <c r="D959" s="10" t="s">
        <v>14351</v>
      </c>
      <c r="E959" s="10" t="s">
        <v>3219</v>
      </c>
      <c r="F959" s="10" t="s">
        <v>7849</v>
      </c>
      <c r="G959" s="10" t="s">
        <v>23</v>
      </c>
      <c r="H959" s="7" t="s">
        <v>1031</v>
      </c>
      <c r="I959" s="7" t="s">
        <v>25</v>
      </c>
      <c r="J959" s="13" t="str">
        <f>HYPERLINK("https://www.airitibooks.com/Detail/Detail?PublicationID=P20200612340", "https://www.airitibooks.com/Detail/Detail?PublicationID=P20200612340")</f>
        <v>https://www.airitibooks.com/Detail/Detail?PublicationID=P20200612340</v>
      </c>
      <c r="K959" s="13" t="str">
        <f>HYPERLINK("https://ntsu.idm.oclc.org/login?url=https://www.airitibooks.com/Detail/Detail?PublicationID=P20200612340", "https://ntsu.idm.oclc.org/login?url=https://www.airitibooks.com/Detail/Detail?PublicationID=P20200612340")</f>
        <v>https://ntsu.idm.oclc.org/login?url=https://www.airitibooks.com/Detail/Detail?PublicationID=P20200612340</v>
      </c>
    </row>
    <row r="960" spans="1:11" ht="51" x14ac:dyDescent="0.4">
      <c r="A960" s="10" t="s">
        <v>14372</v>
      </c>
      <c r="B960" s="10" t="s">
        <v>14373</v>
      </c>
      <c r="C960" s="10" t="s">
        <v>14330</v>
      </c>
      <c r="D960" s="10" t="s">
        <v>14374</v>
      </c>
      <c r="E960" s="10" t="s">
        <v>3219</v>
      </c>
      <c r="F960" s="10" t="s">
        <v>7849</v>
      </c>
      <c r="G960" s="10" t="s">
        <v>23</v>
      </c>
      <c r="H960" s="7" t="s">
        <v>1031</v>
      </c>
      <c r="I960" s="7" t="s">
        <v>25</v>
      </c>
      <c r="J960" s="13" t="str">
        <f>HYPERLINK("https://www.airitibooks.com/Detail/Detail?PublicationID=P20200612343", "https://www.airitibooks.com/Detail/Detail?PublicationID=P20200612343")</f>
        <v>https://www.airitibooks.com/Detail/Detail?PublicationID=P20200612343</v>
      </c>
      <c r="K960" s="13" t="str">
        <f>HYPERLINK("https://ntsu.idm.oclc.org/login?url=https://www.airitibooks.com/Detail/Detail?PublicationID=P20200612343", "https://ntsu.idm.oclc.org/login?url=https://www.airitibooks.com/Detail/Detail?PublicationID=P20200612343")</f>
        <v>https://ntsu.idm.oclc.org/login?url=https://www.airitibooks.com/Detail/Detail?PublicationID=P20200612343</v>
      </c>
    </row>
    <row r="961" spans="1:11" ht="51" x14ac:dyDescent="0.4">
      <c r="A961" s="10" t="s">
        <v>14549</v>
      </c>
      <c r="B961" s="10" t="s">
        <v>14550</v>
      </c>
      <c r="C961" s="10" t="s">
        <v>457</v>
      </c>
      <c r="D961" s="10" t="s">
        <v>14551</v>
      </c>
      <c r="E961" s="10" t="s">
        <v>3219</v>
      </c>
      <c r="F961" s="10" t="s">
        <v>1122</v>
      </c>
      <c r="G961" s="10" t="s">
        <v>23</v>
      </c>
      <c r="H961" s="7" t="s">
        <v>2593</v>
      </c>
      <c r="I961" s="7" t="s">
        <v>25</v>
      </c>
      <c r="J961" s="13" t="str">
        <f>HYPERLINK("https://www.airitibooks.com/Detail/Detail?PublicationID=P20200807005", "https://www.airitibooks.com/Detail/Detail?PublicationID=P20200807005")</f>
        <v>https://www.airitibooks.com/Detail/Detail?PublicationID=P20200807005</v>
      </c>
      <c r="K961" s="13" t="str">
        <f>HYPERLINK("https://ntsu.idm.oclc.org/login?url=https://www.airitibooks.com/Detail/Detail?PublicationID=P20200807005", "https://ntsu.idm.oclc.org/login?url=https://www.airitibooks.com/Detail/Detail?PublicationID=P20200807005")</f>
        <v>https://ntsu.idm.oclc.org/login?url=https://www.airitibooks.com/Detail/Detail?PublicationID=P20200807005</v>
      </c>
    </row>
    <row r="962" spans="1:11" ht="68" x14ac:dyDescent="0.4">
      <c r="A962" s="10" t="s">
        <v>14586</v>
      </c>
      <c r="B962" s="10" t="s">
        <v>14587</v>
      </c>
      <c r="C962" s="10" t="s">
        <v>1067</v>
      </c>
      <c r="D962" s="10" t="s">
        <v>14588</v>
      </c>
      <c r="E962" s="10" t="s">
        <v>3219</v>
      </c>
      <c r="F962" s="10" t="s">
        <v>565</v>
      </c>
      <c r="G962" s="10" t="s">
        <v>23</v>
      </c>
      <c r="H962" s="7" t="s">
        <v>24</v>
      </c>
      <c r="I962" s="7" t="s">
        <v>25</v>
      </c>
      <c r="J962" s="13" t="str">
        <f>HYPERLINK("https://www.airitibooks.com/Detail/Detail?PublicationID=P20200813180", "https://www.airitibooks.com/Detail/Detail?PublicationID=P20200813180")</f>
        <v>https://www.airitibooks.com/Detail/Detail?PublicationID=P20200813180</v>
      </c>
      <c r="K962" s="13" t="str">
        <f>HYPERLINK("https://ntsu.idm.oclc.org/login?url=https://www.airitibooks.com/Detail/Detail?PublicationID=P20200813180", "https://ntsu.idm.oclc.org/login?url=https://www.airitibooks.com/Detail/Detail?PublicationID=P20200813180")</f>
        <v>https://ntsu.idm.oclc.org/login?url=https://www.airitibooks.com/Detail/Detail?PublicationID=P20200813180</v>
      </c>
    </row>
    <row r="963" spans="1:11" ht="51" x14ac:dyDescent="0.4">
      <c r="A963" s="10" t="s">
        <v>14706</v>
      </c>
      <c r="B963" s="10" t="s">
        <v>14707</v>
      </c>
      <c r="C963" s="10" t="s">
        <v>9828</v>
      </c>
      <c r="D963" s="10" t="s">
        <v>14708</v>
      </c>
      <c r="E963" s="10" t="s">
        <v>3219</v>
      </c>
      <c r="F963" s="10" t="s">
        <v>7849</v>
      </c>
      <c r="G963" s="10" t="s">
        <v>23</v>
      </c>
      <c r="H963" s="7" t="s">
        <v>1031</v>
      </c>
      <c r="I963" s="7" t="s">
        <v>25</v>
      </c>
      <c r="J963" s="13" t="str">
        <f>HYPERLINK("https://www.airitibooks.com/Detail/Detail?PublicationID=P20200914210", "https://www.airitibooks.com/Detail/Detail?PublicationID=P20200914210")</f>
        <v>https://www.airitibooks.com/Detail/Detail?PublicationID=P20200914210</v>
      </c>
      <c r="K963" s="13" t="str">
        <f>HYPERLINK("https://ntsu.idm.oclc.org/login?url=https://www.airitibooks.com/Detail/Detail?PublicationID=P20200914210", "https://ntsu.idm.oclc.org/login?url=https://www.airitibooks.com/Detail/Detail?PublicationID=P20200914210")</f>
        <v>https://ntsu.idm.oclc.org/login?url=https://www.airitibooks.com/Detail/Detail?PublicationID=P20200914210</v>
      </c>
    </row>
    <row r="964" spans="1:11" ht="51" x14ac:dyDescent="0.4">
      <c r="A964" s="10" t="s">
        <v>14775</v>
      </c>
      <c r="B964" s="10" t="s">
        <v>14776</v>
      </c>
      <c r="C964" s="10" t="s">
        <v>14773</v>
      </c>
      <c r="D964" s="10" t="s">
        <v>14777</v>
      </c>
      <c r="E964" s="10" t="s">
        <v>3219</v>
      </c>
      <c r="F964" s="10" t="s">
        <v>11422</v>
      </c>
      <c r="G964" s="10" t="s">
        <v>23</v>
      </c>
      <c r="H964" s="7" t="s">
        <v>1031</v>
      </c>
      <c r="I964" s="7" t="s">
        <v>25</v>
      </c>
      <c r="J964" s="13" t="str">
        <f>HYPERLINK("https://www.airitibooks.com/Detail/Detail?PublicationID=P20201012187", "https://www.airitibooks.com/Detail/Detail?PublicationID=P20201012187")</f>
        <v>https://www.airitibooks.com/Detail/Detail?PublicationID=P20201012187</v>
      </c>
      <c r="K964" s="13" t="str">
        <f>HYPERLINK("https://ntsu.idm.oclc.org/login?url=https://www.airitibooks.com/Detail/Detail?PublicationID=P20201012187", "https://ntsu.idm.oclc.org/login?url=https://www.airitibooks.com/Detail/Detail?PublicationID=P20201012187")</f>
        <v>https://ntsu.idm.oclc.org/login?url=https://www.airitibooks.com/Detail/Detail?PublicationID=P20201012187</v>
      </c>
    </row>
    <row r="965" spans="1:11" ht="51" x14ac:dyDescent="0.4">
      <c r="A965" s="10" t="s">
        <v>14788</v>
      </c>
      <c r="B965" s="10" t="s">
        <v>14789</v>
      </c>
      <c r="C965" s="10" t="s">
        <v>2912</v>
      </c>
      <c r="D965" s="10" t="s">
        <v>14790</v>
      </c>
      <c r="E965" s="10" t="s">
        <v>3219</v>
      </c>
      <c r="F965" s="10" t="s">
        <v>14791</v>
      </c>
      <c r="G965" s="10" t="s">
        <v>23</v>
      </c>
      <c r="H965" s="7" t="s">
        <v>24</v>
      </c>
      <c r="I965" s="7" t="s">
        <v>25</v>
      </c>
      <c r="J965" s="13" t="str">
        <f>HYPERLINK("https://www.airitibooks.com/Detail/Detail?PublicationID=P20201015092", "https://www.airitibooks.com/Detail/Detail?PublicationID=P20201015092")</f>
        <v>https://www.airitibooks.com/Detail/Detail?PublicationID=P20201015092</v>
      </c>
      <c r="K965" s="13" t="str">
        <f>HYPERLINK("https://ntsu.idm.oclc.org/login?url=https://www.airitibooks.com/Detail/Detail?PublicationID=P20201015092", "https://ntsu.idm.oclc.org/login?url=https://www.airitibooks.com/Detail/Detail?PublicationID=P20201015092")</f>
        <v>https://ntsu.idm.oclc.org/login?url=https://www.airitibooks.com/Detail/Detail?PublicationID=P20201015092</v>
      </c>
    </row>
    <row r="966" spans="1:11" ht="51" x14ac:dyDescent="0.4">
      <c r="A966" s="10" t="s">
        <v>14810</v>
      </c>
      <c r="B966" s="10" t="s">
        <v>14811</v>
      </c>
      <c r="C966" s="10" t="s">
        <v>9828</v>
      </c>
      <c r="D966" s="10" t="s">
        <v>10327</v>
      </c>
      <c r="E966" s="10" t="s">
        <v>3219</v>
      </c>
      <c r="F966" s="10" t="s">
        <v>2484</v>
      </c>
      <c r="G966" s="10" t="s">
        <v>23</v>
      </c>
      <c r="H966" s="7" t="s">
        <v>1031</v>
      </c>
      <c r="I966" s="7" t="s">
        <v>25</v>
      </c>
      <c r="J966" s="13" t="str">
        <f>HYPERLINK("https://www.airitibooks.com/Detail/Detail?PublicationID=P20201030146", "https://www.airitibooks.com/Detail/Detail?PublicationID=P20201030146")</f>
        <v>https://www.airitibooks.com/Detail/Detail?PublicationID=P20201030146</v>
      </c>
      <c r="K966" s="13" t="str">
        <f>HYPERLINK("https://ntsu.idm.oclc.org/login?url=https://www.airitibooks.com/Detail/Detail?PublicationID=P20201030146", "https://ntsu.idm.oclc.org/login?url=https://www.airitibooks.com/Detail/Detail?PublicationID=P20201030146")</f>
        <v>https://ntsu.idm.oclc.org/login?url=https://www.airitibooks.com/Detail/Detail?PublicationID=P20201030146</v>
      </c>
    </row>
    <row r="967" spans="1:11" ht="51" x14ac:dyDescent="0.4">
      <c r="A967" s="10" t="s">
        <v>14812</v>
      </c>
      <c r="B967" s="10" t="s">
        <v>14813</v>
      </c>
      <c r="C967" s="10" t="s">
        <v>14773</v>
      </c>
      <c r="D967" s="10" t="s">
        <v>14814</v>
      </c>
      <c r="E967" s="10" t="s">
        <v>3219</v>
      </c>
      <c r="F967" s="10" t="s">
        <v>2484</v>
      </c>
      <c r="G967" s="10" t="s">
        <v>23</v>
      </c>
      <c r="H967" s="7" t="s">
        <v>1031</v>
      </c>
      <c r="I967" s="7" t="s">
        <v>25</v>
      </c>
      <c r="J967" s="13" t="str">
        <f>HYPERLINK("https://www.airitibooks.com/Detail/Detail?PublicationID=P20201030151", "https://www.airitibooks.com/Detail/Detail?PublicationID=P20201030151")</f>
        <v>https://www.airitibooks.com/Detail/Detail?PublicationID=P20201030151</v>
      </c>
      <c r="K967" s="13" t="str">
        <f>HYPERLINK("https://ntsu.idm.oclc.org/login?url=https://www.airitibooks.com/Detail/Detail?PublicationID=P20201030151", "https://ntsu.idm.oclc.org/login?url=https://www.airitibooks.com/Detail/Detail?PublicationID=P20201030151")</f>
        <v>https://ntsu.idm.oclc.org/login?url=https://www.airitibooks.com/Detail/Detail?PublicationID=P20201030151</v>
      </c>
    </row>
    <row r="968" spans="1:11" ht="51" x14ac:dyDescent="0.4">
      <c r="A968" s="10" t="s">
        <v>14815</v>
      </c>
      <c r="B968" s="10" t="s">
        <v>14816</v>
      </c>
      <c r="C968" s="10" t="s">
        <v>14773</v>
      </c>
      <c r="D968" s="10" t="s">
        <v>14817</v>
      </c>
      <c r="E968" s="10" t="s">
        <v>3219</v>
      </c>
      <c r="F968" s="10" t="s">
        <v>7849</v>
      </c>
      <c r="G968" s="10" t="s">
        <v>23</v>
      </c>
      <c r="H968" s="7" t="s">
        <v>1031</v>
      </c>
      <c r="I968" s="7" t="s">
        <v>25</v>
      </c>
      <c r="J968" s="13" t="str">
        <f>HYPERLINK("https://www.airitibooks.com/Detail/Detail?PublicationID=P20201030156", "https://www.airitibooks.com/Detail/Detail?PublicationID=P20201030156")</f>
        <v>https://www.airitibooks.com/Detail/Detail?PublicationID=P20201030156</v>
      </c>
      <c r="K968" s="13" t="str">
        <f>HYPERLINK("https://ntsu.idm.oclc.org/login?url=https://www.airitibooks.com/Detail/Detail?PublicationID=P20201030156", "https://ntsu.idm.oclc.org/login?url=https://www.airitibooks.com/Detail/Detail?PublicationID=P20201030156")</f>
        <v>https://ntsu.idm.oclc.org/login?url=https://www.airitibooks.com/Detail/Detail?PublicationID=P20201030156</v>
      </c>
    </row>
    <row r="969" spans="1:11" ht="51" x14ac:dyDescent="0.4">
      <c r="A969" s="10" t="s">
        <v>14818</v>
      </c>
      <c r="B969" s="10" t="s">
        <v>14819</v>
      </c>
      <c r="C969" s="10" t="s">
        <v>14773</v>
      </c>
      <c r="D969" s="10" t="s">
        <v>14820</v>
      </c>
      <c r="E969" s="10" t="s">
        <v>3219</v>
      </c>
      <c r="F969" s="10" t="s">
        <v>7849</v>
      </c>
      <c r="G969" s="10" t="s">
        <v>23</v>
      </c>
      <c r="H969" s="7" t="s">
        <v>1031</v>
      </c>
      <c r="I969" s="7" t="s">
        <v>25</v>
      </c>
      <c r="J969" s="13" t="str">
        <f>HYPERLINK("https://www.airitibooks.com/Detail/Detail?PublicationID=P20201030160", "https://www.airitibooks.com/Detail/Detail?PublicationID=P20201030160")</f>
        <v>https://www.airitibooks.com/Detail/Detail?PublicationID=P20201030160</v>
      </c>
      <c r="K969" s="13" t="str">
        <f>HYPERLINK("https://ntsu.idm.oclc.org/login?url=https://www.airitibooks.com/Detail/Detail?PublicationID=P20201030160", "https://ntsu.idm.oclc.org/login?url=https://www.airitibooks.com/Detail/Detail?PublicationID=P20201030160")</f>
        <v>https://ntsu.idm.oclc.org/login?url=https://www.airitibooks.com/Detail/Detail?PublicationID=P20201030160</v>
      </c>
    </row>
    <row r="970" spans="1:11" ht="51" x14ac:dyDescent="0.4">
      <c r="A970" s="10" t="s">
        <v>14941</v>
      </c>
      <c r="B970" s="10" t="s">
        <v>14942</v>
      </c>
      <c r="C970" s="10" t="s">
        <v>12989</v>
      </c>
      <c r="D970" s="10" t="s">
        <v>14943</v>
      </c>
      <c r="E970" s="10" t="s">
        <v>3219</v>
      </c>
      <c r="F970" s="10" t="s">
        <v>2737</v>
      </c>
      <c r="G970" s="10" t="s">
        <v>23</v>
      </c>
      <c r="H970" s="7" t="s">
        <v>1031</v>
      </c>
      <c r="I970" s="7" t="s">
        <v>25</v>
      </c>
      <c r="J970" s="13" t="str">
        <f>HYPERLINK("https://www.airitibooks.com/Detail/Detail?PublicationID=P20201120140", "https://www.airitibooks.com/Detail/Detail?PublicationID=P20201120140")</f>
        <v>https://www.airitibooks.com/Detail/Detail?PublicationID=P20201120140</v>
      </c>
      <c r="K970" s="13" t="str">
        <f>HYPERLINK("https://ntsu.idm.oclc.org/login?url=https://www.airitibooks.com/Detail/Detail?PublicationID=P20201120140", "https://ntsu.idm.oclc.org/login?url=https://www.airitibooks.com/Detail/Detail?PublicationID=P20201120140")</f>
        <v>https://ntsu.idm.oclc.org/login?url=https://www.airitibooks.com/Detail/Detail?PublicationID=P20201120140</v>
      </c>
    </row>
    <row r="971" spans="1:11" ht="51" x14ac:dyDescent="0.4">
      <c r="A971" s="10" t="s">
        <v>15001</v>
      </c>
      <c r="B971" s="10" t="s">
        <v>15002</v>
      </c>
      <c r="C971" s="10" t="s">
        <v>15003</v>
      </c>
      <c r="D971" s="10" t="s">
        <v>15004</v>
      </c>
      <c r="E971" s="10" t="s">
        <v>3219</v>
      </c>
      <c r="F971" s="10" t="s">
        <v>696</v>
      </c>
      <c r="G971" s="10" t="s">
        <v>23</v>
      </c>
      <c r="H971" s="7" t="s">
        <v>2593</v>
      </c>
      <c r="I971" s="7" t="s">
        <v>25</v>
      </c>
      <c r="J971" s="13" t="str">
        <f>HYPERLINK("https://www.airitibooks.com/Detail/Detail?PublicationID=P20201127452", "https://www.airitibooks.com/Detail/Detail?PublicationID=P20201127452")</f>
        <v>https://www.airitibooks.com/Detail/Detail?PublicationID=P20201127452</v>
      </c>
      <c r="K971" s="13" t="str">
        <f>HYPERLINK("https://ntsu.idm.oclc.org/login?url=https://www.airitibooks.com/Detail/Detail?PublicationID=P20201127452", "https://ntsu.idm.oclc.org/login?url=https://www.airitibooks.com/Detail/Detail?PublicationID=P20201127452")</f>
        <v>https://ntsu.idm.oclc.org/login?url=https://www.airitibooks.com/Detail/Detail?PublicationID=P20201127452</v>
      </c>
    </row>
    <row r="972" spans="1:11" ht="51" x14ac:dyDescent="0.4">
      <c r="A972" s="10" t="s">
        <v>15005</v>
      </c>
      <c r="B972" s="10" t="s">
        <v>15006</v>
      </c>
      <c r="C972" s="10" t="s">
        <v>15003</v>
      </c>
      <c r="D972" s="10" t="s">
        <v>15004</v>
      </c>
      <c r="E972" s="10" t="s">
        <v>3219</v>
      </c>
      <c r="F972" s="10" t="s">
        <v>696</v>
      </c>
      <c r="G972" s="10" t="s">
        <v>23</v>
      </c>
      <c r="H972" s="7" t="s">
        <v>2593</v>
      </c>
      <c r="I972" s="7" t="s">
        <v>25</v>
      </c>
      <c r="J972" s="13" t="str">
        <f>HYPERLINK("https://www.airitibooks.com/Detail/Detail?PublicationID=P20201127453", "https://www.airitibooks.com/Detail/Detail?PublicationID=P20201127453")</f>
        <v>https://www.airitibooks.com/Detail/Detail?PublicationID=P20201127453</v>
      </c>
      <c r="K972" s="13" t="str">
        <f>HYPERLINK("https://ntsu.idm.oclc.org/login?url=https://www.airitibooks.com/Detail/Detail?PublicationID=P20201127453", "https://ntsu.idm.oclc.org/login?url=https://www.airitibooks.com/Detail/Detail?PublicationID=P20201127453")</f>
        <v>https://ntsu.idm.oclc.org/login?url=https://www.airitibooks.com/Detail/Detail?PublicationID=P20201127453</v>
      </c>
    </row>
    <row r="973" spans="1:11" ht="51" x14ac:dyDescent="0.4">
      <c r="A973" s="10" t="s">
        <v>15081</v>
      </c>
      <c r="B973" s="10" t="s">
        <v>15082</v>
      </c>
      <c r="C973" s="10" t="s">
        <v>544</v>
      </c>
      <c r="D973" s="10" t="s">
        <v>15083</v>
      </c>
      <c r="E973" s="10" t="s">
        <v>3219</v>
      </c>
      <c r="F973" s="10" t="s">
        <v>15084</v>
      </c>
      <c r="G973" s="10" t="s">
        <v>23</v>
      </c>
      <c r="H973" s="7" t="s">
        <v>24</v>
      </c>
      <c r="I973" s="7" t="s">
        <v>25</v>
      </c>
      <c r="J973" s="13" t="str">
        <f>HYPERLINK("https://www.airitibooks.com/Detail/Detail?PublicationID=P20201211026", "https://www.airitibooks.com/Detail/Detail?PublicationID=P20201211026")</f>
        <v>https://www.airitibooks.com/Detail/Detail?PublicationID=P20201211026</v>
      </c>
      <c r="K973" s="13" t="str">
        <f>HYPERLINK("https://ntsu.idm.oclc.org/login?url=https://www.airitibooks.com/Detail/Detail?PublicationID=P20201211026", "https://ntsu.idm.oclc.org/login?url=https://www.airitibooks.com/Detail/Detail?PublicationID=P20201211026")</f>
        <v>https://ntsu.idm.oclc.org/login?url=https://www.airitibooks.com/Detail/Detail?PublicationID=P20201211026</v>
      </c>
    </row>
    <row r="974" spans="1:11" ht="51" x14ac:dyDescent="0.4">
      <c r="A974" s="10" t="s">
        <v>15085</v>
      </c>
      <c r="B974" s="10" t="s">
        <v>15086</v>
      </c>
      <c r="C974" s="10" t="s">
        <v>544</v>
      </c>
      <c r="D974" s="10" t="s">
        <v>15087</v>
      </c>
      <c r="E974" s="10" t="s">
        <v>3219</v>
      </c>
      <c r="F974" s="10" t="s">
        <v>15088</v>
      </c>
      <c r="G974" s="10" t="s">
        <v>23</v>
      </c>
      <c r="H974" s="7" t="s">
        <v>24</v>
      </c>
      <c r="I974" s="7" t="s">
        <v>25</v>
      </c>
      <c r="J974" s="13" t="str">
        <f>HYPERLINK("https://www.airitibooks.com/Detail/Detail?PublicationID=P20201211027", "https://www.airitibooks.com/Detail/Detail?PublicationID=P20201211027")</f>
        <v>https://www.airitibooks.com/Detail/Detail?PublicationID=P20201211027</v>
      </c>
      <c r="K974" s="13" t="str">
        <f>HYPERLINK("https://ntsu.idm.oclc.org/login?url=https://www.airitibooks.com/Detail/Detail?PublicationID=P20201211027", "https://ntsu.idm.oclc.org/login?url=https://www.airitibooks.com/Detail/Detail?PublicationID=P20201211027")</f>
        <v>https://ntsu.idm.oclc.org/login?url=https://www.airitibooks.com/Detail/Detail?PublicationID=P20201211027</v>
      </c>
    </row>
    <row r="975" spans="1:11" ht="51" x14ac:dyDescent="0.4">
      <c r="A975" s="10" t="s">
        <v>15349</v>
      </c>
      <c r="B975" s="10" t="s">
        <v>15350</v>
      </c>
      <c r="C975" s="10" t="s">
        <v>15351</v>
      </c>
      <c r="D975" s="10" t="s">
        <v>15352</v>
      </c>
      <c r="E975" s="10" t="s">
        <v>3219</v>
      </c>
      <c r="F975" s="10" t="s">
        <v>4484</v>
      </c>
      <c r="G975" s="10" t="s">
        <v>23</v>
      </c>
      <c r="H975" s="7" t="s">
        <v>24</v>
      </c>
      <c r="I975" s="7" t="s">
        <v>25</v>
      </c>
      <c r="J975" s="13" t="str">
        <f>HYPERLINK("https://www.airitibooks.com/Detail/Detail?PublicationID=P20210414013", "https://www.airitibooks.com/Detail/Detail?PublicationID=P20210414013")</f>
        <v>https://www.airitibooks.com/Detail/Detail?PublicationID=P20210414013</v>
      </c>
      <c r="K975" s="13" t="str">
        <f>HYPERLINK("https://ntsu.idm.oclc.org/login?url=https://www.airitibooks.com/Detail/Detail?PublicationID=P20210414013", "https://ntsu.idm.oclc.org/login?url=https://www.airitibooks.com/Detail/Detail?PublicationID=P20210414013")</f>
        <v>https://ntsu.idm.oclc.org/login?url=https://www.airitibooks.com/Detail/Detail?PublicationID=P20210414013</v>
      </c>
    </row>
    <row r="976" spans="1:11" ht="51" x14ac:dyDescent="0.4">
      <c r="A976" s="10" t="s">
        <v>15501</v>
      </c>
      <c r="B976" s="10" t="s">
        <v>15502</v>
      </c>
      <c r="C976" s="10" t="s">
        <v>707</v>
      </c>
      <c r="D976" s="10" t="s">
        <v>15503</v>
      </c>
      <c r="E976" s="10" t="s">
        <v>3219</v>
      </c>
      <c r="F976" s="10" t="s">
        <v>3510</v>
      </c>
      <c r="G976" s="10" t="s">
        <v>23</v>
      </c>
      <c r="H976" s="7" t="s">
        <v>2593</v>
      </c>
      <c r="I976" s="7" t="s">
        <v>25</v>
      </c>
      <c r="J976" s="13" t="str">
        <f>HYPERLINK("https://www.airitibooks.com/Detail/Detail?PublicationID=P20210521002", "https://www.airitibooks.com/Detail/Detail?PublicationID=P20210521002")</f>
        <v>https://www.airitibooks.com/Detail/Detail?PublicationID=P20210521002</v>
      </c>
      <c r="K976" s="13" t="str">
        <f>HYPERLINK("https://ntsu.idm.oclc.org/login?url=https://www.airitibooks.com/Detail/Detail?PublicationID=P20210521002", "https://ntsu.idm.oclc.org/login?url=https://www.airitibooks.com/Detail/Detail?PublicationID=P20210521002")</f>
        <v>https://ntsu.idm.oclc.org/login?url=https://www.airitibooks.com/Detail/Detail?PublicationID=P20210521002</v>
      </c>
    </row>
    <row r="977" spans="1:11" ht="51" x14ac:dyDescent="0.4">
      <c r="A977" s="10" t="s">
        <v>15648</v>
      </c>
      <c r="B977" s="10" t="s">
        <v>15649</v>
      </c>
      <c r="C977" s="10" t="s">
        <v>15603</v>
      </c>
      <c r="D977" s="10" t="s">
        <v>15650</v>
      </c>
      <c r="E977" s="10" t="s">
        <v>3219</v>
      </c>
      <c r="F977" s="10" t="s">
        <v>1646</v>
      </c>
      <c r="G977" s="10" t="s">
        <v>23</v>
      </c>
      <c r="H977" s="7" t="s">
        <v>1031</v>
      </c>
      <c r="I977" s="7" t="s">
        <v>25</v>
      </c>
      <c r="J977" s="13" t="str">
        <f>HYPERLINK("https://www.airitibooks.com/Detail/Detail?PublicationID=P20211220091", "https://www.airitibooks.com/Detail/Detail?PublicationID=P20211220091")</f>
        <v>https://www.airitibooks.com/Detail/Detail?PublicationID=P20211220091</v>
      </c>
      <c r="K977" s="13" t="str">
        <f>HYPERLINK("https://ntsu.idm.oclc.org/login?url=https://www.airitibooks.com/Detail/Detail?PublicationID=P20211220091", "https://ntsu.idm.oclc.org/login?url=https://www.airitibooks.com/Detail/Detail?PublicationID=P20211220091")</f>
        <v>https://ntsu.idm.oclc.org/login?url=https://www.airitibooks.com/Detail/Detail?PublicationID=P20211220091</v>
      </c>
    </row>
    <row r="978" spans="1:11" ht="85" x14ac:dyDescent="0.4">
      <c r="A978" s="10" t="s">
        <v>9529</v>
      </c>
      <c r="B978" s="10" t="s">
        <v>9530</v>
      </c>
      <c r="C978" s="10" t="s">
        <v>9514</v>
      </c>
      <c r="D978" s="10" t="s">
        <v>9531</v>
      </c>
      <c r="E978" s="10" t="s">
        <v>3219</v>
      </c>
      <c r="F978" s="10" t="s">
        <v>9532</v>
      </c>
      <c r="G978" s="10" t="s">
        <v>32</v>
      </c>
      <c r="H978" s="7" t="s">
        <v>24</v>
      </c>
      <c r="I978" s="7" t="s">
        <v>25</v>
      </c>
      <c r="J978" s="13" t="str">
        <f>HYPERLINK("https://www.airitibooks.com/Detail/Detail?PublicationID=P20180628013", "https://www.airitibooks.com/Detail/Detail?PublicationID=P20180628013")</f>
        <v>https://www.airitibooks.com/Detail/Detail?PublicationID=P20180628013</v>
      </c>
      <c r="K978" s="13" t="str">
        <f>HYPERLINK("https://ntsu.idm.oclc.org/login?url=https://www.airitibooks.com/Detail/Detail?PublicationID=P20180628013", "https://ntsu.idm.oclc.org/login?url=https://www.airitibooks.com/Detail/Detail?PublicationID=P20180628013")</f>
        <v>https://ntsu.idm.oclc.org/login?url=https://www.airitibooks.com/Detail/Detail?PublicationID=P20180628013</v>
      </c>
    </row>
    <row r="979" spans="1:11" ht="85" x14ac:dyDescent="0.4">
      <c r="A979" s="10" t="s">
        <v>9541</v>
      </c>
      <c r="B979" s="10" t="s">
        <v>9542</v>
      </c>
      <c r="C979" s="10" t="s">
        <v>9514</v>
      </c>
      <c r="D979" s="10" t="s">
        <v>9543</v>
      </c>
      <c r="E979" s="10" t="s">
        <v>3219</v>
      </c>
      <c r="F979" s="10" t="s">
        <v>9544</v>
      </c>
      <c r="G979" s="10" t="s">
        <v>32</v>
      </c>
      <c r="H979" s="7" t="s">
        <v>24</v>
      </c>
      <c r="I979" s="7" t="s">
        <v>25</v>
      </c>
      <c r="J979" s="13" t="str">
        <f>HYPERLINK("https://www.airitibooks.com/Detail/Detail?PublicationID=P20180628019", "https://www.airitibooks.com/Detail/Detail?PublicationID=P20180628019")</f>
        <v>https://www.airitibooks.com/Detail/Detail?PublicationID=P20180628019</v>
      </c>
      <c r="K979" s="13" t="str">
        <f>HYPERLINK("https://ntsu.idm.oclc.org/login?url=https://www.airitibooks.com/Detail/Detail?PublicationID=P20180628019", "https://ntsu.idm.oclc.org/login?url=https://www.airitibooks.com/Detail/Detail?PublicationID=P20180628019")</f>
        <v>https://ntsu.idm.oclc.org/login?url=https://www.airitibooks.com/Detail/Detail?PublicationID=P20180628019</v>
      </c>
    </row>
    <row r="980" spans="1:11" ht="204" x14ac:dyDescent="0.4">
      <c r="A980" s="10" t="s">
        <v>10596</v>
      </c>
      <c r="B980" s="10" t="s">
        <v>10597</v>
      </c>
      <c r="C980" s="10" t="s">
        <v>791</v>
      </c>
      <c r="D980" s="10" t="s">
        <v>10598</v>
      </c>
      <c r="E980" s="10" t="s">
        <v>3219</v>
      </c>
      <c r="F980" s="10" t="s">
        <v>3364</v>
      </c>
      <c r="G980" s="10" t="s">
        <v>32</v>
      </c>
      <c r="H980" s="7" t="s">
        <v>24</v>
      </c>
      <c r="I980" s="7" t="s">
        <v>25</v>
      </c>
      <c r="J980" s="13" t="str">
        <f>HYPERLINK("https://www.airitibooks.com/Detail/Detail?PublicationID=P20190131020", "https://www.airitibooks.com/Detail/Detail?PublicationID=P20190131020")</f>
        <v>https://www.airitibooks.com/Detail/Detail?PublicationID=P20190131020</v>
      </c>
      <c r="K980" s="13" t="str">
        <f>HYPERLINK("https://ntsu.idm.oclc.org/login?url=https://www.airitibooks.com/Detail/Detail?PublicationID=P20190131020", "https://ntsu.idm.oclc.org/login?url=https://www.airitibooks.com/Detail/Detail?PublicationID=P20190131020")</f>
        <v>https://ntsu.idm.oclc.org/login?url=https://www.airitibooks.com/Detail/Detail?PublicationID=P20190131020</v>
      </c>
    </row>
    <row r="981" spans="1:11" ht="85" x14ac:dyDescent="0.4">
      <c r="A981" s="10" t="s">
        <v>10654</v>
      </c>
      <c r="B981" s="10" t="s">
        <v>10655</v>
      </c>
      <c r="C981" s="10" t="s">
        <v>462</v>
      </c>
      <c r="D981" s="10" t="s">
        <v>10656</v>
      </c>
      <c r="E981" s="10" t="s">
        <v>3219</v>
      </c>
      <c r="F981" s="10" t="s">
        <v>8260</v>
      </c>
      <c r="G981" s="10" t="s">
        <v>32</v>
      </c>
      <c r="H981" s="7" t="s">
        <v>24</v>
      </c>
      <c r="I981" s="7" t="s">
        <v>25</v>
      </c>
      <c r="J981" s="13" t="str">
        <f>HYPERLINK("https://www.airitibooks.com/Detail/Detail?PublicationID=P20190214040", "https://www.airitibooks.com/Detail/Detail?PublicationID=P20190214040")</f>
        <v>https://www.airitibooks.com/Detail/Detail?PublicationID=P20190214040</v>
      </c>
      <c r="K981" s="13" t="str">
        <f>HYPERLINK("https://ntsu.idm.oclc.org/login?url=https://www.airitibooks.com/Detail/Detail?PublicationID=P20190214040", "https://ntsu.idm.oclc.org/login?url=https://www.airitibooks.com/Detail/Detail?PublicationID=P20190214040")</f>
        <v>https://ntsu.idm.oclc.org/login?url=https://www.airitibooks.com/Detail/Detail?PublicationID=P20190214040</v>
      </c>
    </row>
    <row r="982" spans="1:11" ht="51" x14ac:dyDescent="0.4">
      <c r="A982" s="10" t="s">
        <v>10688</v>
      </c>
      <c r="B982" s="10" t="s">
        <v>10689</v>
      </c>
      <c r="C982" s="10" t="s">
        <v>1034</v>
      </c>
      <c r="D982" s="10" t="s">
        <v>10690</v>
      </c>
      <c r="E982" s="10" t="s">
        <v>3219</v>
      </c>
      <c r="F982" s="10" t="s">
        <v>181</v>
      </c>
      <c r="G982" s="10" t="s">
        <v>32</v>
      </c>
      <c r="H982" s="7" t="s">
        <v>24</v>
      </c>
      <c r="I982" s="7" t="s">
        <v>25</v>
      </c>
      <c r="J982" s="13" t="str">
        <f>HYPERLINK("https://www.airitibooks.com/Detail/Detail?PublicationID=P20190214076", "https://www.airitibooks.com/Detail/Detail?PublicationID=P20190214076")</f>
        <v>https://www.airitibooks.com/Detail/Detail?PublicationID=P20190214076</v>
      </c>
      <c r="K982" s="13" t="str">
        <f>HYPERLINK("https://ntsu.idm.oclc.org/login?url=https://www.airitibooks.com/Detail/Detail?PublicationID=P20190214076", "https://ntsu.idm.oclc.org/login?url=https://www.airitibooks.com/Detail/Detail?PublicationID=P20190214076")</f>
        <v>https://ntsu.idm.oclc.org/login?url=https://www.airitibooks.com/Detail/Detail?PublicationID=P20190214076</v>
      </c>
    </row>
    <row r="983" spans="1:11" ht="51" x14ac:dyDescent="0.4">
      <c r="A983" s="10" t="s">
        <v>10728</v>
      </c>
      <c r="B983" s="10" t="s">
        <v>10729</v>
      </c>
      <c r="C983" s="10" t="s">
        <v>9915</v>
      </c>
      <c r="D983" s="10" t="s">
        <v>10730</v>
      </c>
      <c r="E983" s="10" t="s">
        <v>3219</v>
      </c>
      <c r="F983" s="10" t="s">
        <v>181</v>
      </c>
      <c r="G983" s="10" t="s">
        <v>32</v>
      </c>
      <c r="H983" s="7" t="s">
        <v>24</v>
      </c>
      <c r="I983" s="7" t="s">
        <v>25</v>
      </c>
      <c r="J983" s="13" t="str">
        <f>HYPERLINK("https://www.airitibooks.com/Detail/Detail?PublicationID=P20190214147", "https://www.airitibooks.com/Detail/Detail?PublicationID=P20190214147")</f>
        <v>https://www.airitibooks.com/Detail/Detail?PublicationID=P20190214147</v>
      </c>
      <c r="K983" s="13" t="str">
        <f>HYPERLINK("https://ntsu.idm.oclc.org/login?url=https://www.airitibooks.com/Detail/Detail?PublicationID=P20190214147", "https://ntsu.idm.oclc.org/login?url=https://www.airitibooks.com/Detail/Detail?PublicationID=P20190214147")</f>
        <v>https://ntsu.idm.oclc.org/login?url=https://www.airitibooks.com/Detail/Detail?PublicationID=P20190214147</v>
      </c>
    </row>
    <row r="984" spans="1:11" ht="68" x14ac:dyDescent="0.4">
      <c r="A984" s="10" t="s">
        <v>10817</v>
      </c>
      <c r="B984" s="10" t="s">
        <v>10818</v>
      </c>
      <c r="C984" s="10" t="s">
        <v>791</v>
      </c>
      <c r="D984" s="10" t="s">
        <v>10819</v>
      </c>
      <c r="E984" s="10" t="s">
        <v>3219</v>
      </c>
      <c r="F984" s="10" t="s">
        <v>149</v>
      </c>
      <c r="G984" s="10" t="s">
        <v>32</v>
      </c>
      <c r="H984" s="7" t="s">
        <v>24</v>
      </c>
      <c r="I984" s="7" t="s">
        <v>25</v>
      </c>
      <c r="J984" s="13" t="str">
        <f>HYPERLINK("https://www.airitibooks.com/Detail/Detail?PublicationID=P20190220044", "https://www.airitibooks.com/Detail/Detail?PublicationID=P20190220044")</f>
        <v>https://www.airitibooks.com/Detail/Detail?PublicationID=P20190220044</v>
      </c>
      <c r="K984" s="13" t="str">
        <f>HYPERLINK("https://ntsu.idm.oclc.org/login?url=https://www.airitibooks.com/Detail/Detail?PublicationID=P20190220044", "https://ntsu.idm.oclc.org/login?url=https://www.airitibooks.com/Detail/Detail?PublicationID=P20190220044")</f>
        <v>https://ntsu.idm.oclc.org/login?url=https://www.airitibooks.com/Detail/Detail?PublicationID=P20190220044</v>
      </c>
    </row>
    <row r="985" spans="1:11" ht="68" x14ac:dyDescent="0.4">
      <c r="A985" s="10" t="s">
        <v>10820</v>
      </c>
      <c r="B985" s="10" t="s">
        <v>10821</v>
      </c>
      <c r="C985" s="10" t="s">
        <v>791</v>
      </c>
      <c r="D985" s="10" t="s">
        <v>8995</v>
      </c>
      <c r="E985" s="10" t="s">
        <v>3219</v>
      </c>
      <c r="F985" s="10" t="s">
        <v>181</v>
      </c>
      <c r="G985" s="10" t="s">
        <v>32</v>
      </c>
      <c r="H985" s="7" t="s">
        <v>24</v>
      </c>
      <c r="I985" s="7" t="s">
        <v>25</v>
      </c>
      <c r="J985" s="13" t="str">
        <f>HYPERLINK("https://www.airitibooks.com/Detail/Detail?PublicationID=P20190220045", "https://www.airitibooks.com/Detail/Detail?PublicationID=P20190220045")</f>
        <v>https://www.airitibooks.com/Detail/Detail?PublicationID=P20190220045</v>
      </c>
      <c r="K985" s="13" t="str">
        <f>HYPERLINK("https://ntsu.idm.oclc.org/login?url=https://www.airitibooks.com/Detail/Detail?PublicationID=P20190220045", "https://ntsu.idm.oclc.org/login?url=https://www.airitibooks.com/Detail/Detail?PublicationID=P20190220045")</f>
        <v>https://ntsu.idm.oclc.org/login?url=https://www.airitibooks.com/Detail/Detail?PublicationID=P20190220045</v>
      </c>
    </row>
    <row r="986" spans="1:11" ht="51" x14ac:dyDescent="0.4">
      <c r="A986" s="10" t="s">
        <v>10901</v>
      </c>
      <c r="B986" s="10" t="s">
        <v>10902</v>
      </c>
      <c r="C986" s="10" t="s">
        <v>1034</v>
      </c>
      <c r="D986" s="10" t="s">
        <v>10903</v>
      </c>
      <c r="E986" s="10" t="s">
        <v>3219</v>
      </c>
      <c r="F986" s="10" t="s">
        <v>575</v>
      </c>
      <c r="G986" s="10" t="s">
        <v>32</v>
      </c>
      <c r="H986" s="7" t="s">
        <v>24</v>
      </c>
      <c r="I986" s="7" t="s">
        <v>25</v>
      </c>
      <c r="J986" s="13" t="str">
        <f>HYPERLINK("https://www.airitibooks.com/Detail/Detail?PublicationID=P20190304014", "https://www.airitibooks.com/Detail/Detail?PublicationID=P20190304014")</f>
        <v>https://www.airitibooks.com/Detail/Detail?PublicationID=P20190304014</v>
      </c>
      <c r="K986" s="13" t="str">
        <f>HYPERLINK("https://ntsu.idm.oclc.org/login?url=https://www.airitibooks.com/Detail/Detail?PublicationID=P20190304014", "https://ntsu.idm.oclc.org/login?url=https://www.airitibooks.com/Detail/Detail?PublicationID=P20190304014")</f>
        <v>https://ntsu.idm.oclc.org/login?url=https://www.airitibooks.com/Detail/Detail?PublicationID=P20190304014</v>
      </c>
    </row>
    <row r="987" spans="1:11" ht="51" x14ac:dyDescent="0.4">
      <c r="A987" s="10" t="s">
        <v>10904</v>
      </c>
      <c r="B987" s="10" t="s">
        <v>10905</v>
      </c>
      <c r="C987" s="10" t="s">
        <v>1034</v>
      </c>
      <c r="D987" s="10" t="s">
        <v>10906</v>
      </c>
      <c r="E987" s="10" t="s">
        <v>3219</v>
      </c>
      <c r="F987" s="10" t="s">
        <v>3901</v>
      </c>
      <c r="G987" s="10" t="s">
        <v>32</v>
      </c>
      <c r="H987" s="7" t="s">
        <v>24</v>
      </c>
      <c r="I987" s="7" t="s">
        <v>25</v>
      </c>
      <c r="J987" s="13" t="str">
        <f>HYPERLINK("https://www.airitibooks.com/Detail/Detail?PublicationID=P20190304015", "https://www.airitibooks.com/Detail/Detail?PublicationID=P20190304015")</f>
        <v>https://www.airitibooks.com/Detail/Detail?PublicationID=P20190304015</v>
      </c>
      <c r="K987" s="13" t="str">
        <f>HYPERLINK("https://ntsu.idm.oclc.org/login?url=https://www.airitibooks.com/Detail/Detail?PublicationID=P20190304015", "https://ntsu.idm.oclc.org/login?url=https://www.airitibooks.com/Detail/Detail?PublicationID=P20190304015")</f>
        <v>https://ntsu.idm.oclc.org/login?url=https://www.airitibooks.com/Detail/Detail?PublicationID=P20190304015</v>
      </c>
    </row>
    <row r="988" spans="1:11" ht="51" x14ac:dyDescent="0.4">
      <c r="A988" s="10" t="s">
        <v>10952</v>
      </c>
      <c r="B988" s="10" t="s">
        <v>10953</v>
      </c>
      <c r="C988" s="10" t="s">
        <v>108</v>
      </c>
      <c r="D988" s="10" t="s">
        <v>10954</v>
      </c>
      <c r="E988" s="10" t="s">
        <v>3219</v>
      </c>
      <c r="F988" s="10" t="s">
        <v>185</v>
      </c>
      <c r="G988" s="10" t="s">
        <v>32</v>
      </c>
      <c r="H988" s="7" t="s">
        <v>24</v>
      </c>
      <c r="I988" s="7" t="s">
        <v>25</v>
      </c>
      <c r="J988" s="13" t="str">
        <f>HYPERLINK("https://www.airitibooks.com/Detail/Detail?PublicationID=P20190322101", "https://www.airitibooks.com/Detail/Detail?PublicationID=P20190322101")</f>
        <v>https://www.airitibooks.com/Detail/Detail?PublicationID=P20190322101</v>
      </c>
      <c r="K988" s="13" t="str">
        <f>HYPERLINK("https://ntsu.idm.oclc.org/login?url=https://www.airitibooks.com/Detail/Detail?PublicationID=P20190322101", "https://ntsu.idm.oclc.org/login?url=https://www.airitibooks.com/Detail/Detail?PublicationID=P20190322101")</f>
        <v>https://ntsu.idm.oclc.org/login?url=https://www.airitibooks.com/Detail/Detail?PublicationID=P20190322101</v>
      </c>
    </row>
    <row r="989" spans="1:11" ht="119" x14ac:dyDescent="0.4">
      <c r="A989" s="10" t="s">
        <v>10956</v>
      </c>
      <c r="B989" s="10" t="s">
        <v>10957</v>
      </c>
      <c r="C989" s="10" t="s">
        <v>791</v>
      </c>
      <c r="D989" s="10" t="s">
        <v>10958</v>
      </c>
      <c r="E989" s="10" t="s">
        <v>3219</v>
      </c>
      <c r="F989" s="10" t="s">
        <v>274</v>
      </c>
      <c r="G989" s="10" t="s">
        <v>32</v>
      </c>
      <c r="H989" s="7" t="s">
        <v>24</v>
      </c>
      <c r="I989" s="7" t="s">
        <v>25</v>
      </c>
      <c r="J989" s="13" t="str">
        <f>HYPERLINK("https://www.airitibooks.com/Detail/Detail?PublicationID=P20190322196", "https://www.airitibooks.com/Detail/Detail?PublicationID=P20190322196")</f>
        <v>https://www.airitibooks.com/Detail/Detail?PublicationID=P20190322196</v>
      </c>
      <c r="K989" s="13" t="str">
        <f>HYPERLINK("https://ntsu.idm.oclc.org/login?url=https://www.airitibooks.com/Detail/Detail?PublicationID=P20190322196", "https://ntsu.idm.oclc.org/login?url=https://www.airitibooks.com/Detail/Detail?PublicationID=P20190322196")</f>
        <v>https://ntsu.idm.oclc.org/login?url=https://www.airitibooks.com/Detail/Detail?PublicationID=P20190322196</v>
      </c>
    </row>
    <row r="990" spans="1:11" ht="119" x14ac:dyDescent="0.4">
      <c r="A990" s="10" t="s">
        <v>10963</v>
      </c>
      <c r="B990" s="10" t="s">
        <v>10964</v>
      </c>
      <c r="C990" s="10" t="s">
        <v>791</v>
      </c>
      <c r="D990" s="10" t="s">
        <v>10965</v>
      </c>
      <c r="E990" s="10" t="s">
        <v>3219</v>
      </c>
      <c r="F990" s="10" t="s">
        <v>172</v>
      </c>
      <c r="G990" s="10" t="s">
        <v>32</v>
      </c>
      <c r="H990" s="7" t="s">
        <v>24</v>
      </c>
      <c r="I990" s="7" t="s">
        <v>25</v>
      </c>
      <c r="J990" s="13" t="str">
        <f>HYPERLINK("https://www.airitibooks.com/Detail/Detail?PublicationID=P20190322198", "https://www.airitibooks.com/Detail/Detail?PublicationID=P20190322198")</f>
        <v>https://www.airitibooks.com/Detail/Detail?PublicationID=P20190322198</v>
      </c>
      <c r="K990" s="13" t="str">
        <f>HYPERLINK("https://ntsu.idm.oclc.org/login?url=https://www.airitibooks.com/Detail/Detail?PublicationID=P20190322198", "https://ntsu.idm.oclc.org/login?url=https://www.airitibooks.com/Detail/Detail?PublicationID=P20190322198")</f>
        <v>https://ntsu.idm.oclc.org/login?url=https://www.airitibooks.com/Detail/Detail?PublicationID=P20190322198</v>
      </c>
    </row>
    <row r="991" spans="1:11" ht="51" x14ac:dyDescent="0.4">
      <c r="A991" s="10" t="s">
        <v>10999</v>
      </c>
      <c r="B991" s="10" t="s">
        <v>11000</v>
      </c>
      <c r="C991" s="10" t="s">
        <v>9915</v>
      </c>
      <c r="D991" s="10" t="s">
        <v>10730</v>
      </c>
      <c r="E991" s="10" t="s">
        <v>3219</v>
      </c>
      <c r="F991" s="10" t="s">
        <v>1135</v>
      </c>
      <c r="G991" s="10" t="s">
        <v>32</v>
      </c>
      <c r="H991" s="7" t="s">
        <v>24</v>
      </c>
      <c r="I991" s="7" t="s">
        <v>25</v>
      </c>
      <c r="J991" s="13" t="str">
        <f>HYPERLINK("https://www.airitibooks.com/Detail/Detail?PublicationID=P20190329082", "https://www.airitibooks.com/Detail/Detail?PublicationID=P20190329082")</f>
        <v>https://www.airitibooks.com/Detail/Detail?PublicationID=P20190329082</v>
      </c>
      <c r="K991" s="13" t="str">
        <f>HYPERLINK("https://ntsu.idm.oclc.org/login?url=https://www.airitibooks.com/Detail/Detail?PublicationID=P20190329082", "https://ntsu.idm.oclc.org/login?url=https://www.airitibooks.com/Detail/Detail?PublicationID=P20190329082")</f>
        <v>https://ntsu.idm.oclc.org/login?url=https://www.airitibooks.com/Detail/Detail?PublicationID=P20190329082</v>
      </c>
    </row>
    <row r="992" spans="1:11" ht="51" x14ac:dyDescent="0.4">
      <c r="A992" s="10" t="s">
        <v>11023</v>
      </c>
      <c r="B992" s="10" t="s">
        <v>11024</v>
      </c>
      <c r="C992" s="10" t="s">
        <v>1340</v>
      </c>
      <c r="D992" s="10" t="s">
        <v>1341</v>
      </c>
      <c r="E992" s="10" t="s">
        <v>3219</v>
      </c>
      <c r="F992" s="10" t="s">
        <v>9848</v>
      </c>
      <c r="G992" s="10" t="s">
        <v>32</v>
      </c>
      <c r="H992" s="7" t="s">
        <v>24</v>
      </c>
      <c r="I992" s="7" t="s">
        <v>25</v>
      </c>
      <c r="J992" s="13" t="str">
        <f>HYPERLINK("https://www.airitibooks.com/Detail/Detail?PublicationID=P20190412039", "https://www.airitibooks.com/Detail/Detail?PublicationID=P20190412039")</f>
        <v>https://www.airitibooks.com/Detail/Detail?PublicationID=P20190412039</v>
      </c>
      <c r="K992" s="13" t="str">
        <f>HYPERLINK("https://ntsu.idm.oclc.org/login?url=https://www.airitibooks.com/Detail/Detail?PublicationID=P20190412039", "https://ntsu.idm.oclc.org/login?url=https://www.airitibooks.com/Detail/Detail?PublicationID=P20190412039")</f>
        <v>https://ntsu.idm.oclc.org/login?url=https://www.airitibooks.com/Detail/Detail?PublicationID=P20190412039</v>
      </c>
    </row>
    <row r="993" spans="1:11" ht="51" x14ac:dyDescent="0.4">
      <c r="A993" s="10" t="s">
        <v>11025</v>
      </c>
      <c r="B993" s="10" t="s">
        <v>11026</v>
      </c>
      <c r="C993" s="10" t="s">
        <v>1340</v>
      </c>
      <c r="D993" s="10" t="s">
        <v>1341</v>
      </c>
      <c r="E993" s="10" t="s">
        <v>3219</v>
      </c>
      <c r="F993" s="10" t="s">
        <v>9848</v>
      </c>
      <c r="G993" s="10" t="s">
        <v>32</v>
      </c>
      <c r="H993" s="7" t="s">
        <v>24</v>
      </c>
      <c r="I993" s="7" t="s">
        <v>25</v>
      </c>
      <c r="J993" s="13" t="str">
        <f>HYPERLINK("https://www.airitibooks.com/Detail/Detail?PublicationID=P20190412040", "https://www.airitibooks.com/Detail/Detail?PublicationID=P20190412040")</f>
        <v>https://www.airitibooks.com/Detail/Detail?PublicationID=P20190412040</v>
      </c>
      <c r="K993" s="13" t="str">
        <f>HYPERLINK("https://ntsu.idm.oclc.org/login?url=https://www.airitibooks.com/Detail/Detail?PublicationID=P20190412040", "https://ntsu.idm.oclc.org/login?url=https://www.airitibooks.com/Detail/Detail?PublicationID=P20190412040")</f>
        <v>https://ntsu.idm.oclc.org/login?url=https://www.airitibooks.com/Detail/Detail?PublicationID=P20190412040</v>
      </c>
    </row>
    <row r="994" spans="1:11" ht="68" x14ac:dyDescent="0.4">
      <c r="A994" s="10" t="s">
        <v>11046</v>
      </c>
      <c r="B994" s="10" t="s">
        <v>11047</v>
      </c>
      <c r="C994" s="10" t="s">
        <v>108</v>
      </c>
      <c r="D994" s="10" t="s">
        <v>11048</v>
      </c>
      <c r="E994" s="10" t="s">
        <v>3219</v>
      </c>
      <c r="F994" s="10" t="s">
        <v>2925</v>
      </c>
      <c r="G994" s="10" t="s">
        <v>32</v>
      </c>
      <c r="H994" s="7" t="s">
        <v>24</v>
      </c>
      <c r="I994" s="7" t="s">
        <v>25</v>
      </c>
      <c r="J994" s="13" t="str">
        <f>HYPERLINK("https://www.airitibooks.com/Detail/Detail?PublicationID=P20190419001", "https://www.airitibooks.com/Detail/Detail?PublicationID=P20190419001")</f>
        <v>https://www.airitibooks.com/Detail/Detail?PublicationID=P20190419001</v>
      </c>
      <c r="K994" s="13" t="str">
        <f>HYPERLINK("https://ntsu.idm.oclc.org/login?url=https://www.airitibooks.com/Detail/Detail?PublicationID=P20190419001", "https://ntsu.idm.oclc.org/login?url=https://www.airitibooks.com/Detail/Detail?PublicationID=P20190419001")</f>
        <v>https://ntsu.idm.oclc.org/login?url=https://www.airitibooks.com/Detail/Detail?PublicationID=P20190419001</v>
      </c>
    </row>
    <row r="995" spans="1:11" ht="68" x14ac:dyDescent="0.4">
      <c r="A995" s="10" t="s">
        <v>11156</v>
      </c>
      <c r="B995" s="10" t="s">
        <v>11157</v>
      </c>
      <c r="C995" s="10" t="s">
        <v>791</v>
      </c>
      <c r="D995" s="10" t="s">
        <v>11158</v>
      </c>
      <c r="E995" s="10" t="s">
        <v>3219</v>
      </c>
      <c r="F995" s="10" t="s">
        <v>172</v>
      </c>
      <c r="G995" s="10" t="s">
        <v>32</v>
      </c>
      <c r="H995" s="7" t="s">
        <v>24</v>
      </c>
      <c r="I995" s="7" t="s">
        <v>25</v>
      </c>
      <c r="J995" s="13" t="str">
        <f>HYPERLINK("https://www.airitibooks.com/Detail/Detail?PublicationID=P20190425016", "https://www.airitibooks.com/Detail/Detail?PublicationID=P20190425016")</f>
        <v>https://www.airitibooks.com/Detail/Detail?PublicationID=P20190425016</v>
      </c>
      <c r="K995" s="13" t="str">
        <f>HYPERLINK("https://ntsu.idm.oclc.org/login?url=https://www.airitibooks.com/Detail/Detail?PublicationID=P20190425016", "https://ntsu.idm.oclc.org/login?url=https://www.airitibooks.com/Detail/Detail?PublicationID=P20190425016")</f>
        <v>https://ntsu.idm.oclc.org/login?url=https://www.airitibooks.com/Detail/Detail?PublicationID=P20190425016</v>
      </c>
    </row>
    <row r="996" spans="1:11" ht="85" x14ac:dyDescent="0.4">
      <c r="A996" s="10" t="s">
        <v>11163</v>
      </c>
      <c r="B996" s="10" t="s">
        <v>11164</v>
      </c>
      <c r="C996" s="10" t="s">
        <v>11165</v>
      </c>
      <c r="D996" s="10" t="s">
        <v>11166</v>
      </c>
      <c r="E996" s="10" t="s">
        <v>3219</v>
      </c>
      <c r="F996" s="10" t="s">
        <v>11167</v>
      </c>
      <c r="G996" s="10" t="s">
        <v>32</v>
      </c>
      <c r="H996" s="7" t="s">
        <v>24</v>
      </c>
      <c r="I996" s="7" t="s">
        <v>25</v>
      </c>
      <c r="J996" s="13" t="str">
        <f>HYPERLINK("https://www.airitibooks.com/Detail/Detail?PublicationID=P20190425018", "https://www.airitibooks.com/Detail/Detail?PublicationID=P20190425018")</f>
        <v>https://www.airitibooks.com/Detail/Detail?PublicationID=P20190425018</v>
      </c>
      <c r="K996" s="13" t="str">
        <f>HYPERLINK("https://ntsu.idm.oclc.org/login?url=https://www.airitibooks.com/Detail/Detail?PublicationID=P20190425018", "https://ntsu.idm.oclc.org/login?url=https://www.airitibooks.com/Detail/Detail?PublicationID=P20190425018")</f>
        <v>https://ntsu.idm.oclc.org/login?url=https://www.airitibooks.com/Detail/Detail?PublicationID=P20190425018</v>
      </c>
    </row>
    <row r="997" spans="1:11" ht="51" x14ac:dyDescent="0.4">
      <c r="A997" s="10" t="s">
        <v>11168</v>
      </c>
      <c r="B997" s="10" t="s">
        <v>11169</v>
      </c>
      <c r="C997" s="10" t="s">
        <v>9514</v>
      </c>
      <c r="D997" s="10" t="s">
        <v>11170</v>
      </c>
      <c r="E997" s="10" t="s">
        <v>3219</v>
      </c>
      <c r="F997" s="10" t="s">
        <v>9540</v>
      </c>
      <c r="G997" s="10" t="s">
        <v>32</v>
      </c>
      <c r="H997" s="7" t="s">
        <v>24</v>
      </c>
      <c r="I997" s="7" t="s">
        <v>25</v>
      </c>
      <c r="J997" s="13" t="str">
        <f>HYPERLINK("https://www.airitibooks.com/Detail/Detail?PublicationID=P20190425019", "https://www.airitibooks.com/Detail/Detail?PublicationID=P20190425019")</f>
        <v>https://www.airitibooks.com/Detail/Detail?PublicationID=P20190425019</v>
      </c>
      <c r="K997" s="13" t="str">
        <f>HYPERLINK("https://ntsu.idm.oclc.org/login?url=https://www.airitibooks.com/Detail/Detail?PublicationID=P20190425019", "https://ntsu.idm.oclc.org/login?url=https://www.airitibooks.com/Detail/Detail?PublicationID=P20190425019")</f>
        <v>https://ntsu.idm.oclc.org/login?url=https://www.airitibooks.com/Detail/Detail?PublicationID=P20190425019</v>
      </c>
    </row>
    <row r="998" spans="1:11" ht="51" x14ac:dyDescent="0.4">
      <c r="A998" s="10" t="s">
        <v>11171</v>
      </c>
      <c r="B998" s="10" t="s">
        <v>11172</v>
      </c>
      <c r="C998" s="10" t="s">
        <v>9514</v>
      </c>
      <c r="D998" s="10" t="s">
        <v>11170</v>
      </c>
      <c r="E998" s="10" t="s">
        <v>3219</v>
      </c>
      <c r="F998" s="10" t="s">
        <v>9540</v>
      </c>
      <c r="G998" s="10" t="s">
        <v>32</v>
      </c>
      <c r="H998" s="7" t="s">
        <v>24</v>
      </c>
      <c r="I998" s="7" t="s">
        <v>25</v>
      </c>
      <c r="J998" s="13" t="str">
        <f>HYPERLINK("https://www.airitibooks.com/Detail/Detail?PublicationID=P20190425020", "https://www.airitibooks.com/Detail/Detail?PublicationID=P20190425020")</f>
        <v>https://www.airitibooks.com/Detail/Detail?PublicationID=P20190425020</v>
      </c>
      <c r="K998" s="13" t="str">
        <f>HYPERLINK("https://ntsu.idm.oclc.org/login?url=https://www.airitibooks.com/Detail/Detail?PublicationID=P20190425020", "https://ntsu.idm.oclc.org/login?url=https://www.airitibooks.com/Detail/Detail?PublicationID=P20190425020")</f>
        <v>https://ntsu.idm.oclc.org/login?url=https://www.airitibooks.com/Detail/Detail?PublicationID=P20190425020</v>
      </c>
    </row>
    <row r="999" spans="1:11" ht="51" x14ac:dyDescent="0.4">
      <c r="A999" s="10" t="s">
        <v>9521</v>
      </c>
      <c r="B999" s="10" t="s">
        <v>11173</v>
      </c>
      <c r="C999" s="10" t="s">
        <v>9514</v>
      </c>
      <c r="D999" s="10" t="s">
        <v>11174</v>
      </c>
      <c r="E999" s="10" t="s">
        <v>3219</v>
      </c>
      <c r="F999" s="10" t="s">
        <v>9524</v>
      </c>
      <c r="G999" s="10" t="s">
        <v>32</v>
      </c>
      <c r="H999" s="7" t="s">
        <v>24</v>
      </c>
      <c r="I999" s="7" t="s">
        <v>25</v>
      </c>
      <c r="J999" s="13" t="str">
        <f>HYPERLINK("https://www.airitibooks.com/Detail/Detail?PublicationID=P20190425021", "https://www.airitibooks.com/Detail/Detail?PublicationID=P20190425021")</f>
        <v>https://www.airitibooks.com/Detail/Detail?PublicationID=P20190425021</v>
      </c>
      <c r="K999" s="13" t="str">
        <f>HYPERLINK("https://ntsu.idm.oclc.org/login?url=https://www.airitibooks.com/Detail/Detail?PublicationID=P20190425021", "https://ntsu.idm.oclc.org/login?url=https://www.airitibooks.com/Detail/Detail?PublicationID=P20190425021")</f>
        <v>https://ntsu.idm.oclc.org/login?url=https://www.airitibooks.com/Detail/Detail?PublicationID=P20190425021</v>
      </c>
    </row>
    <row r="1000" spans="1:11" ht="51" x14ac:dyDescent="0.4">
      <c r="A1000" s="10" t="s">
        <v>11175</v>
      </c>
      <c r="B1000" s="10" t="s">
        <v>11176</v>
      </c>
      <c r="C1000" s="10" t="s">
        <v>9514</v>
      </c>
      <c r="D1000" s="10" t="s">
        <v>11177</v>
      </c>
      <c r="E1000" s="10" t="s">
        <v>3219</v>
      </c>
      <c r="F1000" s="10" t="s">
        <v>9528</v>
      </c>
      <c r="G1000" s="10" t="s">
        <v>32</v>
      </c>
      <c r="H1000" s="7" t="s">
        <v>24</v>
      </c>
      <c r="I1000" s="7" t="s">
        <v>25</v>
      </c>
      <c r="J1000" s="13" t="str">
        <f>HYPERLINK("https://www.airitibooks.com/Detail/Detail?PublicationID=P20190425022", "https://www.airitibooks.com/Detail/Detail?PublicationID=P20190425022")</f>
        <v>https://www.airitibooks.com/Detail/Detail?PublicationID=P20190425022</v>
      </c>
      <c r="K1000" s="13" t="str">
        <f>HYPERLINK("https://ntsu.idm.oclc.org/login?url=https://www.airitibooks.com/Detail/Detail?PublicationID=P20190425022", "https://ntsu.idm.oclc.org/login?url=https://www.airitibooks.com/Detail/Detail?PublicationID=P20190425022")</f>
        <v>https://ntsu.idm.oclc.org/login?url=https://www.airitibooks.com/Detail/Detail?PublicationID=P20190425022</v>
      </c>
    </row>
    <row r="1001" spans="1:11" ht="51" x14ac:dyDescent="0.4">
      <c r="A1001" s="10" t="s">
        <v>11178</v>
      </c>
      <c r="B1001" s="10" t="s">
        <v>11179</v>
      </c>
      <c r="C1001" s="10" t="s">
        <v>9514</v>
      </c>
      <c r="D1001" s="10" t="s">
        <v>11180</v>
      </c>
      <c r="E1001" s="10" t="s">
        <v>3219</v>
      </c>
      <c r="F1001" s="10" t="s">
        <v>9544</v>
      </c>
      <c r="G1001" s="10" t="s">
        <v>32</v>
      </c>
      <c r="H1001" s="7" t="s">
        <v>24</v>
      </c>
      <c r="I1001" s="7" t="s">
        <v>25</v>
      </c>
      <c r="J1001" s="13" t="str">
        <f>HYPERLINK("https://www.airitibooks.com/Detail/Detail?PublicationID=P20190425023", "https://www.airitibooks.com/Detail/Detail?PublicationID=P20190425023")</f>
        <v>https://www.airitibooks.com/Detail/Detail?PublicationID=P20190425023</v>
      </c>
      <c r="K1001" s="13" t="str">
        <f>HYPERLINK("https://ntsu.idm.oclc.org/login?url=https://www.airitibooks.com/Detail/Detail?PublicationID=P20190425023", "https://ntsu.idm.oclc.org/login?url=https://www.airitibooks.com/Detail/Detail?PublicationID=P20190425023")</f>
        <v>https://ntsu.idm.oclc.org/login?url=https://www.airitibooks.com/Detail/Detail?PublicationID=P20190425023</v>
      </c>
    </row>
    <row r="1002" spans="1:11" ht="51" x14ac:dyDescent="0.4">
      <c r="A1002" s="10" t="s">
        <v>11181</v>
      </c>
      <c r="B1002" s="10" t="s">
        <v>11182</v>
      </c>
      <c r="C1002" s="10" t="s">
        <v>9514</v>
      </c>
      <c r="D1002" s="10" t="s">
        <v>11180</v>
      </c>
      <c r="E1002" s="10" t="s">
        <v>3219</v>
      </c>
      <c r="F1002" s="10" t="s">
        <v>9544</v>
      </c>
      <c r="G1002" s="10" t="s">
        <v>32</v>
      </c>
      <c r="H1002" s="7" t="s">
        <v>24</v>
      </c>
      <c r="I1002" s="7" t="s">
        <v>25</v>
      </c>
      <c r="J1002" s="13" t="str">
        <f>HYPERLINK("https://www.airitibooks.com/Detail/Detail?PublicationID=P20190425024", "https://www.airitibooks.com/Detail/Detail?PublicationID=P20190425024")</f>
        <v>https://www.airitibooks.com/Detail/Detail?PublicationID=P20190425024</v>
      </c>
      <c r="K1002" s="13" t="str">
        <f>HYPERLINK("https://ntsu.idm.oclc.org/login?url=https://www.airitibooks.com/Detail/Detail?PublicationID=P20190425024", "https://ntsu.idm.oclc.org/login?url=https://www.airitibooks.com/Detail/Detail?PublicationID=P20190425024")</f>
        <v>https://ntsu.idm.oclc.org/login?url=https://www.airitibooks.com/Detail/Detail?PublicationID=P20190425024</v>
      </c>
    </row>
    <row r="1003" spans="1:11" ht="51" x14ac:dyDescent="0.4">
      <c r="A1003" s="10" t="s">
        <v>11201</v>
      </c>
      <c r="B1003" s="10" t="s">
        <v>11202</v>
      </c>
      <c r="C1003" s="10" t="s">
        <v>11191</v>
      </c>
      <c r="D1003" s="10" t="s">
        <v>11203</v>
      </c>
      <c r="E1003" s="10" t="s">
        <v>3219</v>
      </c>
      <c r="F1003" s="10" t="s">
        <v>185</v>
      </c>
      <c r="G1003" s="10" t="s">
        <v>32</v>
      </c>
      <c r="H1003" s="7" t="s">
        <v>24</v>
      </c>
      <c r="I1003" s="7" t="s">
        <v>25</v>
      </c>
      <c r="J1003" s="13" t="str">
        <f>HYPERLINK("https://www.airitibooks.com/Detail/Detail?PublicationID=P20190425128", "https://www.airitibooks.com/Detail/Detail?PublicationID=P20190425128")</f>
        <v>https://www.airitibooks.com/Detail/Detail?PublicationID=P20190425128</v>
      </c>
      <c r="K1003" s="13" t="str">
        <f>HYPERLINK("https://ntsu.idm.oclc.org/login?url=https://www.airitibooks.com/Detail/Detail?PublicationID=P20190425128", "https://ntsu.idm.oclc.org/login?url=https://www.airitibooks.com/Detail/Detail?PublicationID=P20190425128")</f>
        <v>https://ntsu.idm.oclc.org/login?url=https://www.airitibooks.com/Detail/Detail?PublicationID=P20190425128</v>
      </c>
    </row>
    <row r="1004" spans="1:11" ht="51" x14ac:dyDescent="0.4">
      <c r="A1004" s="10" t="s">
        <v>11284</v>
      </c>
      <c r="B1004" s="10" t="s">
        <v>11285</v>
      </c>
      <c r="C1004" s="10" t="s">
        <v>1504</v>
      </c>
      <c r="D1004" s="10" t="s">
        <v>6918</v>
      </c>
      <c r="E1004" s="10" t="s">
        <v>3219</v>
      </c>
      <c r="F1004" s="10" t="s">
        <v>575</v>
      </c>
      <c r="G1004" s="10" t="s">
        <v>32</v>
      </c>
      <c r="H1004" s="7" t="s">
        <v>24</v>
      </c>
      <c r="I1004" s="7" t="s">
        <v>25</v>
      </c>
      <c r="J1004" s="13" t="str">
        <f>HYPERLINK("https://www.airitibooks.com/Detail/Detail?PublicationID=P20190503066", "https://www.airitibooks.com/Detail/Detail?PublicationID=P20190503066")</f>
        <v>https://www.airitibooks.com/Detail/Detail?PublicationID=P20190503066</v>
      </c>
      <c r="K1004" s="13" t="str">
        <f>HYPERLINK("https://ntsu.idm.oclc.org/login?url=https://www.airitibooks.com/Detail/Detail?PublicationID=P20190503066", "https://ntsu.idm.oclc.org/login?url=https://www.airitibooks.com/Detail/Detail?PublicationID=P20190503066")</f>
        <v>https://ntsu.idm.oclc.org/login?url=https://www.airitibooks.com/Detail/Detail?PublicationID=P20190503066</v>
      </c>
    </row>
    <row r="1005" spans="1:11" ht="51" x14ac:dyDescent="0.4">
      <c r="A1005" s="10" t="s">
        <v>11314</v>
      </c>
      <c r="B1005" s="10" t="s">
        <v>11315</v>
      </c>
      <c r="C1005" s="10" t="s">
        <v>1340</v>
      </c>
      <c r="D1005" s="10" t="s">
        <v>1341</v>
      </c>
      <c r="E1005" s="10" t="s">
        <v>3219</v>
      </c>
      <c r="F1005" s="10" t="s">
        <v>9848</v>
      </c>
      <c r="G1005" s="10" t="s">
        <v>32</v>
      </c>
      <c r="H1005" s="7" t="s">
        <v>24</v>
      </c>
      <c r="I1005" s="7" t="s">
        <v>25</v>
      </c>
      <c r="J1005" s="13" t="str">
        <f>HYPERLINK("https://www.airitibooks.com/Detail/Detail?PublicationID=P20190510017", "https://www.airitibooks.com/Detail/Detail?PublicationID=P20190510017")</f>
        <v>https://www.airitibooks.com/Detail/Detail?PublicationID=P20190510017</v>
      </c>
      <c r="K1005" s="13" t="str">
        <f>HYPERLINK("https://ntsu.idm.oclc.org/login?url=https://www.airitibooks.com/Detail/Detail?PublicationID=P20190510017", "https://ntsu.idm.oclc.org/login?url=https://www.airitibooks.com/Detail/Detail?PublicationID=P20190510017")</f>
        <v>https://ntsu.idm.oclc.org/login?url=https://www.airitibooks.com/Detail/Detail?PublicationID=P20190510017</v>
      </c>
    </row>
    <row r="1006" spans="1:11" ht="68" x14ac:dyDescent="0.4">
      <c r="A1006" s="10" t="s">
        <v>11330</v>
      </c>
      <c r="B1006" s="10" t="s">
        <v>11331</v>
      </c>
      <c r="C1006" s="10" t="s">
        <v>791</v>
      </c>
      <c r="D1006" s="10" t="s">
        <v>11332</v>
      </c>
      <c r="E1006" s="10" t="s">
        <v>3219</v>
      </c>
      <c r="F1006" s="10" t="s">
        <v>274</v>
      </c>
      <c r="G1006" s="10" t="s">
        <v>32</v>
      </c>
      <c r="H1006" s="7" t="s">
        <v>24</v>
      </c>
      <c r="I1006" s="7" t="s">
        <v>25</v>
      </c>
      <c r="J1006" s="13" t="str">
        <f>HYPERLINK("https://www.airitibooks.com/Detail/Detail?PublicationID=P20190517015", "https://www.airitibooks.com/Detail/Detail?PublicationID=P20190517015")</f>
        <v>https://www.airitibooks.com/Detail/Detail?PublicationID=P20190517015</v>
      </c>
      <c r="K1006" s="13" t="str">
        <f>HYPERLINK("https://ntsu.idm.oclc.org/login?url=https://www.airitibooks.com/Detail/Detail?PublicationID=P20190517015", "https://ntsu.idm.oclc.org/login?url=https://www.airitibooks.com/Detail/Detail?PublicationID=P20190517015")</f>
        <v>https://ntsu.idm.oclc.org/login?url=https://www.airitibooks.com/Detail/Detail?PublicationID=P20190517015</v>
      </c>
    </row>
    <row r="1007" spans="1:11" ht="85" x14ac:dyDescent="0.4">
      <c r="A1007" s="10" t="s">
        <v>11333</v>
      </c>
      <c r="B1007" s="10" t="s">
        <v>11334</v>
      </c>
      <c r="C1007" s="10" t="s">
        <v>791</v>
      </c>
      <c r="D1007" s="10" t="s">
        <v>11335</v>
      </c>
      <c r="E1007" s="10" t="s">
        <v>3219</v>
      </c>
      <c r="F1007" s="10" t="s">
        <v>575</v>
      </c>
      <c r="G1007" s="10" t="s">
        <v>32</v>
      </c>
      <c r="H1007" s="7" t="s">
        <v>24</v>
      </c>
      <c r="I1007" s="7" t="s">
        <v>25</v>
      </c>
      <c r="J1007" s="13" t="str">
        <f>HYPERLINK("https://www.airitibooks.com/Detail/Detail?PublicationID=P20190517016", "https://www.airitibooks.com/Detail/Detail?PublicationID=P20190517016")</f>
        <v>https://www.airitibooks.com/Detail/Detail?PublicationID=P20190517016</v>
      </c>
      <c r="K1007" s="13" t="str">
        <f>HYPERLINK("https://ntsu.idm.oclc.org/login?url=https://www.airitibooks.com/Detail/Detail?PublicationID=P20190517016", "https://ntsu.idm.oclc.org/login?url=https://www.airitibooks.com/Detail/Detail?PublicationID=P20190517016")</f>
        <v>https://ntsu.idm.oclc.org/login?url=https://www.airitibooks.com/Detail/Detail?PublicationID=P20190517016</v>
      </c>
    </row>
    <row r="1008" spans="1:11" ht="51" x14ac:dyDescent="0.4">
      <c r="A1008" s="10" t="s">
        <v>11346</v>
      </c>
      <c r="B1008" s="10" t="s">
        <v>11347</v>
      </c>
      <c r="C1008" s="10" t="s">
        <v>1340</v>
      </c>
      <c r="D1008" s="10" t="s">
        <v>1341</v>
      </c>
      <c r="E1008" s="10" t="s">
        <v>3219</v>
      </c>
      <c r="F1008" s="10" t="s">
        <v>9848</v>
      </c>
      <c r="G1008" s="10" t="s">
        <v>32</v>
      </c>
      <c r="H1008" s="7" t="s">
        <v>24</v>
      </c>
      <c r="I1008" s="7" t="s">
        <v>25</v>
      </c>
      <c r="J1008" s="13" t="str">
        <f>HYPERLINK("https://www.airitibooks.com/Detail/Detail?PublicationID=P20190517035", "https://www.airitibooks.com/Detail/Detail?PublicationID=P20190517035")</f>
        <v>https://www.airitibooks.com/Detail/Detail?PublicationID=P20190517035</v>
      </c>
      <c r="K1008" s="13" t="str">
        <f>HYPERLINK("https://ntsu.idm.oclc.org/login?url=https://www.airitibooks.com/Detail/Detail?PublicationID=P20190517035", "https://ntsu.idm.oclc.org/login?url=https://www.airitibooks.com/Detail/Detail?PublicationID=P20190517035")</f>
        <v>https://ntsu.idm.oclc.org/login?url=https://www.airitibooks.com/Detail/Detail?PublicationID=P20190517035</v>
      </c>
    </row>
    <row r="1009" spans="1:11" ht="51" x14ac:dyDescent="0.4">
      <c r="A1009" s="10" t="s">
        <v>11641</v>
      </c>
      <c r="B1009" s="10" t="s">
        <v>11642</v>
      </c>
      <c r="C1009" s="10" t="s">
        <v>3670</v>
      </c>
      <c r="D1009" s="10" t="s">
        <v>11643</v>
      </c>
      <c r="E1009" s="10" t="s">
        <v>3219</v>
      </c>
      <c r="F1009" s="10" t="s">
        <v>2628</v>
      </c>
      <c r="G1009" s="10" t="s">
        <v>32</v>
      </c>
      <c r="H1009" s="7" t="s">
        <v>24</v>
      </c>
      <c r="I1009" s="7" t="s">
        <v>25</v>
      </c>
      <c r="J1009" s="13" t="str">
        <f>HYPERLINK("https://www.airitibooks.com/Detail/Detail?PublicationID=P20190614008", "https://www.airitibooks.com/Detail/Detail?PublicationID=P20190614008")</f>
        <v>https://www.airitibooks.com/Detail/Detail?PublicationID=P20190614008</v>
      </c>
      <c r="K1009" s="13" t="str">
        <f>HYPERLINK("https://ntsu.idm.oclc.org/login?url=https://www.airitibooks.com/Detail/Detail?PublicationID=P20190614008", "https://ntsu.idm.oclc.org/login?url=https://www.airitibooks.com/Detail/Detail?PublicationID=P20190614008")</f>
        <v>https://ntsu.idm.oclc.org/login?url=https://www.airitibooks.com/Detail/Detail?PublicationID=P20190614008</v>
      </c>
    </row>
    <row r="1010" spans="1:11" ht="51" x14ac:dyDescent="0.4">
      <c r="A1010" s="10" t="s">
        <v>11644</v>
      </c>
      <c r="B1010" s="10" t="s">
        <v>11645</v>
      </c>
      <c r="C1010" s="10" t="s">
        <v>3670</v>
      </c>
      <c r="D1010" s="10" t="s">
        <v>3607</v>
      </c>
      <c r="E1010" s="10" t="s">
        <v>3219</v>
      </c>
      <c r="F1010" s="10" t="s">
        <v>2628</v>
      </c>
      <c r="G1010" s="10" t="s">
        <v>32</v>
      </c>
      <c r="H1010" s="7" t="s">
        <v>24</v>
      </c>
      <c r="I1010" s="7" t="s">
        <v>25</v>
      </c>
      <c r="J1010" s="13" t="str">
        <f>HYPERLINK("https://www.airitibooks.com/Detail/Detail?PublicationID=P20190614009", "https://www.airitibooks.com/Detail/Detail?PublicationID=P20190614009")</f>
        <v>https://www.airitibooks.com/Detail/Detail?PublicationID=P20190614009</v>
      </c>
      <c r="K1010" s="13" t="str">
        <f>HYPERLINK("https://ntsu.idm.oclc.org/login?url=https://www.airitibooks.com/Detail/Detail?PublicationID=P20190614009", "https://ntsu.idm.oclc.org/login?url=https://www.airitibooks.com/Detail/Detail?PublicationID=P20190614009")</f>
        <v>https://ntsu.idm.oclc.org/login?url=https://www.airitibooks.com/Detail/Detail?PublicationID=P20190614009</v>
      </c>
    </row>
    <row r="1011" spans="1:11" ht="51" x14ac:dyDescent="0.4">
      <c r="A1011" s="10" t="s">
        <v>11646</v>
      </c>
      <c r="B1011" s="10" t="s">
        <v>11647</v>
      </c>
      <c r="C1011" s="10" t="s">
        <v>3670</v>
      </c>
      <c r="D1011" s="10" t="s">
        <v>11648</v>
      </c>
      <c r="E1011" s="10" t="s">
        <v>3219</v>
      </c>
      <c r="F1011" s="10" t="s">
        <v>2628</v>
      </c>
      <c r="G1011" s="10" t="s">
        <v>32</v>
      </c>
      <c r="H1011" s="7" t="s">
        <v>24</v>
      </c>
      <c r="I1011" s="7" t="s">
        <v>25</v>
      </c>
      <c r="J1011" s="13" t="str">
        <f>HYPERLINK("https://www.airitibooks.com/Detail/Detail?PublicationID=P20190614010", "https://www.airitibooks.com/Detail/Detail?PublicationID=P20190614010")</f>
        <v>https://www.airitibooks.com/Detail/Detail?PublicationID=P20190614010</v>
      </c>
      <c r="K1011" s="13" t="str">
        <f>HYPERLINK("https://ntsu.idm.oclc.org/login?url=https://www.airitibooks.com/Detail/Detail?PublicationID=P20190614010", "https://ntsu.idm.oclc.org/login?url=https://www.airitibooks.com/Detail/Detail?PublicationID=P20190614010")</f>
        <v>https://ntsu.idm.oclc.org/login?url=https://www.airitibooks.com/Detail/Detail?PublicationID=P20190614010</v>
      </c>
    </row>
    <row r="1012" spans="1:11" ht="51" x14ac:dyDescent="0.4">
      <c r="A1012" s="10" t="s">
        <v>11649</v>
      </c>
      <c r="B1012" s="10" t="s">
        <v>11650</v>
      </c>
      <c r="C1012" s="10" t="s">
        <v>3670</v>
      </c>
      <c r="D1012" s="10" t="s">
        <v>3607</v>
      </c>
      <c r="E1012" s="10" t="s">
        <v>3219</v>
      </c>
      <c r="F1012" s="10" t="s">
        <v>2628</v>
      </c>
      <c r="G1012" s="10" t="s">
        <v>32</v>
      </c>
      <c r="H1012" s="7" t="s">
        <v>24</v>
      </c>
      <c r="I1012" s="7" t="s">
        <v>25</v>
      </c>
      <c r="J1012" s="13" t="str">
        <f>HYPERLINK("https://www.airitibooks.com/Detail/Detail?PublicationID=P20190614011", "https://www.airitibooks.com/Detail/Detail?PublicationID=P20190614011")</f>
        <v>https://www.airitibooks.com/Detail/Detail?PublicationID=P20190614011</v>
      </c>
      <c r="K1012" s="13" t="str">
        <f>HYPERLINK("https://ntsu.idm.oclc.org/login?url=https://www.airitibooks.com/Detail/Detail?PublicationID=P20190614011", "https://ntsu.idm.oclc.org/login?url=https://www.airitibooks.com/Detail/Detail?PublicationID=P20190614011")</f>
        <v>https://ntsu.idm.oclc.org/login?url=https://www.airitibooks.com/Detail/Detail?PublicationID=P20190614011</v>
      </c>
    </row>
    <row r="1013" spans="1:11" ht="51" x14ac:dyDescent="0.4">
      <c r="A1013" s="10" t="s">
        <v>11651</v>
      </c>
      <c r="B1013" s="10" t="s">
        <v>11652</v>
      </c>
      <c r="C1013" s="10" t="s">
        <v>3670</v>
      </c>
      <c r="D1013" s="10" t="s">
        <v>4831</v>
      </c>
      <c r="E1013" s="10" t="s">
        <v>3219</v>
      </c>
      <c r="F1013" s="10" t="s">
        <v>2628</v>
      </c>
      <c r="G1013" s="10" t="s">
        <v>32</v>
      </c>
      <c r="H1013" s="7" t="s">
        <v>24</v>
      </c>
      <c r="I1013" s="7" t="s">
        <v>25</v>
      </c>
      <c r="J1013" s="13" t="str">
        <f>HYPERLINK("https://www.airitibooks.com/Detail/Detail?PublicationID=P20190614012", "https://www.airitibooks.com/Detail/Detail?PublicationID=P20190614012")</f>
        <v>https://www.airitibooks.com/Detail/Detail?PublicationID=P20190614012</v>
      </c>
      <c r="K1013" s="13" t="str">
        <f>HYPERLINK("https://ntsu.idm.oclc.org/login?url=https://www.airitibooks.com/Detail/Detail?PublicationID=P20190614012", "https://ntsu.idm.oclc.org/login?url=https://www.airitibooks.com/Detail/Detail?PublicationID=P20190614012")</f>
        <v>https://ntsu.idm.oclc.org/login?url=https://www.airitibooks.com/Detail/Detail?PublicationID=P20190614012</v>
      </c>
    </row>
    <row r="1014" spans="1:11" ht="51" x14ac:dyDescent="0.4">
      <c r="A1014" s="10" t="s">
        <v>11653</v>
      </c>
      <c r="B1014" s="10" t="s">
        <v>11654</v>
      </c>
      <c r="C1014" s="10" t="s">
        <v>3670</v>
      </c>
      <c r="D1014" s="10" t="s">
        <v>3629</v>
      </c>
      <c r="E1014" s="10" t="s">
        <v>3219</v>
      </c>
      <c r="F1014" s="10" t="s">
        <v>2628</v>
      </c>
      <c r="G1014" s="10" t="s">
        <v>32</v>
      </c>
      <c r="H1014" s="7" t="s">
        <v>24</v>
      </c>
      <c r="I1014" s="7" t="s">
        <v>25</v>
      </c>
      <c r="J1014" s="13" t="str">
        <f>HYPERLINK("https://www.airitibooks.com/Detail/Detail?PublicationID=P20190614013", "https://www.airitibooks.com/Detail/Detail?PublicationID=P20190614013")</f>
        <v>https://www.airitibooks.com/Detail/Detail?PublicationID=P20190614013</v>
      </c>
      <c r="K1014" s="13" t="str">
        <f>HYPERLINK("https://ntsu.idm.oclc.org/login?url=https://www.airitibooks.com/Detail/Detail?PublicationID=P20190614013", "https://ntsu.idm.oclc.org/login?url=https://www.airitibooks.com/Detail/Detail?PublicationID=P20190614013")</f>
        <v>https://ntsu.idm.oclc.org/login?url=https://www.airitibooks.com/Detail/Detail?PublicationID=P20190614013</v>
      </c>
    </row>
    <row r="1015" spans="1:11" ht="51" x14ac:dyDescent="0.4">
      <c r="A1015" s="10" t="s">
        <v>11655</v>
      </c>
      <c r="B1015" s="10" t="s">
        <v>11656</v>
      </c>
      <c r="C1015" s="10" t="s">
        <v>10781</v>
      </c>
      <c r="D1015" s="10" t="s">
        <v>6135</v>
      </c>
      <c r="E1015" s="10" t="s">
        <v>3219</v>
      </c>
      <c r="F1015" s="10" t="s">
        <v>2628</v>
      </c>
      <c r="G1015" s="10" t="s">
        <v>32</v>
      </c>
      <c r="H1015" s="7" t="s">
        <v>24</v>
      </c>
      <c r="I1015" s="7" t="s">
        <v>25</v>
      </c>
      <c r="J1015" s="13" t="str">
        <f>HYPERLINK("https://www.airitibooks.com/Detail/Detail?PublicationID=P20190614014", "https://www.airitibooks.com/Detail/Detail?PublicationID=P20190614014")</f>
        <v>https://www.airitibooks.com/Detail/Detail?PublicationID=P20190614014</v>
      </c>
      <c r="K1015" s="13" t="str">
        <f>HYPERLINK("https://ntsu.idm.oclc.org/login?url=https://www.airitibooks.com/Detail/Detail?PublicationID=P20190614014", "https://ntsu.idm.oclc.org/login?url=https://www.airitibooks.com/Detail/Detail?PublicationID=P20190614014")</f>
        <v>https://ntsu.idm.oclc.org/login?url=https://www.airitibooks.com/Detail/Detail?PublicationID=P20190614014</v>
      </c>
    </row>
    <row r="1016" spans="1:11" ht="51" x14ac:dyDescent="0.4">
      <c r="A1016" s="10" t="s">
        <v>11657</v>
      </c>
      <c r="B1016" s="10" t="s">
        <v>11658</v>
      </c>
      <c r="C1016" s="10" t="s">
        <v>10781</v>
      </c>
      <c r="D1016" s="10" t="s">
        <v>6080</v>
      </c>
      <c r="E1016" s="10" t="s">
        <v>3219</v>
      </c>
      <c r="F1016" s="10" t="s">
        <v>2628</v>
      </c>
      <c r="G1016" s="10" t="s">
        <v>32</v>
      </c>
      <c r="H1016" s="7" t="s">
        <v>24</v>
      </c>
      <c r="I1016" s="7" t="s">
        <v>25</v>
      </c>
      <c r="J1016" s="13" t="str">
        <f>HYPERLINK("https://www.airitibooks.com/Detail/Detail?PublicationID=P20190614015", "https://www.airitibooks.com/Detail/Detail?PublicationID=P20190614015")</f>
        <v>https://www.airitibooks.com/Detail/Detail?PublicationID=P20190614015</v>
      </c>
      <c r="K1016" s="13" t="str">
        <f>HYPERLINK("https://ntsu.idm.oclc.org/login?url=https://www.airitibooks.com/Detail/Detail?PublicationID=P20190614015", "https://ntsu.idm.oclc.org/login?url=https://www.airitibooks.com/Detail/Detail?PublicationID=P20190614015")</f>
        <v>https://ntsu.idm.oclc.org/login?url=https://www.airitibooks.com/Detail/Detail?PublicationID=P20190614015</v>
      </c>
    </row>
    <row r="1017" spans="1:11" ht="51" x14ac:dyDescent="0.4">
      <c r="A1017" s="10" t="s">
        <v>11659</v>
      </c>
      <c r="B1017" s="10" t="s">
        <v>11660</v>
      </c>
      <c r="C1017" s="10" t="s">
        <v>10781</v>
      </c>
      <c r="D1017" s="10" t="s">
        <v>3629</v>
      </c>
      <c r="E1017" s="10" t="s">
        <v>3219</v>
      </c>
      <c r="F1017" s="10" t="s">
        <v>2628</v>
      </c>
      <c r="G1017" s="10" t="s">
        <v>32</v>
      </c>
      <c r="H1017" s="7" t="s">
        <v>24</v>
      </c>
      <c r="I1017" s="7" t="s">
        <v>25</v>
      </c>
      <c r="J1017" s="13" t="str">
        <f>HYPERLINK("https://www.airitibooks.com/Detail/Detail?PublicationID=P20190614016", "https://www.airitibooks.com/Detail/Detail?PublicationID=P20190614016")</f>
        <v>https://www.airitibooks.com/Detail/Detail?PublicationID=P20190614016</v>
      </c>
      <c r="K1017" s="13" t="str">
        <f>HYPERLINK("https://ntsu.idm.oclc.org/login?url=https://www.airitibooks.com/Detail/Detail?PublicationID=P20190614016", "https://ntsu.idm.oclc.org/login?url=https://www.airitibooks.com/Detail/Detail?PublicationID=P20190614016")</f>
        <v>https://ntsu.idm.oclc.org/login?url=https://www.airitibooks.com/Detail/Detail?PublicationID=P20190614016</v>
      </c>
    </row>
    <row r="1018" spans="1:11" ht="51" x14ac:dyDescent="0.4">
      <c r="A1018" s="10" t="s">
        <v>11703</v>
      </c>
      <c r="B1018" s="10" t="s">
        <v>11704</v>
      </c>
      <c r="C1018" s="10" t="s">
        <v>746</v>
      </c>
      <c r="D1018" s="10" t="s">
        <v>11705</v>
      </c>
      <c r="E1018" s="10" t="s">
        <v>3219</v>
      </c>
      <c r="F1018" s="10" t="s">
        <v>4823</v>
      </c>
      <c r="G1018" s="10" t="s">
        <v>32</v>
      </c>
      <c r="H1018" s="7" t="s">
        <v>24</v>
      </c>
      <c r="I1018" s="7" t="s">
        <v>25</v>
      </c>
      <c r="J1018" s="13" t="str">
        <f>HYPERLINK("https://www.airitibooks.com/Detail/Detail?PublicationID=P20190614195", "https://www.airitibooks.com/Detail/Detail?PublicationID=P20190614195")</f>
        <v>https://www.airitibooks.com/Detail/Detail?PublicationID=P20190614195</v>
      </c>
      <c r="K1018" s="13" t="str">
        <f>HYPERLINK("https://ntsu.idm.oclc.org/login?url=https://www.airitibooks.com/Detail/Detail?PublicationID=P20190614195", "https://ntsu.idm.oclc.org/login?url=https://www.airitibooks.com/Detail/Detail?PublicationID=P20190614195")</f>
        <v>https://ntsu.idm.oclc.org/login?url=https://www.airitibooks.com/Detail/Detail?PublicationID=P20190614195</v>
      </c>
    </row>
    <row r="1019" spans="1:11" ht="51" x14ac:dyDescent="0.4">
      <c r="A1019" s="10" t="s">
        <v>11770</v>
      </c>
      <c r="B1019" s="10" t="s">
        <v>11771</v>
      </c>
      <c r="C1019" s="10" t="s">
        <v>130</v>
      </c>
      <c r="D1019" s="10" t="s">
        <v>11772</v>
      </c>
      <c r="E1019" s="10" t="s">
        <v>3219</v>
      </c>
      <c r="F1019" s="10" t="s">
        <v>2937</v>
      </c>
      <c r="G1019" s="10" t="s">
        <v>32</v>
      </c>
      <c r="H1019" s="7" t="s">
        <v>24</v>
      </c>
      <c r="I1019" s="7" t="s">
        <v>25</v>
      </c>
      <c r="J1019" s="13" t="str">
        <f>HYPERLINK("https://www.airitibooks.com/Detail/Detail?PublicationID=P20190620028", "https://www.airitibooks.com/Detail/Detail?PublicationID=P20190620028")</f>
        <v>https://www.airitibooks.com/Detail/Detail?PublicationID=P20190620028</v>
      </c>
      <c r="K1019" s="13" t="str">
        <f>HYPERLINK("https://ntsu.idm.oclc.org/login?url=https://www.airitibooks.com/Detail/Detail?PublicationID=P20190620028", "https://ntsu.idm.oclc.org/login?url=https://www.airitibooks.com/Detail/Detail?PublicationID=P20190620028")</f>
        <v>https://ntsu.idm.oclc.org/login?url=https://www.airitibooks.com/Detail/Detail?PublicationID=P20190620028</v>
      </c>
    </row>
    <row r="1020" spans="1:11" ht="51" x14ac:dyDescent="0.4">
      <c r="A1020" s="10" t="s">
        <v>11773</v>
      </c>
      <c r="B1020" s="10" t="s">
        <v>11774</v>
      </c>
      <c r="C1020" s="10" t="s">
        <v>130</v>
      </c>
      <c r="D1020" s="10" t="s">
        <v>11772</v>
      </c>
      <c r="E1020" s="10" t="s">
        <v>3219</v>
      </c>
      <c r="F1020" s="10" t="s">
        <v>2937</v>
      </c>
      <c r="G1020" s="10" t="s">
        <v>32</v>
      </c>
      <c r="H1020" s="7" t="s">
        <v>24</v>
      </c>
      <c r="I1020" s="7" t="s">
        <v>25</v>
      </c>
      <c r="J1020" s="13" t="str">
        <f>HYPERLINK("https://www.airitibooks.com/Detail/Detail?PublicationID=P20190620029", "https://www.airitibooks.com/Detail/Detail?PublicationID=P20190620029")</f>
        <v>https://www.airitibooks.com/Detail/Detail?PublicationID=P20190620029</v>
      </c>
      <c r="K1020" s="13" t="str">
        <f>HYPERLINK("https://ntsu.idm.oclc.org/login?url=https://www.airitibooks.com/Detail/Detail?PublicationID=P20190620029", "https://ntsu.idm.oclc.org/login?url=https://www.airitibooks.com/Detail/Detail?PublicationID=P20190620029")</f>
        <v>https://ntsu.idm.oclc.org/login?url=https://www.airitibooks.com/Detail/Detail?PublicationID=P20190620029</v>
      </c>
    </row>
    <row r="1021" spans="1:11" ht="68" x14ac:dyDescent="0.4">
      <c r="A1021" s="10" t="s">
        <v>11780</v>
      </c>
      <c r="B1021" s="10" t="s">
        <v>11781</v>
      </c>
      <c r="C1021" s="10" t="s">
        <v>791</v>
      </c>
      <c r="D1021" s="10" t="s">
        <v>11782</v>
      </c>
      <c r="E1021" s="10" t="s">
        <v>3219</v>
      </c>
      <c r="F1021" s="10" t="s">
        <v>11783</v>
      </c>
      <c r="G1021" s="10" t="s">
        <v>32</v>
      </c>
      <c r="H1021" s="7" t="s">
        <v>24</v>
      </c>
      <c r="I1021" s="7" t="s">
        <v>25</v>
      </c>
      <c r="J1021" s="13" t="str">
        <f>HYPERLINK("https://www.airitibooks.com/Detail/Detail?PublicationID=P20190620045", "https://www.airitibooks.com/Detail/Detail?PublicationID=P20190620045")</f>
        <v>https://www.airitibooks.com/Detail/Detail?PublicationID=P20190620045</v>
      </c>
      <c r="K1021" s="13" t="str">
        <f>HYPERLINK("https://ntsu.idm.oclc.org/login?url=https://www.airitibooks.com/Detail/Detail?PublicationID=P20190620045", "https://ntsu.idm.oclc.org/login?url=https://www.airitibooks.com/Detail/Detail?PublicationID=P20190620045")</f>
        <v>https://ntsu.idm.oclc.org/login?url=https://www.airitibooks.com/Detail/Detail?PublicationID=P20190620045</v>
      </c>
    </row>
    <row r="1022" spans="1:11" ht="51" x14ac:dyDescent="0.4">
      <c r="A1022" s="10" t="s">
        <v>11819</v>
      </c>
      <c r="B1022" s="10" t="s">
        <v>11820</v>
      </c>
      <c r="C1022" s="10" t="s">
        <v>297</v>
      </c>
      <c r="D1022" s="10" t="s">
        <v>5695</v>
      </c>
      <c r="E1022" s="10" t="s">
        <v>3219</v>
      </c>
      <c r="F1022" s="10" t="s">
        <v>274</v>
      </c>
      <c r="G1022" s="10" t="s">
        <v>32</v>
      </c>
      <c r="H1022" s="7" t="s">
        <v>24</v>
      </c>
      <c r="I1022" s="7" t="s">
        <v>25</v>
      </c>
      <c r="J1022" s="13" t="str">
        <f>HYPERLINK("https://www.airitibooks.com/Detail/Detail?PublicationID=P20190620066", "https://www.airitibooks.com/Detail/Detail?PublicationID=P20190620066")</f>
        <v>https://www.airitibooks.com/Detail/Detail?PublicationID=P20190620066</v>
      </c>
      <c r="K1022" s="13" t="str">
        <f>HYPERLINK("https://ntsu.idm.oclc.org/login?url=https://www.airitibooks.com/Detail/Detail?PublicationID=P20190620066", "https://ntsu.idm.oclc.org/login?url=https://www.airitibooks.com/Detail/Detail?PublicationID=P20190620066")</f>
        <v>https://ntsu.idm.oclc.org/login?url=https://www.airitibooks.com/Detail/Detail?PublicationID=P20190620066</v>
      </c>
    </row>
    <row r="1023" spans="1:11" ht="51" x14ac:dyDescent="0.4">
      <c r="A1023" s="10" t="s">
        <v>11840</v>
      </c>
      <c r="B1023" s="10" t="s">
        <v>11841</v>
      </c>
      <c r="C1023" s="10" t="s">
        <v>212</v>
      </c>
      <c r="D1023" s="10" t="s">
        <v>213</v>
      </c>
      <c r="E1023" s="10" t="s">
        <v>3219</v>
      </c>
      <c r="F1023" s="10" t="s">
        <v>2110</v>
      </c>
      <c r="G1023" s="10" t="s">
        <v>32</v>
      </c>
      <c r="H1023" s="7" t="s">
        <v>24</v>
      </c>
      <c r="I1023" s="7" t="s">
        <v>25</v>
      </c>
      <c r="J1023" s="13" t="str">
        <f>HYPERLINK("https://www.airitibooks.com/Detail/Detail?PublicationID=P20190620076", "https://www.airitibooks.com/Detail/Detail?PublicationID=P20190620076")</f>
        <v>https://www.airitibooks.com/Detail/Detail?PublicationID=P20190620076</v>
      </c>
      <c r="K1023" s="13" t="str">
        <f>HYPERLINK("https://ntsu.idm.oclc.org/login?url=https://www.airitibooks.com/Detail/Detail?PublicationID=P20190620076", "https://ntsu.idm.oclc.org/login?url=https://www.airitibooks.com/Detail/Detail?PublicationID=P20190620076")</f>
        <v>https://ntsu.idm.oclc.org/login?url=https://www.airitibooks.com/Detail/Detail?PublicationID=P20190620076</v>
      </c>
    </row>
    <row r="1024" spans="1:11" ht="51" x14ac:dyDescent="0.4">
      <c r="A1024" s="10" t="s">
        <v>11915</v>
      </c>
      <c r="B1024" s="10" t="s">
        <v>11916</v>
      </c>
      <c r="C1024" s="10" t="s">
        <v>738</v>
      </c>
      <c r="D1024" s="10" t="s">
        <v>11917</v>
      </c>
      <c r="E1024" s="10" t="s">
        <v>3219</v>
      </c>
      <c r="F1024" s="10" t="s">
        <v>1005</v>
      </c>
      <c r="G1024" s="10" t="s">
        <v>32</v>
      </c>
      <c r="H1024" s="7" t="s">
        <v>24</v>
      </c>
      <c r="I1024" s="7" t="s">
        <v>25</v>
      </c>
      <c r="J1024" s="13" t="str">
        <f>HYPERLINK("https://www.airitibooks.com/Detail/Detail?PublicationID=P20190705016", "https://www.airitibooks.com/Detail/Detail?PublicationID=P20190705016")</f>
        <v>https://www.airitibooks.com/Detail/Detail?PublicationID=P20190705016</v>
      </c>
      <c r="K1024" s="13" t="str">
        <f>HYPERLINK("https://ntsu.idm.oclc.org/login?url=https://www.airitibooks.com/Detail/Detail?PublicationID=P20190705016", "https://ntsu.idm.oclc.org/login?url=https://www.airitibooks.com/Detail/Detail?PublicationID=P20190705016")</f>
        <v>https://ntsu.idm.oclc.org/login?url=https://www.airitibooks.com/Detail/Detail?PublicationID=P20190705016</v>
      </c>
    </row>
    <row r="1025" spans="1:11" ht="51" x14ac:dyDescent="0.4">
      <c r="A1025" s="10" t="s">
        <v>11937</v>
      </c>
      <c r="B1025" s="10" t="s">
        <v>11938</v>
      </c>
      <c r="C1025" s="10" t="s">
        <v>11905</v>
      </c>
      <c r="D1025" s="10" t="s">
        <v>11906</v>
      </c>
      <c r="E1025" s="10" t="s">
        <v>3219</v>
      </c>
      <c r="F1025" s="10" t="s">
        <v>181</v>
      </c>
      <c r="G1025" s="10" t="s">
        <v>32</v>
      </c>
      <c r="H1025" s="7" t="s">
        <v>1031</v>
      </c>
      <c r="I1025" s="7" t="s">
        <v>25</v>
      </c>
      <c r="J1025" s="13" t="str">
        <f>HYPERLINK("https://www.airitibooks.com/Detail/Detail?PublicationID=P20190705083", "https://www.airitibooks.com/Detail/Detail?PublicationID=P20190705083")</f>
        <v>https://www.airitibooks.com/Detail/Detail?PublicationID=P20190705083</v>
      </c>
      <c r="K1025" s="13" t="str">
        <f>HYPERLINK("https://ntsu.idm.oclc.org/login?url=https://www.airitibooks.com/Detail/Detail?PublicationID=P20190705083", "https://ntsu.idm.oclc.org/login?url=https://www.airitibooks.com/Detail/Detail?PublicationID=P20190705083")</f>
        <v>https://ntsu.idm.oclc.org/login?url=https://www.airitibooks.com/Detail/Detail?PublicationID=P20190705083</v>
      </c>
    </row>
    <row r="1026" spans="1:11" ht="102" x14ac:dyDescent="0.4">
      <c r="A1026" s="10" t="s">
        <v>11939</v>
      </c>
      <c r="B1026" s="10" t="s">
        <v>11940</v>
      </c>
      <c r="C1026" s="10" t="s">
        <v>938</v>
      </c>
      <c r="D1026" s="10" t="s">
        <v>6279</v>
      </c>
      <c r="E1026" s="10" t="s">
        <v>3219</v>
      </c>
      <c r="F1026" s="10" t="s">
        <v>1556</v>
      </c>
      <c r="G1026" s="10" t="s">
        <v>32</v>
      </c>
      <c r="H1026" s="7" t="s">
        <v>24</v>
      </c>
      <c r="I1026" s="7" t="s">
        <v>25</v>
      </c>
      <c r="J1026" s="13" t="str">
        <f>HYPERLINK("https://www.airitibooks.com/Detail/Detail?PublicationID=P20190711006", "https://www.airitibooks.com/Detail/Detail?PublicationID=P20190711006")</f>
        <v>https://www.airitibooks.com/Detail/Detail?PublicationID=P20190711006</v>
      </c>
      <c r="K1026" s="13" t="str">
        <f>HYPERLINK("https://ntsu.idm.oclc.org/login?url=https://www.airitibooks.com/Detail/Detail?PublicationID=P20190711006", "https://ntsu.idm.oclc.org/login?url=https://www.airitibooks.com/Detail/Detail?PublicationID=P20190711006")</f>
        <v>https://ntsu.idm.oclc.org/login?url=https://www.airitibooks.com/Detail/Detail?PublicationID=P20190711006</v>
      </c>
    </row>
    <row r="1027" spans="1:11" ht="85" x14ac:dyDescent="0.4">
      <c r="A1027" s="10" t="s">
        <v>11965</v>
      </c>
      <c r="B1027" s="10" t="s">
        <v>11966</v>
      </c>
      <c r="C1027" s="10" t="s">
        <v>108</v>
      </c>
      <c r="D1027" s="10" t="s">
        <v>11967</v>
      </c>
      <c r="E1027" s="10" t="s">
        <v>3219</v>
      </c>
      <c r="F1027" s="10" t="s">
        <v>8713</v>
      </c>
      <c r="G1027" s="10" t="s">
        <v>32</v>
      </c>
      <c r="H1027" s="7" t="s">
        <v>24</v>
      </c>
      <c r="I1027" s="7" t="s">
        <v>25</v>
      </c>
      <c r="J1027" s="13" t="str">
        <f>HYPERLINK("https://www.airitibooks.com/Detail/Detail?PublicationID=P20190718019", "https://www.airitibooks.com/Detail/Detail?PublicationID=P20190718019")</f>
        <v>https://www.airitibooks.com/Detail/Detail?PublicationID=P20190718019</v>
      </c>
      <c r="K1027" s="13" t="str">
        <f>HYPERLINK("https://ntsu.idm.oclc.org/login?url=https://www.airitibooks.com/Detail/Detail?PublicationID=P20190718019", "https://ntsu.idm.oclc.org/login?url=https://www.airitibooks.com/Detail/Detail?PublicationID=P20190718019")</f>
        <v>https://ntsu.idm.oclc.org/login?url=https://www.airitibooks.com/Detail/Detail?PublicationID=P20190718019</v>
      </c>
    </row>
    <row r="1028" spans="1:11" ht="85" x14ac:dyDescent="0.4">
      <c r="A1028" s="10" t="s">
        <v>11968</v>
      </c>
      <c r="B1028" s="10" t="s">
        <v>11969</v>
      </c>
      <c r="C1028" s="10" t="s">
        <v>108</v>
      </c>
      <c r="D1028" s="10" t="s">
        <v>11970</v>
      </c>
      <c r="E1028" s="10" t="s">
        <v>3219</v>
      </c>
      <c r="F1028" s="10" t="s">
        <v>1903</v>
      </c>
      <c r="G1028" s="10" t="s">
        <v>32</v>
      </c>
      <c r="H1028" s="7" t="s">
        <v>24</v>
      </c>
      <c r="I1028" s="7" t="s">
        <v>25</v>
      </c>
      <c r="J1028" s="13" t="str">
        <f>HYPERLINK("https://www.airitibooks.com/Detail/Detail?PublicationID=P20190718020", "https://www.airitibooks.com/Detail/Detail?PublicationID=P20190718020")</f>
        <v>https://www.airitibooks.com/Detail/Detail?PublicationID=P20190718020</v>
      </c>
      <c r="K1028" s="13" t="str">
        <f>HYPERLINK("https://ntsu.idm.oclc.org/login?url=https://www.airitibooks.com/Detail/Detail?PublicationID=P20190718020", "https://ntsu.idm.oclc.org/login?url=https://www.airitibooks.com/Detail/Detail?PublicationID=P20190718020")</f>
        <v>https://ntsu.idm.oclc.org/login?url=https://www.airitibooks.com/Detail/Detail?PublicationID=P20190718020</v>
      </c>
    </row>
    <row r="1029" spans="1:11" ht="85" x14ac:dyDescent="0.4">
      <c r="A1029" s="10" t="s">
        <v>11980</v>
      </c>
      <c r="B1029" s="10" t="s">
        <v>11981</v>
      </c>
      <c r="C1029" s="10" t="s">
        <v>791</v>
      </c>
      <c r="D1029" s="10" t="s">
        <v>11982</v>
      </c>
      <c r="E1029" s="10" t="s">
        <v>3219</v>
      </c>
      <c r="F1029" s="10" t="s">
        <v>274</v>
      </c>
      <c r="G1029" s="10" t="s">
        <v>32</v>
      </c>
      <c r="H1029" s="7" t="s">
        <v>24</v>
      </c>
      <c r="I1029" s="7" t="s">
        <v>25</v>
      </c>
      <c r="J1029" s="13" t="str">
        <f>HYPERLINK("https://www.airitibooks.com/Detail/Detail?PublicationID=P20190718033", "https://www.airitibooks.com/Detail/Detail?PublicationID=P20190718033")</f>
        <v>https://www.airitibooks.com/Detail/Detail?PublicationID=P20190718033</v>
      </c>
      <c r="K1029" s="13" t="str">
        <f>HYPERLINK("https://ntsu.idm.oclc.org/login?url=https://www.airitibooks.com/Detail/Detail?PublicationID=P20190718033", "https://ntsu.idm.oclc.org/login?url=https://www.airitibooks.com/Detail/Detail?PublicationID=P20190718033")</f>
        <v>https://ntsu.idm.oclc.org/login?url=https://www.airitibooks.com/Detail/Detail?PublicationID=P20190718033</v>
      </c>
    </row>
    <row r="1030" spans="1:11" ht="85" x14ac:dyDescent="0.4">
      <c r="A1030" s="10" t="s">
        <v>11983</v>
      </c>
      <c r="B1030" s="10" t="s">
        <v>11984</v>
      </c>
      <c r="C1030" s="10" t="s">
        <v>791</v>
      </c>
      <c r="D1030" s="10" t="s">
        <v>11985</v>
      </c>
      <c r="E1030" s="10" t="s">
        <v>3219</v>
      </c>
      <c r="F1030" s="10" t="s">
        <v>575</v>
      </c>
      <c r="G1030" s="10" t="s">
        <v>32</v>
      </c>
      <c r="H1030" s="7" t="s">
        <v>24</v>
      </c>
      <c r="I1030" s="7" t="s">
        <v>25</v>
      </c>
      <c r="J1030" s="13" t="str">
        <f>HYPERLINK("https://www.airitibooks.com/Detail/Detail?PublicationID=P20190718034", "https://www.airitibooks.com/Detail/Detail?PublicationID=P20190718034")</f>
        <v>https://www.airitibooks.com/Detail/Detail?PublicationID=P20190718034</v>
      </c>
      <c r="K1030" s="13" t="str">
        <f>HYPERLINK("https://ntsu.idm.oclc.org/login?url=https://www.airitibooks.com/Detail/Detail?PublicationID=P20190718034", "https://ntsu.idm.oclc.org/login?url=https://www.airitibooks.com/Detail/Detail?PublicationID=P20190718034")</f>
        <v>https://ntsu.idm.oclc.org/login?url=https://www.airitibooks.com/Detail/Detail?PublicationID=P20190718034</v>
      </c>
    </row>
    <row r="1031" spans="1:11" ht="51" x14ac:dyDescent="0.4">
      <c r="A1031" s="10" t="s">
        <v>12066</v>
      </c>
      <c r="B1031" s="10" t="s">
        <v>12067</v>
      </c>
      <c r="C1031" s="10" t="s">
        <v>746</v>
      </c>
      <c r="D1031" s="10" t="s">
        <v>12068</v>
      </c>
      <c r="E1031" s="10" t="s">
        <v>3219</v>
      </c>
      <c r="F1031" s="10" t="s">
        <v>185</v>
      </c>
      <c r="G1031" s="10" t="s">
        <v>32</v>
      </c>
      <c r="H1031" s="7" t="s">
        <v>24</v>
      </c>
      <c r="I1031" s="7" t="s">
        <v>25</v>
      </c>
      <c r="J1031" s="13" t="str">
        <f>HYPERLINK("https://www.airitibooks.com/Detail/Detail?PublicationID=P20190816093", "https://www.airitibooks.com/Detail/Detail?PublicationID=P20190816093")</f>
        <v>https://www.airitibooks.com/Detail/Detail?PublicationID=P20190816093</v>
      </c>
      <c r="K1031" s="13" t="str">
        <f>HYPERLINK("https://ntsu.idm.oclc.org/login?url=https://www.airitibooks.com/Detail/Detail?PublicationID=P20190816093", "https://ntsu.idm.oclc.org/login?url=https://www.airitibooks.com/Detail/Detail?PublicationID=P20190816093")</f>
        <v>https://ntsu.idm.oclc.org/login?url=https://www.airitibooks.com/Detail/Detail?PublicationID=P20190816093</v>
      </c>
    </row>
    <row r="1032" spans="1:11" ht="51" x14ac:dyDescent="0.4">
      <c r="A1032" s="10" t="s">
        <v>12080</v>
      </c>
      <c r="B1032" s="10" t="s">
        <v>12081</v>
      </c>
      <c r="C1032" s="10" t="s">
        <v>746</v>
      </c>
      <c r="D1032" s="10" t="s">
        <v>12082</v>
      </c>
      <c r="E1032" s="10" t="s">
        <v>3219</v>
      </c>
      <c r="F1032" s="10" t="s">
        <v>3371</v>
      </c>
      <c r="G1032" s="10" t="s">
        <v>32</v>
      </c>
      <c r="H1032" s="7" t="s">
        <v>24</v>
      </c>
      <c r="I1032" s="7" t="s">
        <v>25</v>
      </c>
      <c r="J1032" s="13" t="str">
        <f>HYPERLINK("https://www.airitibooks.com/Detail/Detail?PublicationID=P20190816097", "https://www.airitibooks.com/Detail/Detail?PublicationID=P20190816097")</f>
        <v>https://www.airitibooks.com/Detail/Detail?PublicationID=P20190816097</v>
      </c>
      <c r="K1032" s="13" t="str">
        <f>HYPERLINK("https://ntsu.idm.oclc.org/login?url=https://www.airitibooks.com/Detail/Detail?PublicationID=P20190816097", "https://ntsu.idm.oclc.org/login?url=https://www.airitibooks.com/Detail/Detail?PublicationID=P20190816097")</f>
        <v>https://ntsu.idm.oclc.org/login?url=https://www.airitibooks.com/Detail/Detail?PublicationID=P20190816097</v>
      </c>
    </row>
    <row r="1033" spans="1:11" ht="51" x14ac:dyDescent="0.4">
      <c r="A1033" s="10" t="s">
        <v>12090</v>
      </c>
      <c r="B1033" s="10" t="s">
        <v>12091</v>
      </c>
      <c r="C1033" s="10" t="s">
        <v>746</v>
      </c>
      <c r="D1033" s="10" t="s">
        <v>12092</v>
      </c>
      <c r="E1033" s="10" t="s">
        <v>3219</v>
      </c>
      <c r="F1033" s="10" t="s">
        <v>42</v>
      </c>
      <c r="G1033" s="10" t="s">
        <v>32</v>
      </c>
      <c r="H1033" s="7" t="s">
        <v>24</v>
      </c>
      <c r="I1033" s="7" t="s">
        <v>25</v>
      </c>
      <c r="J1033" s="13" t="str">
        <f>HYPERLINK("https://www.airitibooks.com/Detail/Detail?PublicationID=P20190816100", "https://www.airitibooks.com/Detail/Detail?PublicationID=P20190816100")</f>
        <v>https://www.airitibooks.com/Detail/Detail?PublicationID=P20190816100</v>
      </c>
      <c r="K1033" s="13" t="str">
        <f>HYPERLINK("https://ntsu.idm.oclc.org/login?url=https://www.airitibooks.com/Detail/Detail?PublicationID=P20190816100", "https://ntsu.idm.oclc.org/login?url=https://www.airitibooks.com/Detail/Detail?PublicationID=P20190816100")</f>
        <v>https://ntsu.idm.oclc.org/login?url=https://www.airitibooks.com/Detail/Detail?PublicationID=P20190816100</v>
      </c>
    </row>
    <row r="1034" spans="1:11" ht="102" x14ac:dyDescent="0.4">
      <c r="A1034" s="10" t="s">
        <v>12152</v>
      </c>
      <c r="B1034" s="10" t="s">
        <v>12153</v>
      </c>
      <c r="C1034" s="10" t="s">
        <v>12154</v>
      </c>
      <c r="D1034" s="10" t="s">
        <v>6160</v>
      </c>
      <c r="E1034" s="10" t="s">
        <v>3219</v>
      </c>
      <c r="F1034" s="10" t="s">
        <v>1657</v>
      </c>
      <c r="G1034" s="10" t="s">
        <v>32</v>
      </c>
      <c r="H1034" s="7" t="s">
        <v>24</v>
      </c>
      <c r="I1034" s="7" t="s">
        <v>25</v>
      </c>
      <c r="J1034" s="13" t="str">
        <f>HYPERLINK("https://www.airitibooks.com/Detail/Detail?PublicationID=P20190816270", "https://www.airitibooks.com/Detail/Detail?PublicationID=P20190816270")</f>
        <v>https://www.airitibooks.com/Detail/Detail?PublicationID=P20190816270</v>
      </c>
      <c r="K1034" s="13" t="str">
        <f>HYPERLINK("https://ntsu.idm.oclc.org/login?url=https://www.airitibooks.com/Detail/Detail?PublicationID=P20190816270", "https://ntsu.idm.oclc.org/login?url=https://www.airitibooks.com/Detail/Detail?PublicationID=P20190816270")</f>
        <v>https://ntsu.idm.oclc.org/login?url=https://www.airitibooks.com/Detail/Detail?PublicationID=P20190816270</v>
      </c>
    </row>
    <row r="1035" spans="1:11" ht="102" x14ac:dyDescent="0.4">
      <c r="A1035" s="10" t="s">
        <v>12193</v>
      </c>
      <c r="B1035" s="10" t="s">
        <v>12194</v>
      </c>
      <c r="C1035" s="10" t="s">
        <v>11995</v>
      </c>
      <c r="D1035" s="10" t="s">
        <v>12195</v>
      </c>
      <c r="E1035" s="10" t="s">
        <v>3219</v>
      </c>
      <c r="F1035" s="10" t="s">
        <v>3985</v>
      </c>
      <c r="G1035" s="10" t="s">
        <v>32</v>
      </c>
      <c r="H1035" s="7" t="s">
        <v>24</v>
      </c>
      <c r="I1035" s="7" t="s">
        <v>25</v>
      </c>
      <c r="J1035" s="13" t="str">
        <f>HYPERLINK("https://www.airitibooks.com/Detail/Detail?PublicationID=P20190830001", "https://www.airitibooks.com/Detail/Detail?PublicationID=P20190830001")</f>
        <v>https://www.airitibooks.com/Detail/Detail?PublicationID=P20190830001</v>
      </c>
      <c r="K1035" s="13" t="str">
        <f>HYPERLINK("https://ntsu.idm.oclc.org/login?url=https://www.airitibooks.com/Detail/Detail?PublicationID=P20190830001", "https://ntsu.idm.oclc.org/login?url=https://www.airitibooks.com/Detail/Detail?PublicationID=P20190830001")</f>
        <v>https://ntsu.idm.oclc.org/login?url=https://www.airitibooks.com/Detail/Detail?PublicationID=P20190830001</v>
      </c>
    </row>
    <row r="1036" spans="1:11" ht="102" x14ac:dyDescent="0.4">
      <c r="A1036" s="10" t="s">
        <v>12209</v>
      </c>
      <c r="B1036" s="10" t="s">
        <v>12210</v>
      </c>
      <c r="C1036" s="10" t="s">
        <v>108</v>
      </c>
      <c r="D1036" s="10" t="s">
        <v>12211</v>
      </c>
      <c r="E1036" s="10" t="s">
        <v>3219</v>
      </c>
      <c r="F1036" s="10" t="s">
        <v>12212</v>
      </c>
      <c r="G1036" s="10" t="s">
        <v>32</v>
      </c>
      <c r="H1036" s="7" t="s">
        <v>24</v>
      </c>
      <c r="I1036" s="7" t="s">
        <v>25</v>
      </c>
      <c r="J1036" s="13" t="str">
        <f>HYPERLINK("https://www.airitibooks.com/Detail/Detail?PublicationID=P20190905009", "https://www.airitibooks.com/Detail/Detail?PublicationID=P20190905009")</f>
        <v>https://www.airitibooks.com/Detail/Detail?PublicationID=P20190905009</v>
      </c>
      <c r="K1036" s="13" t="str">
        <f>HYPERLINK("https://ntsu.idm.oclc.org/login?url=https://www.airitibooks.com/Detail/Detail?PublicationID=P20190905009", "https://ntsu.idm.oclc.org/login?url=https://www.airitibooks.com/Detail/Detail?PublicationID=P20190905009")</f>
        <v>https://ntsu.idm.oclc.org/login?url=https://www.airitibooks.com/Detail/Detail?PublicationID=P20190905009</v>
      </c>
    </row>
    <row r="1037" spans="1:11" ht="51" x14ac:dyDescent="0.4">
      <c r="A1037" s="10" t="s">
        <v>12296</v>
      </c>
      <c r="B1037" s="10" t="s">
        <v>12297</v>
      </c>
      <c r="C1037" s="10" t="s">
        <v>428</v>
      </c>
      <c r="D1037" s="10" t="s">
        <v>12298</v>
      </c>
      <c r="E1037" s="10" t="s">
        <v>3219</v>
      </c>
      <c r="F1037" s="10" t="s">
        <v>1941</v>
      </c>
      <c r="G1037" s="10" t="s">
        <v>32</v>
      </c>
      <c r="H1037" s="7" t="s">
        <v>24</v>
      </c>
      <c r="I1037" s="7" t="s">
        <v>25</v>
      </c>
      <c r="J1037" s="13" t="str">
        <f>HYPERLINK("https://www.airitibooks.com/Detail/Detail?PublicationID=P20190920092", "https://www.airitibooks.com/Detail/Detail?PublicationID=P20190920092")</f>
        <v>https://www.airitibooks.com/Detail/Detail?PublicationID=P20190920092</v>
      </c>
      <c r="K1037" s="13" t="str">
        <f>HYPERLINK("https://ntsu.idm.oclc.org/login?url=https://www.airitibooks.com/Detail/Detail?PublicationID=P20190920092", "https://ntsu.idm.oclc.org/login?url=https://www.airitibooks.com/Detail/Detail?PublicationID=P20190920092")</f>
        <v>https://ntsu.idm.oclc.org/login?url=https://www.airitibooks.com/Detail/Detail?PublicationID=P20190920092</v>
      </c>
    </row>
    <row r="1038" spans="1:11" ht="51" x14ac:dyDescent="0.4">
      <c r="A1038" s="10" t="s">
        <v>12299</v>
      </c>
      <c r="B1038" s="10" t="s">
        <v>12300</v>
      </c>
      <c r="C1038" s="10" t="s">
        <v>428</v>
      </c>
      <c r="D1038" s="10" t="s">
        <v>12301</v>
      </c>
      <c r="E1038" s="10" t="s">
        <v>3219</v>
      </c>
      <c r="F1038" s="10" t="s">
        <v>1941</v>
      </c>
      <c r="G1038" s="10" t="s">
        <v>32</v>
      </c>
      <c r="H1038" s="7" t="s">
        <v>24</v>
      </c>
      <c r="I1038" s="7" t="s">
        <v>25</v>
      </c>
      <c r="J1038" s="13" t="str">
        <f>HYPERLINK("https://www.airitibooks.com/Detail/Detail?PublicationID=P20190920093", "https://www.airitibooks.com/Detail/Detail?PublicationID=P20190920093")</f>
        <v>https://www.airitibooks.com/Detail/Detail?PublicationID=P20190920093</v>
      </c>
      <c r="K1038" s="13" t="str">
        <f>HYPERLINK("https://ntsu.idm.oclc.org/login?url=https://www.airitibooks.com/Detail/Detail?PublicationID=P20190920093", "https://ntsu.idm.oclc.org/login?url=https://www.airitibooks.com/Detail/Detail?PublicationID=P20190920093")</f>
        <v>https://ntsu.idm.oclc.org/login?url=https://www.airitibooks.com/Detail/Detail?PublicationID=P20190920093</v>
      </c>
    </row>
    <row r="1039" spans="1:11" ht="51" x14ac:dyDescent="0.4">
      <c r="A1039" s="10" t="s">
        <v>12317</v>
      </c>
      <c r="B1039" s="10" t="s">
        <v>12318</v>
      </c>
      <c r="C1039" s="10" t="s">
        <v>297</v>
      </c>
      <c r="D1039" s="10" t="s">
        <v>12319</v>
      </c>
      <c r="E1039" s="10" t="s">
        <v>3219</v>
      </c>
      <c r="F1039" s="10" t="s">
        <v>1941</v>
      </c>
      <c r="G1039" s="10" t="s">
        <v>32</v>
      </c>
      <c r="H1039" s="7" t="s">
        <v>24</v>
      </c>
      <c r="I1039" s="7" t="s">
        <v>25</v>
      </c>
      <c r="J1039" s="13" t="str">
        <f>HYPERLINK("https://www.airitibooks.com/Detail/Detail?PublicationID=P20190920104", "https://www.airitibooks.com/Detail/Detail?PublicationID=P20190920104")</f>
        <v>https://www.airitibooks.com/Detail/Detail?PublicationID=P20190920104</v>
      </c>
      <c r="K1039" s="13" t="str">
        <f>HYPERLINK("https://ntsu.idm.oclc.org/login?url=https://www.airitibooks.com/Detail/Detail?PublicationID=P20190920104", "https://ntsu.idm.oclc.org/login?url=https://www.airitibooks.com/Detail/Detail?PublicationID=P20190920104")</f>
        <v>https://ntsu.idm.oclc.org/login?url=https://www.airitibooks.com/Detail/Detail?PublicationID=P20190920104</v>
      </c>
    </row>
    <row r="1040" spans="1:11" ht="51" x14ac:dyDescent="0.4">
      <c r="A1040" s="10" t="s">
        <v>12323</v>
      </c>
      <c r="B1040" s="10" t="s">
        <v>12324</v>
      </c>
      <c r="C1040" s="10" t="s">
        <v>297</v>
      </c>
      <c r="D1040" s="10" t="s">
        <v>12325</v>
      </c>
      <c r="E1040" s="10" t="s">
        <v>3219</v>
      </c>
      <c r="F1040" s="10" t="s">
        <v>181</v>
      </c>
      <c r="G1040" s="10" t="s">
        <v>32</v>
      </c>
      <c r="H1040" s="7" t="s">
        <v>24</v>
      </c>
      <c r="I1040" s="7" t="s">
        <v>25</v>
      </c>
      <c r="J1040" s="13" t="str">
        <f>HYPERLINK("https://www.airitibooks.com/Detail/Detail?PublicationID=P20190920106", "https://www.airitibooks.com/Detail/Detail?PublicationID=P20190920106")</f>
        <v>https://www.airitibooks.com/Detail/Detail?PublicationID=P20190920106</v>
      </c>
      <c r="K1040" s="13" t="str">
        <f>HYPERLINK("https://ntsu.idm.oclc.org/login?url=https://www.airitibooks.com/Detail/Detail?PublicationID=P20190920106", "https://ntsu.idm.oclc.org/login?url=https://www.airitibooks.com/Detail/Detail?PublicationID=P20190920106")</f>
        <v>https://ntsu.idm.oclc.org/login?url=https://www.airitibooks.com/Detail/Detail?PublicationID=P20190920106</v>
      </c>
    </row>
    <row r="1041" spans="1:11" ht="85" x14ac:dyDescent="0.4">
      <c r="A1041" s="10" t="s">
        <v>12351</v>
      </c>
      <c r="B1041" s="10" t="s">
        <v>12352</v>
      </c>
      <c r="C1041" s="10" t="s">
        <v>12154</v>
      </c>
      <c r="D1041" s="10" t="s">
        <v>12353</v>
      </c>
      <c r="E1041" s="10" t="s">
        <v>3219</v>
      </c>
      <c r="F1041" s="10" t="s">
        <v>12354</v>
      </c>
      <c r="G1041" s="10" t="s">
        <v>32</v>
      </c>
      <c r="H1041" s="7" t="s">
        <v>24</v>
      </c>
      <c r="I1041" s="7" t="s">
        <v>25</v>
      </c>
      <c r="J1041" s="13" t="str">
        <f>HYPERLINK("https://www.airitibooks.com/Detail/Detail?PublicationID=P20190920202", "https://www.airitibooks.com/Detail/Detail?PublicationID=P20190920202")</f>
        <v>https://www.airitibooks.com/Detail/Detail?PublicationID=P20190920202</v>
      </c>
      <c r="K1041" s="13" t="str">
        <f>HYPERLINK("https://ntsu.idm.oclc.org/login?url=https://www.airitibooks.com/Detail/Detail?PublicationID=P20190920202", "https://ntsu.idm.oclc.org/login?url=https://www.airitibooks.com/Detail/Detail?PublicationID=P20190920202")</f>
        <v>https://ntsu.idm.oclc.org/login?url=https://www.airitibooks.com/Detail/Detail?PublicationID=P20190920202</v>
      </c>
    </row>
    <row r="1042" spans="1:11" ht="102" x14ac:dyDescent="0.4">
      <c r="A1042" s="10" t="s">
        <v>12358</v>
      </c>
      <c r="B1042" s="10" t="s">
        <v>12359</v>
      </c>
      <c r="C1042" s="10" t="s">
        <v>12154</v>
      </c>
      <c r="D1042" s="10" t="s">
        <v>12360</v>
      </c>
      <c r="E1042" s="10" t="s">
        <v>3219</v>
      </c>
      <c r="F1042" s="10" t="s">
        <v>1657</v>
      </c>
      <c r="G1042" s="10" t="s">
        <v>32</v>
      </c>
      <c r="H1042" s="7" t="s">
        <v>24</v>
      </c>
      <c r="I1042" s="7" t="s">
        <v>25</v>
      </c>
      <c r="J1042" s="13" t="str">
        <f>HYPERLINK("https://www.airitibooks.com/Detail/Detail?PublicationID=P20190920204", "https://www.airitibooks.com/Detail/Detail?PublicationID=P20190920204")</f>
        <v>https://www.airitibooks.com/Detail/Detail?PublicationID=P20190920204</v>
      </c>
      <c r="K1042" s="13" t="str">
        <f>HYPERLINK("https://ntsu.idm.oclc.org/login?url=https://www.airitibooks.com/Detail/Detail?PublicationID=P20190920204", "https://ntsu.idm.oclc.org/login?url=https://www.airitibooks.com/Detail/Detail?PublicationID=P20190920204")</f>
        <v>https://ntsu.idm.oclc.org/login?url=https://www.airitibooks.com/Detail/Detail?PublicationID=P20190920204</v>
      </c>
    </row>
    <row r="1043" spans="1:11" ht="51" x14ac:dyDescent="0.4">
      <c r="A1043" s="10" t="s">
        <v>12382</v>
      </c>
      <c r="B1043" s="10" t="s">
        <v>12383</v>
      </c>
      <c r="C1043" s="10" t="s">
        <v>3798</v>
      </c>
      <c r="D1043" s="10" t="s">
        <v>12384</v>
      </c>
      <c r="E1043" s="10" t="s">
        <v>3219</v>
      </c>
      <c r="F1043" s="10" t="s">
        <v>42</v>
      </c>
      <c r="G1043" s="10" t="s">
        <v>32</v>
      </c>
      <c r="H1043" s="7" t="s">
        <v>24</v>
      </c>
      <c r="I1043" s="7" t="s">
        <v>25</v>
      </c>
      <c r="J1043" s="13" t="str">
        <f>HYPERLINK("https://www.airitibooks.com/Detail/Detail?PublicationID=P20190927212", "https://www.airitibooks.com/Detail/Detail?PublicationID=P20190927212")</f>
        <v>https://www.airitibooks.com/Detail/Detail?PublicationID=P20190927212</v>
      </c>
      <c r="K1043" s="13" t="str">
        <f>HYPERLINK("https://ntsu.idm.oclc.org/login?url=https://www.airitibooks.com/Detail/Detail?PublicationID=P20190927212", "https://ntsu.idm.oclc.org/login?url=https://www.airitibooks.com/Detail/Detail?PublicationID=P20190927212")</f>
        <v>https://ntsu.idm.oclc.org/login?url=https://www.airitibooks.com/Detail/Detail?PublicationID=P20190927212</v>
      </c>
    </row>
    <row r="1044" spans="1:11" ht="85" x14ac:dyDescent="0.4">
      <c r="A1044" s="10" t="s">
        <v>12385</v>
      </c>
      <c r="B1044" s="10" t="s">
        <v>12386</v>
      </c>
      <c r="C1044" s="10" t="s">
        <v>3798</v>
      </c>
      <c r="D1044" s="10" t="s">
        <v>12387</v>
      </c>
      <c r="E1044" s="10" t="s">
        <v>3219</v>
      </c>
      <c r="F1044" s="10" t="s">
        <v>2870</v>
      </c>
      <c r="G1044" s="10" t="s">
        <v>32</v>
      </c>
      <c r="H1044" s="7" t="s">
        <v>24</v>
      </c>
      <c r="I1044" s="7" t="s">
        <v>25</v>
      </c>
      <c r="J1044" s="13" t="str">
        <f>HYPERLINK("https://www.airitibooks.com/Detail/Detail?PublicationID=P20190927213", "https://www.airitibooks.com/Detail/Detail?PublicationID=P20190927213")</f>
        <v>https://www.airitibooks.com/Detail/Detail?PublicationID=P20190927213</v>
      </c>
      <c r="K1044" s="13" t="str">
        <f>HYPERLINK("https://ntsu.idm.oclc.org/login?url=https://www.airitibooks.com/Detail/Detail?PublicationID=P20190927213", "https://ntsu.idm.oclc.org/login?url=https://www.airitibooks.com/Detail/Detail?PublicationID=P20190927213")</f>
        <v>https://ntsu.idm.oclc.org/login?url=https://www.airitibooks.com/Detail/Detail?PublicationID=P20190927213</v>
      </c>
    </row>
    <row r="1045" spans="1:11" ht="51" x14ac:dyDescent="0.4">
      <c r="A1045" s="10" t="s">
        <v>12413</v>
      </c>
      <c r="B1045" s="10" t="s">
        <v>12414</v>
      </c>
      <c r="C1045" s="10" t="s">
        <v>10384</v>
      </c>
      <c r="D1045" s="10" t="s">
        <v>12415</v>
      </c>
      <c r="E1045" s="10" t="s">
        <v>3219</v>
      </c>
      <c r="F1045" s="10" t="s">
        <v>12416</v>
      </c>
      <c r="G1045" s="10" t="s">
        <v>32</v>
      </c>
      <c r="H1045" s="7" t="s">
        <v>24</v>
      </c>
      <c r="I1045" s="7" t="s">
        <v>25</v>
      </c>
      <c r="J1045" s="13" t="str">
        <f>HYPERLINK("https://www.airitibooks.com/Detail/Detail?PublicationID=P20190927248", "https://www.airitibooks.com/Detail/Detail?PublicationID=P20190927248")</f>
        <v>https://www.airitibooks.com/Detail/Detail?PublicationID=P20190927248</v>
      </c>
      <c r="K1045" s="13" t="str">
        <f>HYPERLINK("https://ntsu.idm.oclc.org/login?url=https://www.airitibooks.com/Detail/Detail?PublicationID=P20190927248", "https://ntsu.idm.oclc.org/login?url=https://www.airitibooks.com/Detail/Detail?PublicationID=P20190927248")</f>
        <v>https://ntsu.idm.oclc.org/login?url=https://www.airitibooks.com/Detail/Detail?PublicationID=P20190927248</v>
      </c>
    </row>
    <row r="1046" spans="1:11" ht="68" x14ac:dyDescent="0.4">
      <c r="A1046" s="10" t="s">
        <v>12457</v>
      </c>
      <c r="B1046" s="10" t="s">
        <v>12458</v>
      </c>
      <c r="C1046" s="10" t="s">
        <v>1296</v>
      </c>
      <c r="D1046" s="10" t="s">
        <v>12441</v>
      </c>
      <c r="E1046" s="10" t="s">
        <v>3219</v>
      </c>
      <c r="F1046" s="10" t="s">
        <v>2369</v>
      </c>
      <c r="G1046" s="10" t="s">
        <v>32</v>
      </c>
      <c r="H1046" s="7" t="s">
        <v>24</v>
      </c>
      <c r="I1046" s="7" t="s">
        <v>25</v>
      </c>
      <c r="J1046" s="13" t="str">
        <f>HYPERLINK("https://www.airitibooks.com/Detail/Detail?PublicationID=P20190927278", "https://www.airitibooks.com/Detail/Detail?PublicationID=P20190927278")</f>
        <v>https://www.airitibooks.com/Detail/Detail?PublicationID=P20190927278</v>
      </c>
      <c r="K1046" s="13" t="str">
        <f>HYPERLINK("https://ntsu.idm.oclc.org/login?url=https://www.airitibooks.com/Detail/Detail?PublicationID=P20190927278", "https://ntsu.idm.oclc.org/login?url=https://www.airitibooks.com/Detail/Detail?PublicationID=P20190927278")</f>
        <v>https://ntsu.idm.oclc.org/login?url=https://www.airitibooks.com/Detail/Detail?PublicationID=P20190927278</v>
      </c>
    </row>
    <row r="1047" spans="1:11" ht="51" x14ac:dyDescent="0.4">
      <c r="A1047" s="10" t="s">
        <v>12459</v>
      </c>
      <c r="B1047" s="10" t="s">
        <v>12460</v>
      </c>
      <c r="C1047" s="10" t="s">
        <v>12461</v>
      </c>
      <c r="D1047" s="10" t="s">
        <v>12462</v>
      </c>
      <c r="E1047" s="10" t="s">
        <v>3219</v>
      </c>
      <c r="F1047" s="10" t="s">
        <v>3639</v>
      </c>
      <c r="G1047" s="10" t="s">
        <v>32</v>
      </c>
      <c r="H1047" s="7" t="s">
        <v>24</v>
      </c>
      <c r="I1047" s="7" t="s">
        <v>25</v>
      </c>
      <c r="J1047" s="13" t="str">
        <f>HYPERLINK("https://www.airitibooks.com/Detail/Detail?PublicationID=P20190927479", "https://www.airitibooks.com/Detail/Detail?PublicationID=P20190927479")</f>
        <v>https://www.airitibooks.com/Detail/Detail?PublicationID=P20190927479</v>
      </c>
      <c r="K1047" s="13" t="str">
        <f>HYPERLINK("https://ntsu.idm.oclc.org/login?url=https://www.airitibooks.com/Detail/Detail?PublicationID=P20190927479", "https://ntsu.idm.oclc.org/login?url=https://www.airitibooks.com/Detail/Detail?PublicationID=P20190927479")</f>
        <v>https://ntsu.idm.oclc.org/login?url=https://www.airitibooks.com/Detail/Detail?PublicationID=P20190927479</v>
      </c>
    </row>
    <row r="1048" spans="1:11" ht="51" x14ac:dyDescent="0.4">
      <c r="A1048" s="10" t="s">
        <v>12463</v>
      </c>
      <c r="B1048" s="10" t="s">
        <v>12464</v>
      </c>
      <c r="C1048" s="10" t="s">
        <v>12461</v>
      </c>
      <c r="D1048" s="10" t="s">
        <v>12465</v>
      </c>
      <c r="E1048" s="10" t="s">
        <v>3219</v>
      </c>
      <c r="F1048" s="10" t="s">
        <v>12466</v>
      </c>
      <c r="G1048" s="10" t="s">
        <v>32</v>
      </c>
      <c r="H1048" s="7" t="s">
        <v>24</v>
      </c>
      <c r="I1048" s="7" t="s">
        <v>25</v>
      </c>
      <c r="J1048" s="13" t="str">
        <f>HYPERLINK("https://www.airitibooks.com/Detail/Detail?PublicationID=P20190927483", "https://www.airitibooks.com/Detail/Detail?PublicationID=P20190927483")</f>
        <v>https://www.airitibooks.com/Detail/Detail?PublicationID=P20190927483</v>
      </c>
      <c r="K1048" s="13" t="str">
        <f>HYPERLINK("https://ntsu.idm.oclc.org/login?url=https://www.airitibooks.com/Detail/Detail?PublicationID=P20190927483", "https://ntsu.idm.oclc.org/login?url=https://www.airitibooks.com/Detail/Detail?PublicationID=P20190927483")</f>
        <v>https://ntsu.idm.oclc.org/login?url=https://www.airitibooks.com/Detail/Detail?PublicationID=P20190927483</v>
      </c>
    </row>
    <row r="1049" spans="1:11" ht="85" x14ac:dyDescent="0.4">
      <c r="A1049" s="10" t="s">
        <v>12539</v>
      </c>
      <c r="B1049" s="10" t="s">
        <v>12540</v>
      </c>
      <c r="C1049" s="10" t="s">
        <v>9514</v>
      </c>
      <c r="D1049" s="10" t="s">
        <v>12541</v>
      </c>
      <c r="E1049" s="10" t="s">
        <v>3219</v>
      </c>
      <c r="F1049" s="10" t="s">
        <v>9544</v>
      </c>
      <c r="G1049" s="10" t="s">
        <v>32</v>
      </c>
      <c r="H1049" s="7" t="s">
        <v>24</v>
      </c>
      <c r="I1049" s="7" t="s">
        <v>25</v>
      </c>
      <c r="J1049" s="13" t="str">
        <f>HYPERLINK("https://www.airitibooks.com/Detail/Detail?PublicationID=P20191009020", "https://www.airitibooks.com/Detail/Detail?PublicationID=P20191009020")</f>
        <v>https://www.airitibooks.com/Detail/Detail?PublicationID=P20191009020</v>
      </c>
      <c r="K1049" s="13" t="str">
        <f>HYPERLINK("https://ntsu.idm.oclc.org/login?url=https://www.airitibooks.com/Detail/Detail?PublicationID=P20191009020", "https://ntsu.idm.oclc.org/login?url=https://www.airitibooks.com/Detail/Detail?PublicationID=P20191009020")</f>
        <v>https://ntsu.idm.oclc.org/login?url=https://www.airitibooks.com/Detail/Detail?PublicationID=P20191009020</v>
      </c>
    </row>
    <row r="1050" spans="1:11" ht="85" x14ac:dyDescent="0.4">
      <c r="A1050" s="10" t="s">
        <v>12542</v>
      </c>
      <c r="B1050" s="10" t="s">
        <v>12543</v>
      </c>
      <c r="C1050" s="10" t="s">
        <v>9514</v>
      </c>
      <c r="D1050" s="10" t="s">
        <v>12541</v>
      </c>
      <c r="E1050" s="10" t="s">
        <v>3219</v>
      </c>
      <c r="F1050" s="10" t="s">
        <v>9544</v>
      </c>
      <c r="G1050" s="10" t="s">
        <v>32</v>
      </c>
      <c r="H1050" s="7" t="s">
        <v>24</v>
      </c>
      <c r="I1050" s="7" t="s">
        <v>25</v>
      </c>
      <c r="J1050" s="13" t="str">
        <f>HYPERLINK("https://www.airitibooks.com/Detail/Detail?PublicationID=P20191009021", "https://www.airitibooks.com/Detail/Detail?PublicationID=P20191009021")</f>
        <v>https://www.airitibooks.com/Detail/Detail?PublicationID=P20191009021</v>
      </c>
      <c r="K1050" s="13" t="str">
        <f>HYPERLINK("https://ntsu.idm.oclc.org/login?url=https://www.airitibooks.com/Detail/Detail?PublicationID=P20191009021", "https://ntsu.idm.oclc.org/login?url=https://www.airitibooks.com/Detail/Detail?PublicationID=P20191009021")</f>
        <v>https://ntsu.idm.oclc.org/login?url=https://www.airitibooks.com/Detail/Detail?PublicationID=P20191009021</v>
      </c>
    </row>
    <row r="1051" spans="1:11" ht="51" x14ac:dyDescent="0.4">
      <c r="A1051" s="10" t="s">
        <v>12614</v>
      </c>
      <c r="B1051" s="10" t="s">
        <v>12615</v>
      </c>
      <c r="C1051" s="10" t="s">
        <v>197</v>
      </c>
      <c r="D1051" s="10" t="s">
        <v>12616</v>
      </c>
      <c r="E1051" s="10" t="s">
        <v>3219</v>
      </c>
      <c r="F1051" s="10" t="s">
        <v>987</v>
      </c>
      <c r="G1051" s="10" t="s">
        <v>32</v>
      </c>
      <c r="H1051" s="7" t="s">
        <v>24</v>
      </c>
      <c r="I1051" s="7" t="s">
        <v>25</v>
      </c>
      <c r="J1051" s="13" t="str">
        <f>HYPERLINK("https://www.airitibooks.com/Detail/Detail?PublicationID=P20191017011", "https://www.airitibooks.com/Detail/Detail?PublicationID=P20191017011")</f>
        <v>https://www.airitibooks.com/Detail/Detail?PublicationID=P20191017011</v>
      </c>
      <c r="K1051" s="13" t="str">
        <f>HYPERLINK("https://ntsu.idm.oclc.org/login?url=https://www.airitibooks.com/Detail/Detail?PublicationID=P20191017011", "https://ntsu.idm.oclc.org/login?url=https://www.airitibooks.com/Detail/Detail?PublicationID=P20191017011")</f>
        <v>https://ntsu.idm.oclc.org/login?url=https://www.airitibooks.com/Detail/Detail?PublicationID=P20191017011</v>
      </c>
    </row>
    <row r="1052" spans="1:11" ht="51" x14ac:dyDescent="0.4">
      <c r="A1052" s="10" t="s">
        <v>12617</v>
      </c>
      <c r="B1052" s="10" t="s">
        <v>12618</v>
      </c>
      <c r="C1052" s="10" t="s">
        <v>11995</v>
      </c>
      <c r="D1052" s="10" t="s">
        <v>12619</v>
      </c>
      <c r="E1052" s="10" t="s">
        <v>3219</v>
      </c>
      <c r="F1052" s="10" t="s">
        <v>12620</v>
      </c>
      <c r="G1052" s="10" t="s">
        <v>32</v>
      </c>
      <c r="H1052" s="7" t="s">
        <v>24</v>
      </c>
      <c r="I1052" s="7" t="s">
        <v>25</v>
      </c>
      <c r="J1052" s="13" t="str">
        <f>HYPERLINK("https://www.airitibooks.com/Detail/Detail?PublicationID=P20191017031", "https://www.airitibooks.com/Detail/Detail?PublicationID=P20191017031")</f>
        <v>https://www.airitibooks.com/Detail/Detail?PublicationID=P20191017031</v>
      </c>
      <c r="K1052" s="13" t="str">
        <f>HYPERLINK("https://ntsu.idm.oclc.org/login?url=https://www.airitibooks.com/Detail/Detail?PublicationID=P20191017031", "https://ntsu.idm.oclc.org/login?url=https://www.airitibooks.com/Detail/Detail?PublicationID=P20191017031")</f>
        <v>https://ntsu.idm.oclc.org/login?url=https://www.airitibooks.com/Detail/Detail?PublicationID=P20191017031</v>
      </c>
    </row>
    <row r="1053" spans="1:11" ht="119" x14ac:dyDescent="0.4">
      <c r="A1053" s="10" t="s">
        <v>12624</v>
      </c>
      <c r="B1053" s="10" t="s">
        <v>12625</v>
      </c>
      <c r="C1053" s="10" t="s">
        <v>12626</v>
      </c>
      <c r="D1053" s="10" t="s">
        <v>12627</v>
      </c>
      <c r="E1053" s="10" t="s">
        <v>3219</v>
      </c>
      <c r="F1053" s="10" t="s">
        <v>172</v>
      </c>
      <c r="G1053" s="10" t="s">
        <v>32</v>
      </c>
      <c r="H1053" s="7" t="s">
        <v>24</v>
      </c>
      <c r="I1053" s="7" t="s">
        <v>25</v>
      </c>
      <c r="J1053" s="13" t="str">
        <f>HYPERLINK("https://www.airitibooks.com/Detail/Detail?PublicationID=P20191017043", "https://www.airitibooks.com/Detail/Detail?PublicationID=P20191017043")</f>
        <v>https://www.airitibooks.com/Detail/Detail?PublicationID=P20191017043</v>
      </c>
      <c r="K1053" s="13" t="str">
        <f>HYPERLINK("https://ntsu.idm.oclc.org/login?url=https://www.airitibooks.com/Detail/Detail?PublicationID=P20191017043", "https://ntsu.idm.oclc.org/login?url=https://www.airitibooks.com/Detail/Detail?PublicationID=P20191017043")</f>
        <v>https://ntsu.idm.oclc.org/login?url=https://www.airitibooks.com/Detail/Detail?PublicationID=P20191017043</v>
      </c>
    </row>
    <row r="1054" spans="1:11" ht="119" x14ac:dyDescent="0.4">
      <c r="A1054" s="10" t="s">
        <v>12628</v>
      </c>
      <c r="B1054" s="10" t="s">
        <v>12629</v>
      </c>
      <c r="C1054" s="10" t="s">
        <v>12626</v>
      </c>
      <c r="D1054" s="10" t="s">
        <v>12627</v>
      </c>
      <c r="E1054" s="10" t="s">
        <v>3219</v>
      </c>
      <c r="F1054" s="10" t="s">
        <v>172</v>
      </c>
      <c r="G1054" s="10" t="s">
        <v>32</v>
      </c>
      <c r="H1054" s="7" t="s">
        <v>24</v>
      </c>
      <c r="I1054" s="7" t="s">
        <v>25</v>
      </c>
      <c r="J1054" s="13" t="str">
        <f>HYPERLINK("https://www.airitibooks.com/Detail/Detail?PublicationID=P20191017044", "https://www.airitibooks.com/Detail/Detail?PublicationID=P20191017044")</f>
        <v>https://www.airitibooks.com/Detail/Detail?PublicationID=P20191017044</v>
      </c>
      <c r="K1054" s="13" t="str">
        <f>HYPERLINK("https://ntsu.idm.oclc.org/login?url=https://www.airitibooks.com/Detail/Detail?PublicationID=P20191017044", "https://ntsu.idm.oclc.org/login?url=https://www.airitibooks.com/Detail/Detail?PublicationID=P20191017044")</f>
        <v>https://ntsu.idm.oclc.org/login?url=https://www.airitibooks.com/Detail/Detail?PublicationID=P20191017044</v>
      </c>
    </row>
    <row r="1055" spans="1:11" ht="51" x14ac:dyDescent="0.4">
      <c r="A1055" s="10" t="s">
        <v>12640</v>
      </c>
      <c r="B1055" s="10" t="s">
        <v>12641</v>
      </c>
      <c r="C1055" s="10" t="s">
        <v>12626</v>
      </c>
      <c r="D1055" s="10" t="s">
        <v>12642</v>
      </c>
      <c r="E1055" s="10" t="s">
        <v>3219</v>
      </c>
      <c r="F1055" s="10" t="s">
        <v>3619</v>
      </c>
      <c r="G1055" s="10" t="s">
        <v>32</v>
      </c>
      <c r="H1055" s="7" t="s">
        <v>24</v>
      </c>
      <c r="I1055" s="7" t="s">
        <v>25</v>
      </c>
      <c r="J1055" s="13" t="str">
        <f>HYPERLINK("https://www.airitibooks.com/Detail/Detail?PublicationID=P20191017049", "https://www.airitibooks.com/Detail/Detail?PublicationID=P20191017049")</f>
        <v>https://www.airitibooks.com/Detail/Detail?PublicationID=P20191017049</v>
      </c>
      <c r="K1055" s="13" t="str">
        <f>HYPERLINK("https://ntsu.idm.oclc.org/login?url=https://www.airitibooks.com/Detail/Detail?PublicationID=P20191017049", "https://ntsu.idm.oclc.org/login?url=https://www.airitibooks.com/Detail/Detail?PublicationID=P20191017049")</f>
        <v>https://ntsu.idm.oclc.org/login?url=https://www.airitibooks.com/Detail/Detail?PublicationID=P20191017049</v>
      </c>
    </row>
    <row r="1056" spans="1:11" ht="51" x14ac:dyDescent="0.4">
      <c r="A1056" s="10" t="s">
        <v>12649</v>
      </c>
      <c r="B1056" s="10" t="s">
        <v>12650</v>
      </c>
      <c r="C1056" s="10" t="s">
        <v>12626</v>
      </c>
      <c r="D1056" s="10" t="s">
        <v>12651</v>
      </c>
      <c r="E1056" s="10" t="s">
        <v>3219</v>
      </c>
      <c r="F1056" s="10" t="s">
        <v>176</v>
      </c>
      <c r="G1056" s="10" t="s">
        <v>32</v>
      </c>
      <c r="H1056" s="7" t="s">
        <v>24</v>
      </c>
      <c r="I1056" s="7" t="s">
        <v>25</v>
      </c>
      <c r="J1056" s="13" t="str">
        <f>HYPERLINK("https://www.airitibooks.com/Detail/Detail?PublicationID=P20191017052", "https://www.airitibooks.com/Detail/Detail?PublicationID=P20191017052")</f>
        <v>https://www.airitibooks.com/Detail/Detail?PublicationID=P20191017052</v>
      </c>
      <c r="K1056" s="13" t="str">
        <f>HYPERLINK("https://ntsu.idm.oclc.org/login?url=https://www.airitibooks.com/Detail/Detail?PublicationID=P20191017052", "https://ntsu.idm.oclc.org/login?url=https://www.airitibooks.com/Detail/Detail?PublicationID=P20191017052")</f>
        <v>https://ntsu.idm.oclc.org/login?url=https://www.airitibooks.com/Detail/Detail?PublicationID=P20191017052</v>
      </c>
    </row>
    <row r="1057" spans="1:11" ht="68" x14ac:dyDescent="0.4">
      <c r="A1057" s="10" t="s">
        <v>12701</v>
      </c>
      <c r="B1057" s="10" t="s">
        <v>12702</v>
      </c>
      <c r="C1057" s="10" t="s">
        <v>791</v>
      </c>
      <c r="D1057" s="10" t="s">
        <v>12703</v>
      </c>
      <c r="E1057" s="10" t="s">
        <v>3219</v>
      </c>
      <c r="F1057" s="10" t="s">
        <v>12704</v>
      </c>
      <c r="G1057" s="10" t="s">
        <v>32</v>
      </c>
      <c r="H1057" s="7" t="s">
        <v>24</v>
      </c>
      <c r="I1057" s="7" t="s">
        <v>25</v>
      </c>
      <c r="J1057" s="13" t="str">
        <f>HYPERLINK("https://www.airitibooks.com/Detail/Detail?PublicationID=P20191023083", "https://www.airitibooks.com/Detail/Detail?PublicationID=P20191023083")</f>
        <v>https://www.airitibooks.com/Detail/Detail?PublicationID=P20191023083</v>
      </c>
      <c r="K1057" s="13" t="str">
        <f>HYPERLINK("https://ntsu.idm.oclc.org/login?url=https://www.airitibooks.com/Detail/Detail?PublicationID=P20191023083", "https://ntsu.idm.oclc.org/login?url=https://www.airitibooks.com/Detail/Detail?PublicationID=P20191023083")</f>
        <v>https://ntsu.idm.oclc.org/login?url=https://www.airitibooks.com/Detail/Detail?PublicationID=P20191023083</v>
      </c>
    </row>
    <row r="1058" spans="1:11" ht="51" x14ac:dyDescent="0.4">
      <c r="A1058" s="10" t="s">
        <v>12710</v>
      </c>
      <c r="B1058" s="10" t="s">
        <v>12711</v>
      </c>
      <c r="C1058" s="10" t="s">
        <v>1504</v>
      </c>
      <c r="D1058" s="10" t="s">
        <v>12712</v>
      </c>
      <c r="E1058" s="10" t="s">
        <v>3219</v>
      </c>
      <c r="F1058" s="10" t="s">
        <v>12713</v>
      </c>
      <c r="G1058" s="10" t="s">
        <v>32</v>
      </c>
      <c r="H1058" s="7" t="s">
        <v>24</v>
      </c>
      <c r="I1058" s="7" t="s">
        <v>25</v>
      </c>
      <c r="J1058" s="13" t="str">
        <f>HYPERLINK("https://www.airitibooks.com/Detail/Detail?PublicationID=P20191023091", "https://www.airitibooks.com/Detail/Detail?PublicationID=P20191023091")</f>
        <v>https://www.airitibooks.com/Detail/Detail?PublicationID=P20191023091</v>
      </c>
      <c r="K1058" s="13" t="str">
        <f>HYPERLINK("https://ntsu.idm.oclc.org/login?url=https://www.airitibooks.com/Detail/Detail?PublicationID=P20191023091", "https://ntsu.idm.oclc.org/login?url=https://www.airitibooks.com/Detail/Detail?PublicationID=P20191023091")</f>
        <v>https://ntsu.idm.oclc.org/login?url=https://www.airitibooks.com/Detail/Detail?PublicationID=P20191023091</v>
      </c>
    </row>
    <row r="1059" spans="1:11" ht="51" x14ac:dyDescent="0.4">
      <c r="A1059" s="10" t="s">
        <v>12728</v>
      </c>
      <c r="B1059" s="10" t="s">
        <v>12729</v>
      </c>
      <c r="C1059" s="10" t="s">
        <v>1504</v>
      </c>
      <c r="D1059" s="10" t="s">
        <v>12730</v>
      </c>
      <c r="E1059" s="10" t="s">
        <v>3219</v>
      </c>
      <c r="F1059" s="10" t="s">
        <v>6865</v>
      </c>
      <c r="G1059" s="10" t="s">
        <v>32</v>
      </c>
      <c r="H1059" s="7" t="s">
        <v>24</v>
      </c>
      <c r="I1059" s="7" t="s">
        <v>25</v>
      </c>
      <c r="J1059" s="13" t="str">
        <f>HYPERLINK("https://www.airitibooks.com/Detail/Detail?PublicationID=P20191023099", "https://www.airitibooks.com/Detail/Detail?PublicationID=P20191023099")</f>
        <v>https://www.airitibooks.com/Detail/Detail?PublicationID=P20191023099</v>
      </c>
      <c r="K1059" s="13" t="str">
        <f>HYPERLINK("https://ntsu.idm.oclc.org/login?url=https://www.airitibooks.com/Detail/Detail?PublicationID=P20191023099", "https://ntsu.idm.oclc.org/login?url=https://www.airitibooks.com/Detail/Detail?PublicationID=P20191023099")</f>
        <v>https://ntsu.idm.oclc.org/login?url=https://www.airitibooks.com/Detail/Detail?PublicationID=P20191023099</v>
      </c>
    </row>
    <row r="1060" spans="1:11" ht="85" x14ac:dyDescent="0.4">
      <c r="A1060" s="10" t="s">
        <v>12935</v>
      </c>
      <c r="B1060" s="10" t="s">
        <v>12936</v>
      </c>
      <c r="C1060" s="10" t="s">
        <v>3798</v>
      </c>
      <c r="D1060" s="10" t="s">
        <v>12937</v>
      </c>
      <c r="E1060" s="10" t="s">
        <v>3219</v>
      </c>
      <c r="F1060" s="10" t="s">
        <v>12938</v>
      </c>
      <c r="G1060" s="10" t="s">
        <v>32</v>
      </c>
      <c r="H1060" s="7" t="s">
        <v>24</v>
      </c>
      <c r="I1060" s="7" t="s">
        <v>25</v>
      </c>
      <c r="J1060" s="13" t="str">
        <f>HYPERLINK("https://www.airitibooks.com/Detail/Detail?PublicationID=P20191108003", "https://www.airitibooks.com/Detail/Detail?PublicationID=P20191108003")</f>
        <v>https://www.airitibooks.com/Detail/Detail?PublicationID=P20191108003</v>
      </c>
      <c r="K1060" s="13" t="str">
        <f>HYPERLINK("https://ntsu.idm.oclc.org/login?url=https://www.airitibooks.com/Detail/Detail?PublicationID=P20191108003", "https://ntsu.idm.oclc.org/login?url=https://www.airitibooks.com/Detail/Detail?PublicationID=P20191108003")</f>
        <v>https://ntsu.idm.oclc.org/login?url=https://www.airitibooks.com/Detail/Detail?PublicationID=P20191108003</v>
      </c>
    </row>
    <row r="1061" spans="1:11" ht="51" x14ac:dyDescent="0.4">
      <c r="A1061" s="10" t="s">
        <v>12942</v>
      </c>
      <c r="B1061" s="10" t="s">
        <v>12943</v>
      </c>
      <c r="C1061" s="10" t="s">
        <v>152</v>
      </c>
      <c r="D1061" s="10" t="s">
        <v>5729</v>
      </c>
      <c r="E1061" s="10" t="s">
        <v>3219</v>
      </c>
      <c r="F1061" s="10" t="s">
        <v>3953</v>
      </c>
      <c r="G1061" s="10" t="s">
        <v>32</v>
      </c>
      <c r="H1061" s="7" t="s">
        <v>24</v>
      </c>
      <c r="I1061" s="7" t="s">
        <v>25</v>
      </c>
      <c r="J1061" s="13" t="str">
        <f>HYPERLINK("https://www.airitibooks.com/Detail/Detail?PublicationID=P20191108021", "https://www.airitibooks.com/Detail/Detail?PublicationID=P20191108021")</f>
        <v>https://www.airitibooks.com/Detail/Detail?PublicationID=P20191108021</v>
      </c>
      <c r="K1061" s="13" t="str">
        <f>HYPERLINK("https://ntsu.idm.oclc.org/login?url=https://www.airitibooks.com/Detail/Detail?PublicationID=P20191108021", "https://ntsu.idm.oclc.org/login?url=https://www.airitibooks.com/Detail/Detail?PublicationID=P20191108021")</f>
        <v>https://ntsu.idm.oclc.org/login?url=https://www.airitibooks.com/Detail/Detail?PublicationID=P20191108021</v>
      </c>
    </row>
    <row r="1062" spans="1:11" ht="51" x14ac:dyDescent="0.4">
      <c r="A1062" s="10" t="s">
        <v>12944</v>
      </c>
      <c r="B1062" s="10" t="s">
        <v>12945</v>
      </c>
      <c r="C1062" s="10" t="s">
        <v>152</v>
      </c>
      <c r="D1062" s="10" t="s">
        <v>1498</v>
      </c>
      <c r="E1062" s="10" t="s">
        <v>3219</v>
      </c>
      <c r="F1062" s="10" t="s">
        <v>181</v>
      </c>
      <c r="G1062" s="10" t="s">
        <v>32</v>
      </c>
      <c r="H1062" s="7" t="s">
        <v>24</v>
      </c>
      <c r="I1062" s="7" t="s">
        <v>25</v>
      </c>
      <c r="J1062" s="13" t="str">
        <f>HYPERLINK("https://www.airitibooks.com/Detail/Detail?PublicationID=P20191108022", "https://www.airitibooks.com/Detail/Detail?PublicationID=P20191108022")</f>
        <v>https://www.airitibooks.com/Detail/Detail?PublicationID=P20191108022</v>
      </c>
      <c r="K1062" s="13" t="str">
        <f>HYPERLINK("https://ntsu.idm.oclc.org/login?url=https://www.airitibooks.com/Detail/Detail?PublicationID=P20191108022", "https://ntsu.idm.oclc.org/login?url=https://www.airitibooks.com/Detail/Detail?PublicationID=P20191108022")</f>
        <v>https://ntsu.idm.oclc.org/login?url=https://www.airitibooks.com/Detail/Detail?PublicationID=P20191108022</v>
      </c>
    </row>
    <row r="1063" spans="1:11" ht="51" x14ac:dyDescent="0.4">
      <c r="A1063" s="10" t="s">
        <v>12946</v>
      </c>
      <c r="B1063" s="10" t="s">
        <v>12947</v>
      </c>
      <c r="C1063" s="10" t="s">
        <v>152</v>
      </c>
      <c r="D1063" s="10" t="s">
        <v>12948</v>
      </c>
      <c r="E1063" s="10" t="s">
        <v>3219</v>
      </c>
      <c r="F1063" s="10" t="s">
        <v>181</v>
      </c>
      <c r="G1063" s="10" t="s">
        <v>32</v>
      </c>
      <c r="H1063" s="7" t="s">
        <v>24</v>
      </c>
      <c r="I1063" s="7" t="s">
        <v>25</v>
      </c>
      <c r="J1063" s="13" t="str">
        <f>HYPERLINK("https://www.airitibooks.com/Detail/Detail?PublicationID=P20191108023", "https://www.airitibooks.com/Detail/Detail?PublicationID=P20191108023")</f>
        <v>https://www.airitibooks.com/Detail/Detail?PublicationID=P20191108023</v>
      </c>
      <c r="K1063" s="13" t="str">
        <f>HYPERLINK("https://ntsu.idm.oclc.org/login?url=https://www.airitibooks.com/Detail/Detail?PublicationID=P20191108023", "https://ntsu.idm.oclc.org/login?url=https://www.airitibooks.com/Detail/Detail?PublicationID=P20191108023")</f>
        <v>https://ntsu.idm.oclc.org/login?url=https://www.airitibooks.com/Detail/Detail?PublicationID=P20191108023</v>
      </c>
    </row>
    <row r="1064" spans="1:11" ht="51" x14ac:dyDescent="0.4">
      <c r="A1064" s="10" t="s">
        <v>12949</v>
      </c>
      <c r="B1064" s="10" t="s">
        <v>12950</v>
      </c>
      <c r="C1064" s="10" t="s">
        <v>152</v>
      </c>
      <c r="D1064" s="10" t="s">
        <v>12951</v>
      </c>
      <c r="E1064" s="10" t="s">
        <v>3219</v>
      </c>
      <c r="F1064" s="10" t="s">
        <v>181</v>
      </c>
      <c r="G1064" s="10" t="s">
        <v>32</v>
      </c>
      <c r="H1064" s="7" t="s">
        <v>24</v>
      </c>
      <c r="I1064" s="7" t="s">
        <v>25</v>
      </c>
      <c r="J1064" s="13" t="str">
        <f>HYPERLINK("https://www.airitibooks.com/Detail/Detail?PublicationID=P20191108024", "https://www.airitibooks.com/Detail/Detail?PublicationID=P20191108024")</f>
        <v>https://www.airitibooks.com/Detail/Detail?PublicationID=P20191108024</v>
      </c>
      <c r="K1064" s="13" t="str">
        <f>HYPERLINK("https://ntsu.idm.oclc.org/login?url=https://www.airitibooks.com/Detail/Detail?PublicationID=P20191108024", "https://ntsu.idm.oclc.org/login?url=https://www.airitibooks.com/Detail/Detail?PublicationID=P20191108024")</f>
        <v>https://ntsu.idm.oclc.org/login?url=https://www.airitibooks.com/Detail/Detail?PublicationID=P20191108024</v>
      </c>
    </row>
    <row r="1065" spans="1:11" ht="51" x14ac:dyDescent="0.4">
      <c r="A1065" s="10" t="s">
        <v>12952</v>
      </c>
      <c r="B1065" s="10" t="s">
        <v>12953</v>
      </c>
      <c r="C1065" s="10" t="s">
        <v>152</v>
      </c>
      <c r="D1065" s="10" t="s">
        <v>12954</v>
      </c>
      <c r="E1065" s="10" t="s">
        <v>3219</v>
      </c>
      <c r="F1065" s="10" t="s">
        <v>181</v>
      </c>
      <c r="G1065" s="10" t="s">
        <v>32</v>
      </c>
      <c r="H1065" s="7" t="s">
        <v>24</v>
      </c>
      <c r="I1065" s="7" t="s">
        <v>25</v>
      </c>
      <c r="J1065" s="13" t="str">
        <f>HYPERLINK("https://www.airitibooks.com/Detail/Detail?PublicationID=P20191108027", "https://www.airitibooks.com/Detail/Detail?PublicationID=P20191108027")</f>
        <v>https://www.airitibooks.com/Detail/Detail?PublicationID=P20191108027</v>
      </c>
      <c r="K1065" s="13" t="str">
        <f>HYPERLINK("https://ntsu.idm.oclc.org/login?url=https://www.airitibooks.com/Detail/Detail?PublicationID=P20191108027", "https://ntsu.idm.oclc.org/login?url=https://www.airitibooks.com/Detail/Detail?PublicationID=P20191108027")</f>
        <v>https://ntsu.idm.oclc.org/login?url=https://www.airitibooks.com/Detail/Detail?PublicationID=P20191108027</v>
      </c>
    </row>
    <row r="1066" spans="1:11" ht="119" x14ac:dyDescent="0.4">
      <c r="A1066" s="10" t="s">
        <v>13037</v>
      </c>
      <c r="B1066" s="10" t="s">
        <v>13038</v>
      </c>
      <c r="C1066" s="10" t="s">
        <v>12154</v>
      </c>
      <c r="D1066" s="10" t="s">
        <v>13039</v>
      </c>
      <c r="E1066" s="10" t="s">
        <v>3219</v>
      </c>
      <c r="F1066" s="10" t="s">
        <v>9099</v>
      </c>
      <c r="G1066" s="10" t="s">
        <v>32</v>
      </c>
      <c r="H1066" s="7" t="s">
        <v>24</v>
      </c>
      <c r="I1066" s="7" t="s">
        <v>25</v>
      </c>
      <c r="J1066" s="13" t="str">
        <f>HYPERLINK("https://www.airitibooks.com/Detail/Detail?PublicationID=P20191128135", "https://www.airitibooks.com/Detail/Detail?PublicationID=P20191128135")</f>
        <v>https://www.airitibooks.com/Detail/Detail?PublicationID=P20191128135</v>
      </c>
      <c r="K1066" s="13" t="str">
        <f>HYPERLINK("https://ntsu.idm.oclc.org/login?url=https://www.airitibooks.com/Detail/Detail?PublicationID=P20191128135", "https://ntsu.idm.oclc.org/login?url=https://www.airitibooks.com/Detail/Detail?PublicationID=P20191128135")</f>
        <v>https://ntsu.idm.oclc.org/login?url=https://www.airitibooks.com/Detail/Detail?PublicationID=P20191128135</v>
      </c>
    </row>
    <row r="1067" spans="1:11" ht="68" x14ac:dyDescent="0.4">
      <c r="A1067" s="10" t="s">
        <v>13099</v>
      </c>
      <c r="B1067" s="10" t="s">
        <v>13100</v>
      </c>
      <c r="C1067" s="10" t="s">
        <v>13101</v>
      </c>
      <c r="D1067" s="10" t="s">
        <v>13102</v>
      </c>
      <c r="E1067" s="10" t="s">
        <v>3219</v>
      </c>
      <c r="F1067" s="10" t="s">
        <v>1009</v>
      </c>
      <c r="G1067" s="10" t="s">
        <v>32</v>
      </c>
      <c r="H1067" s="7" t="s">
        <v>24</v>
      </c>
      <c r="I1067" s="7" t="s">
        <v>25</v>
      </c>
      <c r="J1067" s="13" t="str">
        <f>HYPERLINK("https://www.airitibooks.com/Detail/Detail?PublicationID=P20191224022", "https://www.airitibooks.com/Detail/Detail?PublicationID=P20191224022")</f>
        <v>https://www.airitibooks.com/Detail/Detail?PublicationID=P20191224022</v>
      </c>
      <c r="K1067" s="13" t="str">
        <f>HYPERLINK("https://ntsu.idm.oclc.org/login?url=https://www.airitibooks.com/Detail/Detail?PublicationID=P20191224022", "https://ntsu.idm.oclc.org/login?url=https://www.airitibooks.com/Detail/Detail?PublicationID=P20191224022")</f>
        <v>https://ntsu.idm.oclc.org/login?url=https://www.airitibooks.com/Detail/Detail?PublicationID=P20191224022</v>
      </c>
    </row>
    <row r="1068" spans="1:11" ht="51" x14ac:dyDescent="0.4">
      <c r="A1068" s="10" t="s">
        <v>13308</v>
      </c>
      <c r="B1068" s="10" t="s">
        <v>13309</v>
      </c>
      <c r="C1068" s="10" t="s">
        <v>13295</v>
      </c>
      <c r="D1068" s="10" t="s">
        <v>13310</v>
      </c>
      <c r="E1068" s="10" t="s">
        <v>3219</v>
      </c>
      <c r="F1068" s="10" t="s">
        <v>9813</v>
      </c>
      <c r="G1068" s="10" t="s">
        <v>32</v>
      </c>
      <c r="H1068" s="7" t="s">
        <v>24</v>
      </c>
      <c r="I1068" s="7" t="s">
        <v>25</v>
      </c>
      <c r="J1068" s="13" t="str">
        <f>HYPERLINK("https://www.airitibooks.com/Detail/Detail?PublicationID=P20200110164", "https://www.airitibooks.com/Detail/Detail?PublicationID=P20200110164")</f>
        <v>https://www.airitibooks.com/Detail/Detail?PublicationID=P20200110164</v>
      </c>
      <c r="K1068" s="13" t="str">
        <f>HYPERLINK("https://ntsu.idm.oclc.org/login?url=https://www.airitibooks.com/Detail/Detail?PublicationID=P20200110164", "https://ntsu.idm.oclc.org/login?url=https://www.airitibooks.com/Detail/Detail?PublicationID=P20200110164")</f>
        <v>https://ntsu.idm.oclc.org/login?url=https://www.airitibooks.com/Detail/Detail?PublicationID=P20200110164</v>
      </c>
    </row>
    <row r="1069" spans="1:11" ht="85" x14ac:dyDescent="0.4">
      <c r="A1069" s="10" t="s">
        <v>13358</v>
      </c>
      <c r="B1069" s="10" t="s">
        <v>13359</v>
      </c>
      <c r="C1069" s="10" t="s">
        <v>12154</v>
      </c>
      <c r="D1069" s="10" t="s">
        <v>13360</v>
      </c>
      <c r="E1069" s="10" t="s">
        <v>3219</v>
      </c>
      <c r="F1069" s="10" t="s">
        <v>2856</v>
      </c>
      <c r="G1069" s="10" t="s">
        <v>32</v>
      </c>
      <c r="H1069" s="7" t="s">
        <v>24</v>
      </c>
      <c r="I1069" s="7" t="s">
        <v>25</v>
      </c>
      <c r="J1069" s="13" t="str">
        <f>HYPERLINK("https://www.airitibooks.com/Detail/Detail?PublicationID=P20200117258", "https://www.airitibooks.com/Detail/Detail?PublicationID=P20200117258")</f>
        <v>https://www.airitibooks.com/Detail/Detail?PublicationID=P20200117258</v>
      </c>
      <c r="K1069" s="13" t="str">
        <f>HYPERLINK("https://ntsu.idm.oclc.org/login?url=https://www.airitibooks.com/Detail/Detail?PublicationID=P20200117258", "https://ntsu.idm.oclc.org/login?url=https://www.airitibooks.com/Detail/Detail?PublicationID=P20200117258")</f>
        <v>https://ntsu.idm.oclc.org/login?url=https://www.airitibooks.com/Detail/Detail?PublicationID=P20200117258</v>
      </c>
    </row>
    <row r="1070" spans="1:11" ht="51" x14ac:dyDescent="0.4">
      <c r="A1070" s="10" t="s">
        <v>13374</v>
      </c>
      <c r="B1070" s="10" t="s">
        <v>13375</v>
      </c>
      <c r="C1070" s="10" t="s">
        <v>13194</v>
      </c>
      <c r="D1070" s="10" t="s">
        <v>13376</v>
      </c>
      <c r="E1070" s="10" t="s">
        <v>3219</v>
      </c>
      <c r="F1070" s="10" t="s">
        <v>575</v>
      </c>
      <c r="G1070" s="10" t="s">
        <v>32</v>
      </c>
      <c r="H1070" s="7" t="s">
        <v>24</v>
      </c>
      <c r="I1070" s="7" t="s">
        <v>25</v>
      </c>
      <c r="J1070" s="13" t="str">
        <f>HYPERLINK("https://www.airitibooks.com/Detail/Detail?PublicationID=P20200117267", "https://www.airitibooks.com/Detail/Detail?PublicationID=P20200117267")</f>
        <v>https://www.airitibooks.com/Detail/Detail?PublicationID=P20200117267</v>
      </c>
      <c r="K1070" s="13" t="str">
        <f>HYPERLINK("https://ntsu.idm.oclc.org/login?url=https://www.airitibooks.com/Detail/Detail?PublicationID=P20200117267", "https://ntsu.idm.oclc.org/login?url=https://www.airitibooks.com/Detail/Detail?PublicationID=P20200117267")</f>
        <v>https://ntsu.idm.oclc.org/login?url=https://www.airitibooks.com/Detail/Detail?PublicationID=P20200117267</v>
      </c>
    </row>
    <row r="1071" spans="1:11" ht="51" x14ac:dyDescent="0.4">
      <c r="A1071" s="10" t="s">
        <v>13491</v>
      </c>
      <c r="B1071" s="10" t="s">
        <v>13492</v>
      </c>
      <c r="C1071" s="10" t="s">
        <v>11995</v>
      </c>
      <c r="D1071" s="10" t="s">
        <v>13493</v>
      </c>
      <c r="E1071" s="10" t="s">
        <v>3219</v>
      </c>
      <c r="F1071" s="10" t="s">
        <v>13494</v>
      </c>
      <c r="G1071" s="10" t="s">
        <v>32</v>
      </c>
      <c r="H1071" s="7" t="s">
        <v>24</v>
      </c>
      <c r="I1071" s="7" t="s">
        <v>25</v>
      </c>
      <c r="J1071" s="13" t="str">
        <f>HYPERLINK("https://www.airitibooks.com/Detail/Detail?PublicationID=P20200215080", "https://www.airitibooks.com/Detail/Detail?PublicationID=P20200215080")</f>
        <v>https://www.airitibooks.com/Detail/Detail?PublicationID=P20200215080</v>
      </c>
      <c r="K1071" s="13" t="str">
        <f>HYPERLINK("https://ntsu.idm.oclc.org/login?url=https://www.airitibooks.com/Detail/Detail?PublicationID=P20200215080", "https://ntsu.idm.oclc.org/login?url=https://www.airitibooks.com/Detail/Detail?PublicationID=P20200215080")</f>
        <v>https://ntsu.idm.oclc.org/login?url=https://www.airitibooks.com/Detail/Detail?PublicationID=P20200215080</v>
      </c>
    </row>
    <row r="1072" spans="1:11" ht="51" x14ac:dyDescent="0.4">
      <c r="A1072" s="10" t="s">
        <v>13515</v>
      </c>
      <c r="B1072" s="10" t="s">
        <v>13516</v>
      </c>
      <c r="C1072" s="10" t="s">
        <v>12491</v>
      </c>
      <c r="D1072" s="10" t="s">
        <v>13517</v>
      </c>
      <c r="E1072" s="10" t="s">
        <v>3219</v>
      </c>
      <c r="F1072" s="10" t="s">
        <v>1775</v>
      </c>
      <c r="G1072" s="10" t="s">
        <v>32</v>
      </c>
      <c r="H1072" s="7" t="s">
        <v>1031</v>
      </c>
      <c r="I1072" s="7" t="s">
        <v>25</v>
      </c>
      <c r="J1072" s="13" t="str">
        <f>HYPERLINK("https://www.airitibooks.com/Detail/Detail?PublicationID=P20200215326", "https://www.airitibooks.com/Detail/Detail?PublicationID=P20200215326")</f>
        <v>https://www.airitibooks.com/Detail/Detail?PublicationID=P20200215326</v>
      </c>
      <c r="K1072" s="13" t="str">
        <f>HYPERLINK("https://ntsu.idm.oclc.org/login?url=https://www.airitibooks.com/Detail/Detail?PublicationID=P20200215326", "https://ntsu.idm.oclc.org/login?url=https://www.airitibooks.com/Detail/Detail?PublicationID=P20200215326")</f>
        <v>https://ntsu.idm.oclc.org/login?url=https://www.airitibooks.com/Detail/Detail?PublicationID=P20200215326</v>
      </c>
    </row>
    <row r="1073" spans="1:11" ht="51" x14ac:dyDescent="0.4">
      <c r="A1073" s="10" t="s">
        <v>13518</v>
      </c>
      <c r="B1073" s="10" t="s">
        <v>13519</v>
      </c>
      <c r="C1073" s="10" t="s">
        <v>12491</v>
      </c>
      <c r="D1073" s="10" t="s">
        <v>13520</v>
      </c>
      <c r="E1073" s="10" t="s">
        <v>3219</v>
      </c>
      <c r="F1073" s="10" t="s">
        <v>9848</v>
      </c>
      <c r="G1073" s="10" t="s">
        <v>32</v>
      </c>
      <c r="H1073" s="7" t="s">
        <v>1031</v>
      </c>
      <c r="I1073" s="7" t="s">
        <v>25</v>
      </c>
      <c r="J1073" s="13" t="str">
        <f>HYPERLINK("https://www.airitibooks.com/Detail/Detail?PublicationID=P20200215327", "https://www.airitibooks.com/Detail/Detail?PublicationID=P20200215327")</f>
        <v>https://www.airitibooks.com/Detail/Detail?PublicationID=P20200215327</v>
      </c>
      <c r="K1073" s="13" t="str">
        <f>HYPERLINK("https://ntsu.idm.oclc.org/login?url=https://www.airitibooks.com/Detail/Detail?PublicationID=P20200215327", "https://ntsu.idm.oclc.org/login?url=https://www.airitibooks.com/Detail/Detail?PublicationID=P20200215327")</f>
        <v>https://ntsu.idm.oclc.org/login?url=https://www.airitibooks.com/Detail/Detail?PublicationID=P20200215327</v>
      </c>
    </row>
    <row r="1074" spans="1:11" ht="68" x14ac:dyDescent="0.4">
      <c r="A1074" s="10" t="s">
        <v>13550</v>
      </c>
      <c r="B1074" s="10" t="s">
        <v>13551</v>
      </c>
      <c r="C1074" s="10" t="s">
        <v>5050</v>
      </c>
      <c r="D1074" s="10" t="s">
        <v>9056</v>
      </c>
      <c r="E1074" s="10" t="s">
        <v>3219</v>
      </c>
      <c r="F1074" s="10" t="s">
        <v>274</v>
      </c>
      <c r="G1074" s="10" t="s">
        <v>32</v>
      </c>
      <c r="H1074" s="7" t="s">
        <v>24</v>
      </c>
      <c r="I1074" s="7" t="s">
        <v>25</v>
      </c>
      <c r="J1074" s="13" t="str">
        <f>HYPERLINK("https://www.airitibooks.com/Detail/Detail?PublicationID=P20200221093", "https://www.airitibooks.com/Detail/Detail?PublicationID=P20200221093")</f>
        <v>https://www.airitibooks.com/Detail/Detail?PublicationID=P20200221093</v>
      </c>
      <c r="K1074" s="13" t="str">
        <f>HYPERLINK("https://ntsu.idm.oclc.org/login?url=https://www.airitibooks.com/Detail/Detail?PublicationID=P20200221093", "https://ntsu.idm.oclc.org/login?url=https://www.airitibooks.com/Detail/Detail?PublicationID=P20200221093")</f>
        <v>https://ntsu.idm.oclc.org/login?url=https://www.airitibooks.com/Detail/Detail?PublicationID=P20200221093</v>
      </c>
    </row>
    <row r="1075" spans="1:11" ht="51" x14ac:dyDescent="0.4">
      <c r="A1075" s="10" t="s">
        <v>13565</v>
      </c>
      <c r="B1075" s="10" t="s">
        <v>13566</v>
      </c>
      <c r="C1075" s="10" t="s">
        <v>5050</v>
      </c>
      <c r="D1075" s="10" t="s">
        <v>13567</v>
      </c>
      <c r="E1075" s="10" t="s">
        <v>3219</v>
      </c>
      <c r="F1075" s="10" t="s">
        <v>2580</v>
      </c>
      <c r="G1075" s="10" t="s">
        <v>32</v>
      </c>
      <c r="H1075" s="7" t="s">
        <v>24</v>
      </c>
      <c r="I1075" s="7" t="s">
        <v>25</v>
      </c>
      <c r="J1075" s="13" t="str">
        <f>HYPERLINK("https://www.airitibooks.com/Detail/Detail?PublicationID=P20200221102", "https://www.airitibooks.com/Detail/Detail?PublicationID=P20200221102")</f>
        <v>https://www.airitibooks.com/Detail/Detail?PublicationID=P20200221102</v>
      </c>
      <c r="K1075" s="13" t="str">
        <f>HYPERLINK("https://ntsu.idm.oclc.org/login?url=https://www.airitibooks.com/Detail/Detail?PublicationID=P20200221102", "https://ntsu.idm.oclc.org/login?url=https://www.airitibooks.com/Detail/Detail?PublicationID=P20200221102")</f>
        <v>https://ntsu.idm.oclc.org/login?url=https://www.airitibooks.com/Detail/Detail?PublicationID=P20200221102</v>
      </c>
    </row>
    <row r="1076" spans="1:11" ht="51" x14ac:dyDescent="0.4">
      <c r="A1076" s="10" t="s">
        <v>13864</v>
      </c>
      <c r="B1076" s="10" t="s">
        <v>13865</v>
      </c>
      <c r="C1076" s="10" t="s">
        <v>568</v>
      </c>
      <c r="D1076" s="10" t="s">
        <v>13866</v>
      </c>
      <c r="E1076" s="10" t="s">
        <v>3219</v>
      </c>
      <c r="F1076" s="10" t="s">
        <v>1064</v>
      </c>
      <c r="G1076" s="10" t="s">
        <v>32</v>
      </c>
      <c r="H1076" s="7" t="s">
        <v>24</v>
      </c>
      <c r="I1076" s="7" t="s">
        <v>25</v>
      </c>
      <c r="J1076" s="13" t="str">
        <f>HYPERLINK("https://www.airitibooks.com/Detail/Detail?PublicationID=P20200413036", "https://www.airitibooks.com/Detail/Detail?PublicationID=P20200413036")</f>
        <v>https://www.airitibooks.com/Detail/Detail?PublicationID=P20200413036</v>
      </c>
      <c r="K1076" s="13" t="str">
        <f>HYPERLINK("https://ntsu.idm.oclc.org/login?url=https://www.airitibooks.com/Detail/Detail?PublicationID=P20200413036", "https://ntsu.idm.oclc.org/login?url=https://www.airitibooks.com/Detail/Detail?PublicationID=P20200413036")</f>
        <v>https://ntsu.idm.oclc.org/login?url=https://www.airitibooks.com/Detail/Detail?PublicationID=P20200413036</v>
      </c>
    </row>
    <row r="1077" spans="1:11" ht="51" x14ac:dyDescent="0.4">
      <c r="A1077" s="10" t="s">
        <v>14013</v>
      </c>
      <c r="B1077" s="10" t="s">
        <v>14014</v>
      </c>
      <c r="C1077" s="10" t="s">
        <v>297</v>
      </c>
      <c r="D1077" s="10" t="s">
        <v>579</v>
      </c>
      <c r="E1077" s="10" t="s">
        <v>3219</v>
      </c>
      <c r="F1077" s="10" t="s">
        <v>274</v>
      </c>
      <c r="G1077" s="10" t="s">
        <v>32</v>
      </c>
      <c r="H1077" s="7" t="s">
        <v>24</v>
      </c>
      <c r="I1077" s="7" t="s">
        <v>25</v>
      </c>
      <c r="J1077" s="13" t="str">
        <f>HYPERLINK("https://www.airitibooks.com/Detail/Detail?PublicationID=P20200430078", "https://www.airitibooks.com/Detail/Detail?PublicationID=P20200430078")</f>
        <v>https://www.airitibooks.com/Detail/Detail?PublicationID=P20200430078</v>
      </c>
      <c r="K1077" s="13" t="str">
        <f>HYPERLINK("https://ntsu.idm.oclc.org/login?url=https://www.airitibooks.com/Detail/Detail?PublicationID=P20200430078", "https://ntsu.idm.oclc.org/login?url=https://www.airitibooks.com/Detail/Detail?PublicationID=P20200430078")</f>
        <v>https://ntsu.idm.oclc.org/login?url=https://www.airitibooks.com/Detail/Detail?PublicationID=P20200430078</v>
      </c>
    </row>
    <row r="1078" spans="1:11" ht="68" x14ac:dyDescent="0.4">
      <c r="A1078" s="10" t="s">
        <v>14066</v>
      </c>
      <c r="B1078" s="10" t="s">
        <v>14067</v>
      </c>
      <c r="C1078" s="10" t="s">
        <v>3705</v>
      </c>
      <c r="D1078" s="10" t="s">
        <v>14068</v>
      </c>
      <c r="E1078" s="10" t="s">
        <v>3219</v>
      </c>
      <c r="F1078" s="10" t="s">
        <v>14069</v>
      </c>
      <c r="G1078" s="10" t="s">
        <v>32</v>
      </c>
      <c r="H1078" s="7" t="s">
        <v>24</v>
      </c>
      <c r="I1078" s="7" t="s">
        <v>25</v>
      </c>
      <c r="J1078" s="13" t="str">
        <f>HYPERLINK("https://www.airitibooks.com/Detail/Detail?PublicationID=P20200430239", "https://www.airitibooks.com/Detail/Detail?PublicationID=P20200430239")</f>
        <v>https://www.airitibooks.com/Detail/Detail?PublicationID=P20200430239</v>
      </c>
      <c r="K1078" s="13" t="str">
        <f>HYPERLINK("https://ntsu.idm.oclc.org/login?url=https://www.airitibooks.com/Detail/Detail?PublicationID=P20200430239", "https://ntsu.idm.oclc.org/login?url=https://www.airitibooks.com/Detail/Detail?PublicationID=P20200430239")</f>
        <v>https://ntsu.idm.oclc.org/login?url=https://www.airitibooks.com/Detail/Detail?PublicationID=P20200430239</v>
      </c>
    </row>
    <row r="1079" spans="1:11" ht="51" x14ac:dyDescent="0.4">
      <c r="A1079" s="10" t="s">
        <v>14098</v>
      </c>
      <c r="B1079" s="10" t="s">
        <v>14099</v>
      </c>
      <c r="C1079" s="10" t="s">
        <v>627</v>
      </c>
      <c r="D1079" s="10" t="s">
        <v>14100</v>
      </c>
      <c r="E1079" s="10" t="s">
        <v>3219</v>
      </c>
      <c r="F1079" s="10" t="s">
        <v>1913</v>
      </c>
      <c r="G1079" s="10" t="s">
        <v>32</v>
      </c>
      <c r="H1079" s="7" t="s">
        <v>24</v>
      </c>
      <c r="I1079" s="7" t="s">
        <v>25</v>
      </c>
      <c r="J1079" s="13" t="str">
        <f>HYPERLINK("https://www.airitibooks.com/Detail/Detail?PublicationID=P20200514016", "https://www.airitibooks.com/Detail/Detail?PublicationID=P20200514016")</f>
        <v>https://www.airitibooks.com/Detail/Detail?PublicationID=P20200514016</v>
      </c>
      <c r="K1079" s="13" t="str">
        <f>HYPERLINK("https://ntsu.idm.oclc.org/login?url=https://www.airitibooks.com/Detail/Detail?PublicationID=P20200514016", "https://ntsu.idm.oclc.org/login?url=https://www.airitibooks.com/Detail/Detail?PublicationID=P20200514016")</f>
        <v>https://ntsu.idm.oclc.org/login?url=https://www.airitibooks.com/Detail/Detail?PublicationID=P20200514016</v>
      </c>
    </row>
    <row r="1080" spans="1:11" ht="51" x14ac:dyDescent="0.4">
      <c r="A1080" s="10" t="s">
        <v>14234</v>
      </c>
      <c r="B1080" s="10" t="s">
        <v>14235</v>
      </c>
      <c r="C1080" s="10" t="s">
        <v>7164</v>
      </c>
      <c r="D1080" s="10" t="s">
        <v>14236</v>
      </c>
      <c r="E1080" s="10" t="s">
        <v>3219</v>
      </c>
      <c r="F1080" s="10" t="s">
        <v>575</v>
      </c>
      <c r="G1080" s="10" t="s">
        <v>32</v>
      </c>
      <c r="H1080" s="7" t="s">
        <v>24</v>
      </c>
      <c r="I1080" s="7" t="s">
        <v>25</v>
      </c>
      <c r="J1080" s="13" t="str">
        <f>HYPERLINK("https://www.airitibooks.com/Detail/Detail?PublicationID=P20200521210", "https://www.airitibooks.com/Detail/Detail?PublicationID=P20200521210")</f>
        <v>https://www.airitibooks.com/Detail/Detail?PublicationID=P20200521210</v>
      </c>
      <c r="K1080" s="13" t="str">
        <f>HYPERLINK("https://ntsu.idm.oclc.org/login?url=https://www.airitibooks.com/Detail/Detail?PublicationID=P20200521210", "https://ntsu.idm.oclc.org/login?url=https://www.airitibooks.com/Detail/Detail?PublicationID=P20200521210")</f>
        <v>https://ntsu.idm.oclc.org/login?url=https://www.airitibooks.com/Detail/Detail?PublicationID=P20200521210</v>
      </c>
    </row>
    <row r="1081" spans="1:11" ht="51" x14ac:dyDescent="0.4">
      <c r="A1081" s="10" t="s">
        <v>14237</v>
      </c>
      <c r="B1081" s="10" t="s">
        <v>14238</v>
      </c>
      <c r="C1081" s="10" t="s">
        <v>7164</v>
      </c>
      <c r="D1081" s="10" t="s">
        <v>14239</v>
      </c>
      <c r="E1081" s="10" t="s">
        <v>3219</v>
      </c>
      <c r="F1081" s="10" t="s">
        <v>575</v>
      </c>
      <c r="G1081" s="10" t="s">
        <v>32</v>
      </c>
      <c r="H1081" s="7" t="s">
        <v>24</v>
      </c>
      <c r="I1081" s="7" t="s">
        <v>25</v>
      </c>
      <c r="J1081" s="13" t="str">
        <f>HYPERLINK("https://www.airitibooks.com/Detail/Detail?PublicationID=P20200521211", "https://www.airitibooks.com/Detail/Detail?PublicationID=P20200521211")</f>
        <v>https://www.airitibooks.com/Detail/Detail?PublicationID=P20200521211</v>
      </c>
      <c r="K1081" s="13" t="str">
        <f>HYPERLINK("https://ntsu.idm.oclc.org/login?url=https://www.airitibooks.com/Detail/Detail?PublicationID=P20200521211", "https://ntsu.idm.oclc.org/login?url=https://www.airitibooks.com/Detail/Detail?PublicationID=P20200521211")</f>
        <v>https://ntsu.idm.oclc.org/login?url=https://www.airitibooks.com/Detail/Detail?PublicationID=P20200521211</v>
      </c>
    </row>
    <row r="1082" spans="1:11" ht="51" x14ac:dyDescent="0.4">
      <c r="A1082" s="10" t="s">
        <v>14409</v>
      </c>
      <c r="B1082" s="10" t="s">
        <v>14410</v>
      </c>
      <c r="C1082" s="10" t="s">
        <v>14411</v>
      </c>
      <c r="D1082" s="10" t="s">
        <v>14412</v>
      </c>
      <c r="E1082" s="10" t="s">
        <v>3219</v>
      </c>
      <c r="F1082" s="10" t="s">
        <v>14413</v>
      </c>
      <c r="G1082" s="10" t="s">
        <v>32</v>
      </c>
      <c r="H1082" s="7" t="s">
        <v>24</v>
      </c>
      <c r="I1082" s="7" t="s">
        <v>25</v>
      </c>
      <c r="J1082" s="13" t="str">
        <f>HYPERLINK("https://www.airitibooks.com/Detail/Detail?PublicationID=P20200703025", "https://www.airitibooks.com/Detail/Detail?PublicationID=P20200703025")</f>
        <v>https://www.airitibooks.com/Detail/Detail?PublicationID=P20200703025</v>
      </c>
      <c r="K1082" s="13" t="str">
        <f>HYPERLINK("https://ntsu.idm.oclc.org/login?url=https://www.airitibooks.com/Detail/Detail?PublicationID=P20200703025", "https://ntsu.idm.oclc.org/login?url=https://www.airitibooks.com/Detail/Detail?PublicationID=P20200703025")</f>
        <v>https://ntsu.idm.oclc.org/login?url=https://www.airitibooks.com/Detail/Detail?PublicationID=P20200703025</v>
      </c>
    </row>
    <row r="1083" spans="1:11" ht="102" x14ac:dyDescent="0.4">
      <c r="A1083" s="10" t="s">
        <v>14476</v>
      </c>
      <c r="B1083" s="10" t="s">
        <v>14477</v>
      </c>
      <c r="C1083" s="10" t="s">
        <v>1504</v>
      </c>
      <c r="D1083" s="10" t="s">
        <v>2197</v>
      </c>
      <c r="E1083" s="10" t="s">
        <v>3219</v>
      </c>
      <c r="F1083" s="10" t="s">
        <v>575</v>
      </c>
      <c r="G1083" s="10" t="s">
        <v>32</v>
      </c>
      <c r="H1083" s="7" t="s">
        <v>24</v>
      </c>
      <c r="I1083" s="7" t="s">
        <v>25</v>
      </c>
      <c r="J1083" s="13" t="str">
        <f>HYPERLINK("https://www.airitibooks.com/Detail/Detail?PublicationID=P20200717051", "https://www.airitibooks.com/Detail/Detail?PublicationID=P20200717051")</f>
        <v>https://www.airitibooks.com/Detail/Detail?PublicationID=P20200717051</v>
      </c>
      <c r="K1083" s="13" t="str">
        <f>HYPERLINK("https://ntsu.idm.oclc.org/login?url=https://www.airitibooks.com/Detail/Detail?PublicationID=P20200717051", "https://ntsu.idm.oclc.org/login?url=https://www.airitibooks.com/Detail/Detail?PublicationID=P20200717051")</f>
        <v>https://ntsu.idm.oclc.org/login?url=https://www.airitibooks.com/Detail/Detail?PublicationID=P20200717051</v>
      </c>
    </row>
    <row r="1084" spans="1:11" ht="102" x14ac:dyDescent="0.4">
      <c r="A1084" s="10" t="s">
        <v>14558</v>
      </c>
      <c r="B1084" s="10" t="s">
        <v>14559</v>
      </c>
      <c r="C1084" s="10" t="s">
        <v>462</v>
      </c>
      <c r="D1084" s="10" t="s">
        <v>14560</v>
      </c>
      <c r="E1084" s="10" t="s">
        <v>3219</v>
      </c>
      <c r="F1084" s="10" t="s">
        <v>14561</v>
      </c>
      <c r="G1084" s="10" t="s">
        <v>32</v>
      </c>
      <c r="H1084" s="7" t="s">
        <v>24</v>
      </c>
      <c r="I1084" s="7" t="s">
        <v>25</v>
      </c>
      <c r="J1084" s="13" t="str">
        <f>HYPERLINK("https://www.airitibooks.com/Detail/Detail?PublicationID=P20200807036", "https://www.airitibooks.com/Detail/Detail?PublicationID=P20200807036")</f>
        <v>https://www.airitibooks.com/Detail/Detail?PublicationID=P20200807036</v>
      </c>
      <c r="K1084" s="13" t="str">
        <f>HYPERLINK("https://ntsu.idm.oclc.org/login?url=https://www.airitibooks.com/Detail/Detail?PublicationID=P20200807036", "https://ntsu.idm.oclc.org/login?url=https://www.airitibooks.com/Detail/Detail?PublicationID=P20200807036")</f>
        <v>https://ntsu.idm.oclc.org/login?url=https://www.airitibooks.com/Detail/Detail?PublicationID=P20200807036</v>
      </c>
    </row>
    <row r="1085" spans="1:11" ht="51" x14ac:dyDescent="0.4">
      <c r="A1085" s="10" t="s">
        <v>14569</v>
      </c>
      <c r="B1085" s="10" t="s">
        <v>14570</v>
      </c>
      <c r="C1085" s="10" t="s">
        <v>11037</v>
      </c>
      <c r="D1085" s="10" t="s">
        <v>14571</v>
      </c>
      <c r="E1085" s="10" t="s">
        <v>3219</v>
      </c>
      <c r="F1085" s="10" t="s">
        <v>2937</v>
      </c>
      <c r="G1085" s="10" t="s">
        <v>32</v>
      </c>
      <c r="H1085" s="7" t="s">
        <v>1031</v>
      </c>
      <c r="I1085" s="7" t="s">
        <v>25</v>
      </c>
      <c r="J1085" s="13" t="str">
        <f>HYPERLINK("https://www.airitibooks.com/Detail/Detail?PublicationID=P20200807175", "https://www.airitibooks.com/Detail/Detail?PublicationID=P20200807175")</f>
        <v>https://www.airitibooks.com/Detail/Detail?PublicationID=P20200807175</v>
      </c>
      <c r="K1085" s="13" t="str">
        <f>HYPERLINK("https://ntsu.idm.oclc.org/login?url=https://www.airitibooks.com/Detail/Detail?PublicationID=P20200807175", "https://ntsu.idm.oclc.org/login?url=https://www.airitibooks.com/Detail/Detail?PublicationID=P20200807175")</f>
        <v>https://ntsu.idm.oclc.org/login?url=https://www.airitibooks.com/Detail/Detail?PublicationID=P20200807175</v>
      </c>
    </row>
    <row r="1086" spans="1:11" ht="51" x14ac:dyDescent="0.4">
      <c r="A1086" s="10" t="s">
        <v>14572</v>
      </c>
      <c r="B1086" s="10" t="s">
        <v>14573</v>
      </c>
      <c r="C1086" s="10" t="s">
        <v>11037</v>
      </c>
      <c r="D1086" s="10" t="s">
        <v>14574</v>
      </c>
      <c r="E1086" s="10" t="s">
        <v>3219</v>
      </c>
      <c r="F1086" s="10" t="s">
        <v>2937</v>
      </c>
      <c r="G1086" s="10" t="s">
        <v>32</v>
      </c>
      <c r="H1086" s="7" t="s">
        <v>1031</v>
      </c>
      <c r="I1086" s="7" t="s">
        <v>25</v>
      </c>
      <c r="J1086" s="13" t="str">
        <f>HYPERLINK("https://www.airitibooks.com/Detail/Detail?PublicationID=P20200807221", "https://www.airitibooks.com/Detail/Detail?PublicationID=P20200807221")</f>
        <v>https://www.airitibooks.com/Detail/Detail?PublicationID=P20200807221</v>
      </c>
      <c r="K1086" s="13" t="str">
        <f>HYPERLINK("https://ntsu.idm.oclc.org/login?url=https://www.airitibooks.com/Detail/Detail?PublicationID=P20200807221", "https://ntsu.idm.oclc.org/login?url=https://www.airitibooks.com/Detail/Detail?PublicationID=P20200807221")</f>
        <v>https://ntsu.idm.oclc.org/login?url=https://www.airitibooks.com/Detail/Detail?PublicationID=P20200807221</v>
      </c>
    </row>
    <row r="1087" spans="1:11" ht="51" x14ac:dyDescent="0.4">
      <c r="A1087" s="10" t="s">
        <v>14575</v>
      </c>
      <c r="B1087" s="10" t="s">
        <v>14576</v>
      </c>
      <c r="C1087" s="10" t="s">
        <v>11037</v>
      </c>
      <c r="D1087" s="10" t="s">
        <v>14577</v>
      </c>
      <c r="E1087" s="10" t="s">
        <v>3219</v>
      </c>
      <c r="F1087" s="10" t="s">
        <v>2937</v>
      </c>
      <c r="G1087" s="10" t="s">
        <v>32</v>
      </c>
      <c r="H1087" s="7" t="s">
        <v>1031</v>
      </c>
      <c r="I1087" s="7" t="s">
        <v>25</v>
      </c>
      <c r="J1087" s="13" t="str">
        <f>HYPERLINK("https://www.airitibooks.com/Detail/Detail?PublicationID=P20200807233", "https://www.airitibooks.com/Detail/Detail?PublicationID=P20200807233")</f>
        <v>https://www.airitibooks.com/Detail/Detail?PublicationID=P20200807233</v>
      </c>
      <c r="K1087" s="13" t="str">
        <f>HYPERLINK("https://ntsu.idm.oclc.org/login?url=https://www.airitibooks.com/Detail/Detail?PublicationID=P20200807233", "https://ntsu.idm.oclc.org/login?url=https://www.airitibooks.com/Detail/Detail?PublicationID=P20200807233")</f>
        <v>https://ntsu.idm.oclc.org/login?url=https://www.airitibooks.com/Detail/Detail?PublicationID=P20200807233</v>
      </c>
    </row>
    <row r="1088" spans="1:11" ht="51" x14ac:dyDescent="0.4">
      <c r="A1088" s="10" t="s">
        <v>14598</v>
      </c>
      <c r="B1088" s="10" t="s">
        <v>14599</v>
      </c>
      <c r="C1088" s="10" t="s">
        <v>11037</v>
      </c>
      <c r="D1088" s="10" t="s">
        <v>14600</v>
      </c>
      <c r="E1088" s="10" t="s">
        <v>3219</v>
      </c>
      <c r="F1088" s="10" t="s">
        <v>2937</v>
      </c>
      <c r="G1088" s="10" t="s">
        <v>32</v>
      </c>
      <c r="H1088" s="7" t="s">
        <v>1031</v>
      </c>
      <c r="I1088" s="7" t="s">
        <v>25</v>
      </c>
      <c r="J1088" s="13" t="str">
        <f>HYPERLINK("https://www.airitibooks.com/Detail/Detail?PublicationID=P20200813219", "https://www.airitibooks.com/Detail/Detail?PublicationID=P20200813219")</f>
        <v>https://www.airitibooks.com/Detail/Detail?PublicationID=P20200813219</v>
      </c>
      <c r="K1088" s="13" t="str">
        <f>HYPERLINK("https://ntsu.idm.oclc.org/login?url=https://www.airitibooks.com/Detail/Detail?PublicationID=P20200813219", "https://ntsu.idm.oclc.org/login?url=https://www.airitibooks.com/Detail/Detail?PublicationID=P20200813219")</f>
        <v>https://ntsu.idm.oclc.org/login?url=https://www.airitibooks.com/Detail/Detail?PublicationID=P20200813219</v>
      </c>
    </row>
    <row r="1089" spans="1:11" ht="51" x14ac:dyDescent="0.4">
      <c r="A1089" s="10" t="s">
        <v>14601</v>
      </c>
      <c r="B1089" s="10" t="s">
        <v>14602</v>
      </c>
      <c r="C1089" s="10" t="s">
        <v>11037</v>
      </c>
      <c r="D1089" s="10" t="s">
        <v>14603</v>
      </c>
      <c r="E1089" s="10" t="s">
        <v>3219</v>
      </c>
      <c r="F1089" s="10" t="s">
        <v>2937</v>
      </c>
      <c r="G1089" s="10" t="s">
        <v>32</v>
      </c>
      <c r="H1089" s="7" t="s">
        <v>1031</v>
      </c>
      <c r="I1089" s="7" t="s">
        <v>25</v>
      </c>
      <c r="J1089" s="13" t="str">
        <f>HYPERLINK("https://www.airitibooks.com/Detail/Detail?PublicationID=P20200813221", "https://www.airitibooks.com/Detail/Detail?PublicationID=P20200813221")</f>
        <v>https://www.airitibooks.com/Detail/Detail?PublicationID=P20200813221</v>
      </c>
      <c r="K1089" s="13" t="str">
        <f>HYPERLINK("https://ntsu.idm.oclc.org/login?url=https://www.airitibooks.com/Detail/Detail?PublicationID=P20200813221", "https://ntsu.idm.oclc.org/login?url=https://www.airitibooks.com/Detail/Detail?PublicationID=P20200813221")</f>
        <v>https://ntsu.idm.oclc.org/login?url=https://www.airitibooks.com/Detail/Detail?PublicationID=P20200813221</v>
      </c>
    </row>
    <row r="1090" spans="1:11" ht="51" x14ac:dyDescent="0.4">
      <c r="A1090" s="10" t="s">
        <v>14604</v>
      </c>
      <c r="B1090" s="10" t="s">
        <v>14605</v>
      </c>
      <c r="C1090" s="10" t="s">
        <v>11037</v>
      </c>
      <c r="D1090" s="10" t="s">
        <v>14606</v>
      </c>
      <c r="E1090" s="10" t="s">
        <v>3219</v>
      </c>
      <c r="F1090" s="10" t="s">
        <v>2937</v>
      </c>
      <c r="G1090" s="10" t="s">
        <v>32</v>
      </c>
      <c r="H1090" s="7" t="s">
        <v>1031</v>
      </c>
      <c r="I1090" s="7" t="s">
        <v>25</v>
      </c>
      <c r="J1090" s="13" t="str">
        <f>HYPERLINK("https://www.airitibooks.com/Detail/Detail?PublicationID=P20200813222", "https://www.airitibooks.com/Detail/Detail?PublicationID=P20200813222")</f>
        <v>https://www.airitibooks.com/Detail/Detail?PublicationID=P20200813222</v>
      </c>
      <c r="K1090" s="13" t="str">
        <f>HYPERLINK("https://ntsu.idm.oclc.org/login?url=https://www.airitibooks.com/Detail/Detail?PublicationID=P20200813222", "https://ntsu.idm.oclc.org/login?url=https://www.airitibooks.com/Detail/Detail?PublicationID=P20200813222")</f>
        <v>https://ntsu.idm.oclc.org/login?url=https://www.airitibooks.com/Detail/Detail?PublicationID=P20200813222</v>
      </c>
    </row>
    <row r="1091" spans="1:11" ht="51" x14ac:dyDescent="0.4">
      <c r="A1091" s="10" t="s">
        <v>14607</v>
      </c>
      <c r="B1091" s="10" t="s">
        <v>14608</v>
      </c>
      <c r="C1091" s="10" t="s">
        <v>11037</v>
      </c>
      <c r="D1091" s="10" t="s">
        <v>14609</v>
      </c>
      <c r="E1091" s="10" t="s">
        <v>3219</v>
      </c>
      <c r="F1091" s="10" t="s">
        <v>2937</v>
      </c>
      <c r="G1091" s="10" t="s">
        <v>32</v>
      </c>
      <c r="H1091" s="7" t="s">
        <v>1031</v>
      </c>
      <c r="I1091" s="7" t="s">
        <v>25</v>
      </c>
      <c r="J1091" s="13" t="str">
        <f>HYPERLINK("https://www.airitibooks.com/Detail/Detail?PublicationID=P20200813223", "https://www.airitibooks.com/Detail/Detail?PublicationID=P20200813223")</f>
        <v>https://www.airitibooks.com/Detail/Detail?PublicationID=P20200813223</v>
      </c>
      <c r="K1091" s="13" t="str">
        <f>HYPERLINK("https://ntsu.idm.oclc.org/login?url=https://www.airitibooks.com/Detail/Detail?PublicationID=P20200813223", "https://ntsu.idm.oclc.org/login?url=https://www.airitibooks.com/Detail/Detail?PublicationID=P20200813223")</f>
        <v>https://ntsu.idm.oclc.org/login?url=https://www.airitibooks.com/Detail/Detail?PublicationID=P20200813223</v>
      </c>
    </row>
    <row r="1092" spans="1:11" ht="51" x14ac:dyDescent="0.4">
      <c r="A1092" s="10" t="s">
        <v>14610</v>
      </c>
      <c r="B1092" s="10" t="s">
        <v>14611</v>
      </c>
      <c r="C1092" s="10" t="s">
        <v>11037</v>
      </c>
      <c r="D1092" s="10" t="s">
        <v>14612</v>
      </c>
      <c r="E1092" s="10" t="s">
        <v>3219</v>
      </c>
      <c r="F1092" s="10" t="s">
        <v>2937</v>
      </c>
      <c r="G1092" s="10" t="s">
        <v>32</v>
      </c>
      <c r="H1092" s="7" t="s">
        <v>1031</v>
      </c>
      <c r="I1092" s="7" t="s">
        <v>25</v>
      </c>
      <c r="J1092" s="13" t="str">
        <f>HYPERLINK("https://www.airitibooks.com/Detail/Detail?PublicationID=P20200813224", "https://www.airitibooks.com/Detail/Detail?PublicationID=P20200813224")</f>
        <v>https://www.airitibooks.com/Detail/Detail?PublicationID=P20200813224</v>
      </c>
      <c r="K1092" s="13" t="str">
        <f>HYPERLINK("https://ntsu.idm.oclc.org/login?url=https://www.airitibooks.com/Detail/Detail?PublicationID=P20200813224", "https://ntsu.idm.oclc.org/login?url=https://www.airitibooks.com/Detail/Detail?PublicationID=P20200813224")</f>
        <v>https://ntsu.idm.oclc.org/login?url=https://www.airitibooks.com/Detail/Detail?PublicationID=P20200813224</v>
      </c>
    </row>
    <row r="1093" spans="1:11" ht="51" x14ac:dyDescent="0.4">
      <c r="A1093" s="10" t="s">
        <v>14654</v>
      </c>
      <c r="B1093" s="10" t="s">
        <v>14655</v>
      </c>
      <c r="C1093" s="10" t="s">
        <v>11037</v>
      </c>
      <c r="D1093" s="10" t="s">
        <v>14656</v>
      </c>
      <c r="E1093" s="10" t="s">
        <v>3219</v>
      </c>
      <c r="F1093" s="10" t="s">
        <v>2870</v>
      </c>
      <c r="G1093" s="10" t="s">
        <v>32</v>
      </c>
      <c r="H1093" s="7" t="s">
        <v>1031</v>
      </c>
      <c r="I1093" s="7" t="s">
        <v>25</v>
      </c>
      <c r="J1093" s="13" t="str">
        <f>HYPERLINK("https://www.airitibooks.com/Detail/Detail?PublicationID=P20200828172", "https://www.airitibooks.com/Detail/Detail?PublicationID=P20200828172")</f>
        <v>https://www.airitibooks.com/Detail/Detail?PublicationID=P20200828172</v>
      </c>
      <c r="K1093" s="13" t="str">
        <f>HYPERLINK("https://ntsu.idm.oclc.org/login?url=https://www.airitibooks.com/Detail/Detail?PublicationID=P20200828172", "https://ntsu.idm.oclc.org/login?url=https://www.airitibooks.com/Detail/Detail?PublicationID=P20200828172")</f>
        <v>https://ntsu.idm.oclc.org/login?url=https://www.airitibooks.com/Detail/Detail?PublicationID=P20200828172</v>
      </c>
    </row>
    <row r="1094" spans="1:11" ht="51" x14ac:dyDescent="0.4">
      <c r="A1094" s="10" t="s">
        <v>14684</v>
      </c>
      <c r="B1094" s="10" t="s">
        <v>14685</v>
      </c>
      <c r="C1094" s="10" t="s">
        <v>11037</v>
      </c>
      <c r="D1094" s="10" t="s">
        <v>14686</v>
      </c>
      <c r="E1094" s="10" t="s">
        <v>3219</v>
      </c>
      <c r="F1094" s="10" t="s">
        <v>5742</v>
      </c>
      <c r="G1094" s="10" t="s">
        <v>32</v>
      </c>
      <c r="H1094" s="7" t="s">
        <v>1031</v>
      </c>
      <c r="I1094" s="7" t="s">
        <v>25</v>
      </c>
      <c r="J1094" s="13" t="str">
        <f>HYPERLINK("https://www.airitibooks.com/Detail/Detail?PublicationID=P20200904221", "https://www.airitibooks.com/Detail/Detail?PublicationID=P20200904221")</f>
        <v>https://www.airitibooks.com/Detail/Detail?PublicationID=P20200904221</v>
      </c>
      <c r="K1094" s="13" t="str">
        <f>HYPERLINK("https://ntsu.idm.oclc.org/login?url=https://www.airitibooks.com/Detail/Detail?PublicationID=P20200904221", "https://ntsu.idm.oclc.org/login?url=https://www.airitibooks.com/Detail/Detail?PublicationID=P20200904221")</f>
        <v>https://ntsu.idm.oclc.org/login?url=https://www.airitibooks.com/Detail/Detail?PublicationID=P20200904221</v>
      </c>
    </row>
    <row r="1095" spans="1:11" ht="51" x14ac:dyDescent="0.4">
      <c r="A1095" s="10" t="s">
        <v>14795</v>
      </c>
      <c r="B1095" s="10" t="s">
        <v>14796</v>
      </c>
      <c r="C1095" s="10" t="s">
        <v>11995</v>
      </c>
      <c r="D1095" s="10" t="s">
        <v>14797</v>
      </c>
      <c r="E1095" s="10" t="s">
        <v>3219</v>
      </c>
      <c r="F1095" s="10" t="s">
        <v>972</v>
      </c>
      <c r="G1095" s="10" t="s">
        <v>32</v>
      </c>
      <c r="H1095" s="7" t="s">
        <v>24</v>
      </c>
      <c r="I1095" s="7" t="s">
        <v>25</v>
      </c>
      <c r="J1095" s="13" t="str">
        <f>HYPERLINK("https://www.airitibooks.com/Detail/Detail?PublicationID=P20201021027", "https://www.airitibooks.com/Detail/Detail?PublicationID=P20201021027")</f>
        <v>https://www.airitibooks.com/Detail/Detail?PublicationID=P20201021027</v>
      </c>
      <c r="K1095" s="13" t="str">
        <f>HYPERLINK("https://ntsu.idm.oclc.org/login?url=https://www.airitibooks.com/Detail/Detail?PublicationID=P20201021027", "https://ntsu.idm.oclc.org/login?url=https://www.airitibooks.com/Detail/Detail?PublicationID=P20201021027")</f>
        <v>https://ntsu.idm.oclc.org/login?url=https://www.airitibooks.com/Detail/Detail?PublicationID=P20201021027</v>
      </c>
    </row>
    <row r="1096" spans="1:11" ht="51" x14ac:dyDescent="0.4">
      <c r="A1096" s="10" t="s">
        <v>14798</v>
      </c>
      <c r="B1096" s="10" t="s">
        <v>14799</v>
      </c>
      <c r="C1096" s="10" t="s">
        <v>11995</v>
      </c>
      <c r="D1096" s="10" t="s">
        <v>14800</v>
      </c>
      <c r="E1096" s="10" t="s">
        <v>3219</v>
      </c>
      <c r="F1096" s="10" t="s">
        <v>14801</v>
      </c>
      <c r="G1096" s="10" t="s">
        <v>32</v>
      </c>
      <c r="H1096" s="7" t="s">
        <v>24</v>
      </c>
      <c r="I1096" s="7" t="s">
        <v>25</v>
      </c>
      <c r="J1096" s="13" t="str">
        <f>HYPERLINK("https://www.airitibooks.com/Detail/Detail?PublicationID=P20201021034", "https://www.airitibooks.com/Detail/Detail?PublicationID=P20201021034")</f>
        <v>https://www.airitibooks.com/Detail/Detail?PublicationID=P20201021034</v>
      </c>
      <c r="K1096" s="13" t="str">
        <f>HYPERLINK("https://ntsu.idm.oclc.org/login?url=https://www.airitibooks.com/Detail/Detail?PublicationID=P20201021034", "https://ntsu.idm.oclc.org/login?url=https://www.airitibooks.com/Detail/Detail?PublicationID=P20201021034")</f>
        <v>https://ntsu.idm.oclc.org/login?url=https://www.airitibooks.com/Detail/Detail?PublicationID=P20201021034</v>
      </c>
    </row>
    <row r="1097" spans="1:11" ht="68" x14ac:dyDescent="0.4">
      <c r="A1097" s="10" t="s">
        <v>14852</v>
      </c>
      <c r="B1097" s="10" t="s">
        <v>14853</v>
      </c>
      <c r="C1097" s="10" t="s">
        <v>14854</v>
      </c>
      <c r="D1097" s="10" t="s">
        <v>14855</v>
      </c>
      <c r="E1097" s="10" t="s">
        <v>3219</v>
      </c>
      <c r="F1097" s="10" t="s">
        <v>14856</v>
      </c>
      <c r="G1097" s="10" t="s">
        <v>32</v>
      </c>
      <c r="H1097" s="7" t="s">
        <v>24</v>
      </c>
      <c r="I1097" s="7" t="s">
        <v>25</v>
      </c>
      <c r="J1097" s="13" t="str">
        <f>HYPERLINK("https://www.airitibooks.com/Detail/Detail?PublicationID=P20201105155", "https://www.airitibooks.com/Detail/Detail?PublicationID=P20201105155")</f>
        <v>https://www.airitibooks.com/Detail/Detail?PublicationID=P20201105155</v>
      </c>
      <c r="K1097" s="13" t="str">
        <f>HYPERLINK("https://ntsu.idm.oclc.org/login?url=https://www.airitibooks.com/Detail/Detail?PublicationID=P20201105155", "https://ntsu.idm.oclc.org/login?url=https://www.airitibooks.com/Detail/Detail?PublicationID=P20201105155")</f>
        <v>https://ntsu.idm.oclc.org/login?url=https://www.airitibooks.com/Detail/Detail?PublicationID=P20201105155</v>
      </c>
    </row>
    <row r="1098" spans="1:11" ht="51" x14ac:dyDescent="0.4">
      <c r="A1098" s="10" t="s">
        <v>14944</v>
      </c>
      <c r="B1098" s="10" t="s">
        <v>14945</v>
      </c>
      <c r="C1098" s="10" t="s">
        <v>12989</v>
      </c>
      <c r="D1098" s="10" t="s">
        <v>14946</v>
      </c>
      <c r="E1098" s="10" t="s">
        <v>3219</v>
      </c>
      <c r="F1098" s="10" t="s">
        <v>6259</v>
      </c>
      <c r="G1098" s="10" t="s">
        <v>32</v>
      </c>
      <c r="H1098" s="7" t="s">
        <v>1031</v>
      </c>
      <c r="I1098" s="7" t="s">
        <v>25</v>
      </c>
      <c r="J1098" s="13" t="str">
        <f>HYPERLINK("https://www.airitibooks.com/Detail/Detail?PublicationID=P20201120149", "https://www.airitibooks.com/Detail/Detail?PublicationID=P20201120149")</f>
        <v>https://www.airitibooks.com/Detail/Detail?PublicationID=P20201120149</v>
      </c>
      <c r="K1098" s="13" t="str">
        <f>HYPERLINK("https://ntsu.idm.oclc.org/login?url=https://www.airitibooks.com/Detail/Detail?PublicationID=P20201120149", "https://ntsu.idm.oclc.org/login?url=https://www.airitibooks.com/Detail/Detail?PublicationID=P20201120149")</f>
        <v>https://ntsu.idm.oclc.org/login?url=https://www.airitibooks.com/Detail/Detail?PublicationID=P20201120149</v>
      </c>
    </row>
    <row r="1099" spans="1:11" ht="85" x14ac:dyDescent="0.4">
      <c r="A1099" s="10" t="s">
        <v>15291</v>
      </c>
      <c r="B1099" s="10" t="s">
        <v>15292</v>
      </c>
      <c r="C1099" s="10" t="s">
        <v>15293</v>
      </c>
      <c r="D1099" s="10" t="s">
        <v>15294</v>
      </c>
      <c r="E1099" s="10" t="s">
        <v>3219</v>
      </c>
      <c r="F1099" s="10" t="s">
        <v>2870</v>
      </c>
      <c r="G1099" s="10" t="s">
        <v>32</v>
      </c>
      <c r="H1099" s="7" t="s">
        <v>1031</v>
      </c>
      <c r="I1099" s="7" t="s">
        <v>25</v>
      </c>
      <c r="J1099" s="13" t="str">
        <f>HYPERLINK("https://www.airitibooks.com/Detail/Detail?PublicationID=P20210225233", "https://www.airitibooks.com/Detail/Detail?PublicationID=P20210225233")</f>
        <v>https://www.airitibooks.com/Detail/Detail?PublicationID=P20210225233</v>
      </c>
      <c r="K1099" s="13" t="str">
        <f>HYPERLINK("https://ntsu.idm.oclc.org/login?url=https://www.airitibooks.com/Detail/Detail?PublicationID=P20210225233", "https://ntsu.idm.oclc.org/login?url=https://www.airitibooks.com/Detail/Detail?PublicationID=P20210225233")</f>
        <v>https://ntsu.idm.oclc.org/login?url=https://www.airitibooks.com/Detail/Detail?PublicationID=P20210225233</v>
      </c>
    </row>
    <row r="1100" spans="1:11" ht="51" x14ac:dyDescent="0.4">
      <c r="A1100" s="10" t="s">
        <v>15373</v>
      </c>
      <c r="B1100" s="10" t="s">
        <v>15374</v>
      </c>
      <c r="C1100" s="10" t="s">
        <v>7164</v>
      </c>
      <c r="D1100" s="10" t="s">
        <v>15375</v>
      </c>
      <c r="E1100" s="10" t="s">
        <v>3219</v>
      </c>
      <c r="F1100" s="10" t="s">
        <v>2856</v>
      </c>
      <c r="G1100" s="10" t="s">
        <v>32</v>
      </c>
      <c r="H1100" s="7" t="s">
        <v>24</v>
      </c>
      <c r="I1100" s="7" t="s">
        <v>25</v>
      </c>
      <c r="J1100" s="13" t="str">
        <f>HYPERLINK("https://www.airitibooks.com/Detail/Detail?PublicationID=P20210428032", "https://www.airitibooks.com/Detail/Detail?PublicationID=P20210428032")</f>
        <v>https://www.airitibooks.com/Detail/Detail?PublicationID=P20210428032</v>
      </c>
      <c r="K1100" s="13" t="str">
        <f>HYPERLINK("https://ntsu.idm.oclc.org/login?url=https://www.airitibooks.com/Detail/Detail?PublicationID=P20210428032", "https://ntsu.idm.oclc.org/login?url=https://www.airitibooks.com/Detail/Detail?PublicationID=P20210428032")</f>
        <v>https://ntsu.idm.oclc.org/login?url=https://www.airitibooks.com/Detail/Detail?PublicationID=P20210428032</v>
      </c>
    </row>
    <row r="1101" spans="1:11" ht="51" x14ac:dyDescent="0.4">
      <c r="A1101" s="10" t="s">
        <v>15379</v>
      </c>
      <c r="B1101" s="10" t="s">
        <v>15380</v>
      </c>
      <c r="C1101" s="10" t="s">
        <v>11995</v>
      </c>
      <c r="D1101" s="10" t="s">
        <v>15381</v>
      </c>
      <c r="E1101" s="10" t="s">
        <v>3219</v>
      </c>
      <c r="F1101" s="10" t="s">
        <v>15382</v>
      </c>
      <c r="G1101" s="10" t="s">
        <v>32</v>
      </c>
      <c r="H1101" s="7" t="s">
        <v>24</v>
      </c>
      <c r="I1101" s="7" t="s">
        <v>25</v>
      </c>
      <c r="J1101" s="13" t="str">
        <f>HYPERLINK("https://www.airitibooks.com/Detail/Detail?PublicationID=P20210428034", "https://www.airitibooks.com/Detail/Detail?PublicationID=P20210428034")</f>
        <v>https://www.airitibooks.com/Detail/Detail?PublicationID=P20210428034</v>
      </c>
      <c r="K1101" s="13" t="str">
        <f>HYPERLINK("https://ntsu.idm.oclc.org/login?url=https://www.airitibooks.com/Detail/Detail?PublicationID=P20210428034", "https://ntsu.idm.oclc.org/login?url=https://www.airitibooks.com/Detail/Detail?PublicationID=P20210428034")</f>
        <v>https://ntsu.idm.oclc.org/login?url=https://www.airitibooks.com/Detail/Detail?PublicationID=P20210428034</v>
      </c>
    </row>
    <row r="1102" spans="1:11" ht="51" x14ac:dyDescent="0.4">
      <c r="A1102" s="10" t="s">
        <v>15383</v>
      </c>
      <c r="B1102" s="10" t="s">
        <v>15384</v>
      </c>
      <c r="C1102" s="10" t="s">
        <v>11995</v>
      </c>
      <c r="D1102" s="10" t="s">
        <v>15385</v>
      </c>
      <c r="E1102" s="10" t="s">
        <v>3219</v>
      </c>
      <c r="F1102" s="10" t="s">
        <v>15382</v>
      </c>
      <c r="G1102" s="10" t="s">
        <v>32</v>
      </c>
      <c r="H1102" s="7" t="s">
        <v>24</v>
      </c>
      <c r="I1102" s="7" t="s">
        <v>25</v>
      </c>
      <c r="J1102" s="13" t="str">
        <f>HYPERLINK("https://www.airitibooks.com/Detail/Detail?PublicationID=P20210428035", "https://www.airitibooks.com/Detail/Detail?PublicationID=P20210428035")</f>
        <v>https://www.airitibooks.com/Detail/Detail?PublicationID=P20210428035</v>
      </c>
      <c r="K1102" s="13" t="str">
        <f>HYPERLINK("https://ntsu.idm.oclc.org/login?url=https://www.airitibooks.com/Detail/Detail?PublicationID=P20210428035", "https://ntsu.idm.oclc.org/login?url=https://www.airitibooks.com/Detail/Detail?PublicationID=P20210428035")</f>
        <v>https://ntsu.idm.oclc.org/login?url=https://www.airitibooks.com/Detail/Detail?PublicationID=P20210428035</v>
      </c>
    </row>
    <row r="1103" spans="1:11" ht="51" x14ac:dyDescent="0.4">
      <c r="A1103" s="10" t="s">
        <v>15397</v>
      </c>
      <c r="B1103" s="10" t="s">
        <v>15398</v>
      </c>
      <c r="C1103" s="10" t="s">
        <v>7164</v>
      </c>
      <c r="D1103" s="10" t="s">
        <v>15399</v>
      </c>
      <c r="E1103" s="10" t="s">
        <v>3219</v>
      </c>
      <c r="F1103" s="10" t="s">
        <v>972</v>
      </c>
      <c r="G1103" s="10" t="s">
        <v>32</v>
      </c>
      <c r="H1103" s="7" t="s">
        <v>24</v>
      </c>
      <c r="I1103" s="7" t="s">
        <v>25</v>
      </c>
      <c r="J1103" s="13" t="str">
        <f>HYPERLINK("https://www.airitibooks.com/Detail/Detail?PublicationID=P20210428040", "https://www.airitibooks.com/Detail/Detail?PublicationID=P20210428040")</f>
        <v>https://www.airitibooks.com/Detail/Detail?PublicationID=P20210428040</v>
      </c>
      <c r="K1103" s="13" t="str">
        <f>HYPERLINK("https://ntsu.idm.oclc.org/login?url=https://www.airitibooks.com/Detail/Detail?PublicationID=P20210428040", "https://ntsu.idm.oclc.org/login?url=https://www.airitibooks.com/Detail/Detail?PublicationID=P20210428040")</f>
        <v>https://ntsu.idm.oclc.org/login?url=https://www.airitibooks.com/Detail/Detail?PublicationID=P20210428040</v>
      </c>
    </row>
    <row r="1104" spans="1:11" ht="68" x14ac:dyDescent="0.4">
      <c r="A1104" s="10" t="s">
        <v>15400</v>
      </c>
      <c r="B1104" s="10" t="s">
        <v>15401</v>
      </c>
      <c r="C1104" s="10" t="s">
        <v>7164</v>
      </c>
      <c r="D1104" s="10" t="s">
        <v>15402</v>
      </c>
      <c r="E1104" s="10" t="s">
        <v>3219</v>
      </c>
      <c r="F1104" s="10" t="s">
        <v>3985</v>
      </c>
      <c r="G1104" s="10" t="s">
        <v>32</v>
      </c>
      <c r="H1104" s="7" t="s">
        <v>24</v>
      </c>
      <c r="I1104" s="7" t="s">
        <v>25</v>
      </c>
      <c r="J1104" s="13" t="str">
        <f>HYPERLINK("https://www.airitibooks.com/Detail/Detail?PublicationID=P20210428041", "https://www.airitibooks.com/Detail/Detail?PublicationID=P20210428041")</f>
        <v>https://www.airitibooks.com/Detail/Detail?PublicationID=P20210428041</v>
      </c>
      <c r="K1104" s="13" t="str">
        <f>HYPERLINK("https://ntsu.idm.oclc.org/login?url=https://www.airitibooks.com/Detail/Detail?PublicationID=P20210428041", "https://ntsu.idm.oclc.org/login?url=https://www.airitibooks.com/Detail/Detail?PublicationID=P20210428041")</f>
        <v>https://ntsu.idm.oclc.org/login?url=https://www.airitibooks.com/Detail/Detail?PublicationID=P20210428041</v>
      </c>
    </row>
    <row r="1105" spans="1:11" ht="51" x14ac:dyDescent="0.4">
      <c r="A1105" s="10" t="s">
        <v>15407</v>
      </c>
      <c r="B1105" s="10" t="s">
        <v>15408</v>
      </c>
      <c r="C1105" s="10" t="s">
        <v>7164</v>
      </c>
      <c r="D1105" s="10" t="s">
        <v>15409</v>
      </c>
      <c r="E1105" s="10" t="s">
        <v>3219</v>
      </c>
      <c r="F1105" s="10" t="s">
        <v>972</v>
      </c>
      <c r="G1105" s="10" t="s">
        <v>32</v>
      </c>
      <c r="H1105" s="7" t="s">
        <v>24</v>
      </c>
      <c r="I1105" s="7" t="s">
        <v>25</v>
      </c>
      <c r="J1105" s="13" t="str">
        <f>HYPERLINK("https://www.airitibooks.com/Detail/Detail?PublicationID=P20210428043", "https://www.airitibooks.com/Detail/Detail?PublicationID=P20210428043")</f>
        <v>https://www.airitibooks.com/Detail/Detail?PublicationID=P20210428043</v>
      </c>
      <c r="K1105" s="13" t="str">
        <f>HYPERLINK("https://ntsu.idm.oclc.org/login?url=https://www.airitibooks.com/Detail/Detail?PublicationID=P20210428043", "https://ntsu.idm.oclc.org/login?url=https://www.airitibooks.com/Detail/Detail?PublicationID=P20210428043")</f>
        <v>https://ntsu.idm.oclc.org/login?url=https://www.airitibooks.com/Detail/Detail?PublicationID=P20210428043</v>
      </c>
    </row>
    <row r="1106" spans="1:11" ht="51" x14ac:dyDescent="0.4">
      <c r="A1106" s="10" t="s">
        <v>15423</v>
      </c>
      <c r="B1106" s="10" t="s">
        <v>15424</v>
      </c>
      <c r="C1106" s="10" t="s">
        <v>7164</v>
      </c>
      <c r="D1106" s="10" t="s">
        <v>15425</v>
      </c>
      <c r="E1106" s="10" t="s">
        <v>3219</v>
      </c>
      <c r="F1106" s="10" t="s">
        <v>15426</v>
      </c>
      <c r="G1106" s="10" t="s">
        <v>32</v>
      </c>
      <c r="H1106" s="7" t="s">
        <v>24</v>
      </c>
      <c r="I1106" s="7" t="s">
        <v>25</v>
      </c>
      <c r="J1106" s="13" t="str">
        <f>HYPERLINK("https://www.airitibooks.com/Detail/Detail?PublicationID=P20210428048", "https://www.airitibooks.com/Detail/Detail?PublicationID=P20210428048")</f>
        <v>https://www.airitibooks.com/Detail/Detail?PublicationID=P20210428048</v>
      </c>
      <c r="K1106" s="13" t="str">
        <f>HYPERLINK("https://ntsu.idm.oclc.org/login?url=https://www.airitibooks.com/Detail/Detail?PublicationID=P20210428048", "https://ntsu.idm.oclc.org/login?url=https://www.airitibooks.com/Detail/Detail?PublicationID=P20210428048")</f>
        <v>https://ntsu.idm.oclc.org/login?url=https://www.airitibooks.com/Detail/Detail?PublicationID=P20210428048</v>
      </c>
    </row>
    <row r="1107" spans="1:11" ht="68" x14ac:dyDescent="0.4">
      <c r="A1107" s="10" t="s">
        <v>15504</v>
      </c>
      <c r="B1107" s="10" t="s">
        <v>15505</v>
      </c>
      <c r="C1107" s="10" t="s">
        <v>707</v>
      </c>
      <c r="D1107" s="10" t="s">
        <v>15506</v>
      </c>
      <c r="E1107" s="10" t="s">
        <v>3219</v>
      </c>
      <c r="F1107" s="10" t="s">
        <v>2110</v>
      </c>
      <c r="G1107" s="10" t="s">
        <v>32</v>
      </c>
      <c r="H1107" s="7" t="s">
        <v>2593</v>
      </c>
      <c r="I1107" s="7" t="s">
        <v>25</v>
      </c>
      <c r="J1107" s="13" t="str">
        <f>HYPERLINK("https://www.airitibooks.com/Detail/Detail?PublicationID=P20210521004", "https://www.airitibooks.com/Detail/Detail?PublicationID=P20210521004")</f>
        <v>https://www.airitibooks.com/Detail/Detail?PublicationID=P20210521004</v>
      </c>
      <c r="K1107" s="13" t="str">
        <f>HYPERLINK("https://ntsu.idm.oclc.org/login?url=https://www.airitibooks.com/Detail/Detail?PublicationID=P20210521004", "https://ntsu.idm.oclc.org/login?url=https://www.airitibooks.com/Detail/Detail?PublicationID=P20210521004")</f>
        <v>https://ntsu.idm.oclc.org/login?url=https://www.airitibooks.com/Detail/Detail?PublicationID=P20210521004</v>
      </c>
    </row>
    <row r="1108" spans="1:11" ht="51" x14ac:dyDescent="0.4">
      <c r="A1108" s="10" t="s">
        <v>15538</v>
      </c>
      <c r="B1108" s="10" t="s">
        <v>15539</v>
      </c>
      <c r="C1108" s="10" t="s">
        <v>13223</v>
      </c>
      <c r="D1108" s="10" t="s">
        <v>15540</v>
      </c>
      <c r="E1108" s="10" t="s">
        <v>3219</v>
      </c>
      <c r="F1108" s="10" t="s">
        <v>15541</v>
      </c>
      <c r="G1108" s="10" t="s">
        <v>32</v>
      </c>
      <c r="H1108" s="7" t="s">
        <v>1031</v>
      </c>
      <c r="I1108" s="7" t="s">
        <v>25</v>
      </c>
      <c r="J1108" s="13" t="str">
        <f>HYPERLINK("https://www.airitibooks.com/Detail/Detail?PublicationID=P20210726277", "https://www.airitibooks.com/Detail/Detail?PublicationID=P20210726277")</f>
        <v>https://www.airitibooks.com/Detail/Detail?PublicationID=P20210726277</v>
      </c>
      <c r="K1108" s="13" t="str">
        <f>HYPERLINK("https://ntsu.idm.oclc.org/login?url=https://www.airitibooks.com/Detail/Detail?PublicationID=P20210726277", "https://ntsu.idm.oclc.org/login?url=https://www.airitibooks.com/Detail/Detail?PublicationID=P20210726277")</f>
        <v>https://ntsu.idm.oclc.org/login?url=https://www.airitibooks.com/Detail/Detail?PublicationID=P20210726277</v>
      </c>
    </row>
    <row r="1109" spans="1:11" ht="51" x14ac:dyDescent="0.4">
      <c r="A1109" s="10" t="s">
        <v>15546</v>
      </c>
      <c r="B1109" s="10" t="s">
        <v>15547</v>
      </c>
      <c r="C1109" s="10" t="s">
        <v>13223</v>
      </c>
      <c r="D1109" s="10" t="s">
        <v>15548</v>
      </c>
      <c r="E1109" s="10" t="s">
        <v>3219</v>
      </c>
      <c r="F1109" s="10" t="s">
        <v>15549</v>
      </c>
      <c r="G1109" s="10" t="s">
        <v>32</v>
      </c>
      <c r="H1109" s="7" t="s">
        <v>1031</v>
      </c>
      <c r="I1109" s="7" t="s">
        <v>25</v>
      </c>
      <c r="J1109" s="13" t="str">
        <f>HYPERLINK("https://www.airitibooks.com/Detail/Detail?PublicationID=P20210726333", "https://www.airitibooks.com/Detail/Detail?PublicationID=P20210726333")</f>
        <v>https://www.airitibooks.com/Detail/Detail?PublicationID=P20210726333</v>
      </c>
      <c r="K1109" s="13" t="str">
        <f>HYPERLINK("https://ntsu.idm.oclc.org/login?url=https://www.airitibooks.com/Detail/Detail?PublicationID=P20210726333", "https://ntsu.idm.oclc.org/login?url=https://www.airitibooks.com/Detail/Detail?PublicationID=P20210726333")</f>
        <v>https://ntsu.idm.oclc.org/login?url=https://www.airitibooks.com/Detail/Detail?PublicationID=P20210726333</v>
      </c>
    </row>
    <row r="1110" spans="1:11" ht="51" x14ac:dyDescent="0.4">
      <c r="A1110" s="10" t="s">
        <v>15554</v>
      </c>
      <c r="B1110" s="10" t="s">
        <v>15555</v>
      </c>
      <c r="C1110" s="10" t="s">
        <v>13223</v>
      </c>
      <c r="D1110" s="10" t="s">
        <v>15556</v>
      </c>
      <c r="E1110" s="10" t="s">
        <v>3219</v>
      </c>
      <c r="F1110" s="10" t="s">
        <v>15557</v>
      </c>
      <c r="G1110" s="10" t="s">
        <v>32</v>
      </c>
      <c r="H1110" s="7" t="s">
        <v>1031</v>
      </c>
      <c r="I1110" s="7" t="s">
        <v>25</v>
      </c>
      <c r="J1110" s="13" t="str">
        <f>HYPERLINK("https://www.airitibooks.com/Detail/Detail?PublicationID=P20210726335", "https://www.airitibooks.com/Detail/Detail?PublicationID=P20210726335")</f>
        <v>https://www.airitibooks.com/Detail/Detail?PublicationID=P20210726335</v>
      </c>
      <c r="K1110" s="13" t="str">
        <f>HYPERLINK("https://ntsu.idm.oclc.org/login?url=https://www.airitibooks.com/Detail/Detail?PublicationID=P20210726335", "https://ntsu.idm.oclc.org/login?url=https://www.airitibooks.com/Detail/Detail?PublicationID=P20210726335")</f>
        <v>https://ntsu.idm.oclc.org/login?url=https://www.airitibooks.com/Detail/Detail?PublicationID=P20210726335</v>
      </c>
    </row>
    <row r="1111" spans="1:11" ht="51" x14ac:dyDescent="0.4">
      <c r="A1111" s="10" t="s">
        <v>11699</v>
      </c>
      <c r="B1111" s="10" t="s">
        <v>11700</v>
      </c>
      <c r="C1111" s="10" t="s">
        <v>1034</v>
      </c>
      <c r="D1111" s="10" t="s">
        <v>11701</v>
      </c>
      <c r="E1111" s="10" t="s">
        <v>3219</v>
      </c>
      <c r="F1111" s="10" t="s">
        <v>11702</v>
      </c>
      <c r="G1111" s="10" t="s">
        <v>502</v>
      </c>
      <c r="H1111" s="7" t="s">
        <v>24</v>
      </c>
      <c r="I1111" s="7" t="s">
        <v>25</v>
      </c>
      <c r="J1111" s="13" t="str">
        <f>HYPERLINK("https://www.airitibooks.com/Detail/Detail?PublicationID=P20190614186", "https://www.airitibooks.com/Detail/Detail?PublicationID=P20190614186")</f>
        <v>https://www.airitibooks.com/Detail/Detail?PublicationID=P20190614186</v>
      </c>
      <c r="K1111" s="13" t="str">
        <f>HYPERLINK("https://ntsu.idm.oclc.org/login?url=https://www.airitibooks.com/Detail/Detail?PublicationID=P20190614186", "https://ntsu.idm.oclc.org/login?url=https://www.airitibooks.com/Detail/Detail?PublicationID=P20190614186")</f>
        <v>https://ntsu.idm.oclc.org/login?url=https://www.airitibooks.com/Detail/Detail?PublicationID=P20190614186</v>
      </c>
    </row>
    <row r="1112" spans="1:11" ht="51" x14ac:dyDescent="0.4">
      <c r="A1112" s="10" t="s">
        <v>11910</v>
      </c>
      <c r="B1112" s="10" t="s">
        <v>11911</v>
      </c>
      <c r="C1112" s="10" t="s">
        <v>11912</v>
      </c>
      <c r="D1112" s="10" t="s">
        <v>11913</v>
      </c>
      <c r="E1112" s="10" t="s">
        <v>3219</v>
      </c>
      <c r="F1112" s="10" t="s">
        <v>11914</v>
      </c>
      <c r="G1112" s="10" t="s">
        <v>502</v>
      </c>
      <c r="H1112" s="7" t="s">
        <v>24</v>
      </c>
      <c r="I1112" s="7" t="s">
        <v>25</v>
      </c>
      <c r="J1112" s="13" t="str">
        <f>HYPERLINK("https://www.airitibooks.com/Detail/Detail?PublicationID=P20190705012", "https://www.airitibooks.com/Detail/Detail?PublicationID=P20190705012")</f>
        <v>https://www.airitibooks.com/Detail/Detail?PublicationID=P20190705012</v>
      </c>
      <c r="K1112" s="13" t="str">
        <f>HYPERLINK("https://ntsu.idm.oclc.org/login?url=https://www.airitibooks.com/Detail/Detail?PublicationID=P20190705012", "https://ntsu.idm.oclc.org/login?url=https://www.airitibooks.com/Detail/Detail?PublicationID=P20190705012")</f>
        <v>https://ntsu.idm.oclc.org/login?url=https://www.airitibooks.com/Detail/Detail?PublicationID=P20190705012</v>
      </c>
    </row>
    <row r="1113" spans="1:11" ht="51" x14ac:dyDescent="0.4">
      <c r="A1113" s="10" t="s">
        <v>12189</v>
      </c>
      <c r="B1113" s="10" t="s">
        <v>12190</v>
      </c>
      <c r="C1113" s="10" t="s">
        <v>12187</v>
      </c>
      <c r="D1113" s="10" t="s">
        <v>12188</v>
      </c>
      <c r="E1113" s="10" t="s">
        <v>3219</v>
      </c>
      <c r="F1113" s="10" t="s">
        <v>851</v>
      </c>
      <c r="G1113" s="10" t="s">
        <v>502</v>
      </c>
      <c r="H1113" s="7" t="s">
        <v>24</v>
      </c>
      <c r="I1113" s="7" t="s">
        <v>25</v>
      </c>
      <c r="J1113" s="13" t="str">
        <f>HYPERLINK("https://www.airitibooks.com/Detail/Detail?PublicationID=P20190823042", "https://www.airitibooks.com/Detail/Detail?PublicationID=P20190823042")</f>
        <v>https://www.airitibooks.com/Detail/Detail?PublicationID=P20190823042</v>
      </c>
      <c r="K1113" s="13" t="str">
        <f>HYPERLINK("https://ntsu.idm.oclc.org/login?url=https://www.airitibooks.com/Detail/Detail?PublicationID=P20190823042", "https://ntsu.idm.oclc.org/login?url=https://www.airitibooks.com/Detail/Detail?PublicationID=P20190823042")</f>
        <v>https://ntsu.idm.oclc.org/login?url=https://www.airitibooks.com/Detail/Detail?PublicationID=P20190823042</v>
      </c>
    </row>
    <row r="1114" spans="1:11" ht="170" x14ac:dyDescent="0.4">
      <c r="A1114" s="10" t="s">
        <v>12652</v>
      </c>
      <c r="B1114" s="10" t="s">
        <v>12653</v>
      </c>
      <c r="C1114" s="10" t="s">
        <v>12654</v>
      </c>
      <c r="D1114" s="10" t="s">
        <v>12655</v>
      </c>
      <c r="E1114" s="10" t="s">
        <v>3219</v>
      </c>
      <c r="F1114" s="10" t="s">
        <v>12656</v>
      </c>
      <c r="G1114" s="10" t="s">
        <v>502</v>
      </c>
      <c r="H1114" s="7" t="s">
        <v>24</v>
      </c>
      <c r="I1114" s="7" t="s">
        <v>25</v>
      </c>
      <c r="J1114" s="13" t="str">
        <f>HYPERLINK("https://www.airitibooks.com/Detail/Detail?PublicationID=P20191017053", "https://www.airitibooks.com/Detail/Detail?PublicationID=P20191017053")</f>
        <v>https://www.airitibooks.com/Detail/Detail?PublicationID=P20191017053</v>
      </c>
      <c r="K1114" s="13" t="str">
        <f>HYPERLINK("https://ntsu.idm.oclc.org/login?url=https://www.airitibooks.com/Detail/Detail?PublicationID=P20191017053", "https://ntsu.idm.oclc.org/login?url=https://www.airitibooks.com/Detail/Detail?PublicationID=P20191017053")</f>
        <v>https://ntsu.idm.oclc.org/login?url=https://www.airitibooks.com/Detail/Detail?PublicationID=P20191017053</v>
      </c>
    </row>
    <row r="1115" spans="1:11" ht="119" x14ac:dyDescent="0.4">
      <c r="A1115" s="10" t="s">
        <v>13047</v>
      </c>
      <c r="B1115" s="10" t="s">
        <v>13048</v>
      </c>
      <c r="C1115" s="10" t="s">
        <v>12154</v>
      </c>
      <c r="D1115" s="10" t="s">
        <v>13049</v>
      </c>
      <c r="E1115" s="10" t="s">
        <v>3219</v>
      </c>
      <c r="F1115" s="10" t="s">
        <v>13050</v>
      </c>
      <c r="G1115" s="10" t="s">
        <v>502</v>
      </c>
      <c r="H1115" s="7" t="s">
        <v>24</v>
      </c>
      <c r="I1115" s="7" t="s">
        <v>25</v>
      </c>
      <c r="J1115" s="13" t="str">
        <f>HYPERLINK("https://www.airitibooks.com/Detail/Detail?PublicationID=P20191128138", "https://www.airitibooks.com/Detail/Detail?PublicationID=P20191128138")</f>
        <v>https://www.airitibooks.com/Detail/Detail?PublicationID=P20191128138</v>
      </c>
      <c r="K1115" s="13" t="str">
        <f>HYPERLINK("https://ntsu.idm.oclc.org/login?url=https://www.airitibooks.com/Detail/Detail?PublicationID=P20191128138", "https://ntsu.idm.oclc.org/login?url=https://www.airitibooks.com/Detail/Detail?PublicationID=P20191128138")</f>
        <v>https://ntsu.idm.oclc.org/login?url=https://www.airitibooks.com/Detail/Detail?PublicationID=P20191128138</v>
      </c>
    </row>
    <row r="1116" spans="1:11" ht="68" x14ac:dyDescent="0.4">
      <c r="A1116" s="10" t="s">
        <v>13073</v>
      </c>
      <c r="B1116" s="10" t="s">
        <v>13074</v>
      </c>
      <c r="C1116" s="10" t="s">
        <v>11912</v>
      </c>
      <c r="D1116" s="10" t="s">
        <v>13075</v>
      </c>
      <c r="E1116" s="10" t="s">
        <v>3219</v>
      </c>
      <c r="F1116" s="10" t="s">
        <v>13076</v>
      </c>
      <c r="G1116" s="10" t="s">
        <v>502</v>
      </c>
      <c r="H1116" s="7" t="s">
        <v>24</v>
      </c>
      <c r="I1116" s="7" t="s">
        <v>25</v>
      </c>
      <c r="J1116" s="13" t="str">
        <f>HYPERLINK("https://www.airitibooks.com/Detail/Detail?PublicationID=P20191224001", "https://www.airitibooks.com/Detail/Detail?PublicationID=P20191224001")</f>
        <v>https://www.airitibooks.com/Detail/Detail?PublicationID=P20191224001</v>
      </c>
      <c r="K1116" s="13" t="str">
        <f>HYPERLINK("https://ntsu.idm.oclc.org/login?url=https://www.airitibooks.com/Detail/Detail?PublicationID=P20191224001", "https://ntsu.idm.oclc.org/login?url=https://www.airitibooks.com/Detail/Detail?PublicationID=P20191224001")</f>
        <v>https://ntsu.idm.oclc.org/login?url=https://www.airitibooks.com/Detail/Detail?PublicationID=P20191224001</v>
      </c>
    </row>
    <row r="1117" spans="1:11" ht="51" x14ac:dyDescent="0.4">
      <c r="A1117" s="10" t="s">
        <v>13951</v>
      </c>
      <c r="B1117" s="10" t="s">
        <v>13952</v>
      </c>
      <c r="C1117" s="10" t="s">
        <v>544</v>
      </c>
      <c r="D1117" s="10" t="s">
        <v>13953</v>
      </c>
      <c r="E1117" s="10" t="s">
        <v>3219</v>
      </c>
      <c r="F1117" s="10" t="s">
        <v>13954</v>
      </c>
      <c r="G1117" s="10" t="s">
        <v>502</v>
      </c>
      <c r="H1117" s="7" t="s">
        <v>24</v>
      </c>
      <c r="I1117" s="7" t="s">
        <v>25</v>
      </c>
      <c r="J1117" s="13" t="str">
        <f>HYPERLINK("https://www.airitibooks.com/Detail/Detail?PublicationID=P20200430037", "https://www.airitibooks.com/Detail/Detail?PublicationID=P20200430037")</f>
        <v>https://www.airitibooks.com/Detail/Detail?PublicationID=P20200430037</v>
      </c>
      <c r="K1117" s="13" t="str">
        <f>HYPERLINK("https://ntsu.idm.oclc.org/login?url=https://www.airitibooks.com/Detail/Detail?PublicationID=P20200430037", "https://ntsu.idm.oclc.org/login?url=https://www.airitibooks.com/Detail/Detail?PublicationID=P20200430037")</f>
        <v>https://ntsu.idm.oclc.org/login?url=https://www.airitibooks.com/Detail/Detail?PublicationID=P20200430037</v>
      </c>
    </row>
    <row r="1118" spans="1:11" ht="51" x14ac:dyDescent="0.4">
      <c r="A1118" s="10" t="s">
        <v>15009</v>
      </c>
      <c r="B1118" s="10" t="s">
        <v>15010</v>
      </c>
      <c r="C1118" s="10" t="s">
        <v>15011</v>
      </c>
      <c r="D1118" s="10" t="s">
        <v>15012</v>
      </c>
      <c r="E1118" s="10" t="s">
        <v>3219</v>
      </c>
      <c r="F1118" s="10" t="s">
        <v>15013</v>
      </c>
      <c r="G1118" s="10" t="s">
        <v>502</v>
      </c>
      <c r="H1118" s="7" t="s">
        <v>1031</v>
      </c>
      <c r="I1118" s="7" t="s">
        <v>25</v>
      </c>
      <c r="J1118" s="13" t="str">
        <f>HYPERLINK("https://www.airitibooks.com/Detail/Detail?PublicationID=P20201127467", "https://www.airitibooks.com/Detail/Detail?PublicationID=P20201127467")</f>
        <v>https://www.airitibooks.com/Detail/Detail?PublicationID=P20201127467</v>
      </c>
      <c r="K1118" s="13" t="str">
        <f>HYPERLINK("https://ntsu.idm.oclc.org/login?url=https://www.airitibooks.com/Detail/Detail?PublicationID=P20201127467", "https://ntsu.idm.oclc.org/login?url=https://www.airitibooks.com/Detail/Detail?PublicationID=P20201127467")</f>
        <v>https://ntsu.idm.oclc.org/login?url=https://www.airitibooks.com/Detail/Detail?PublicationID=P20201127467</v>
      </c>
    </row>
    <row r="1119" spans="1:11" ht="51" x14ac:dyDescent="0.4">
      <c r="A1119" s="10" t="s">
        <v>10834</v>
      </c>
      <c r="B1119" s="10" t="s">
        <v>10835</v>
      </c>
      <c r="C1119" s="10" t="s">
        <v>7020</v>
      </c>
      <c r="D1119" s="10" t="s">
        <v>7021</v>
      </c>
      <c r="E1119" s="10" t="s">
        <v>3219</v>
      </c>
      <c r="F1119" s="10" t="s">
        <v>6664</v>
      </c>
      <c r="G1119" s="10" t="s">
        <v>37</v>
      </c>
      <c r="H1119" s="7" t="s">
        <v>24</v>
      </c>
      <c r="I1119" s="7" t="s">
        <v>25</v>
      </c>
      <c r="J1119" s="13" t="str">
        <f>HYPERLINK("https://www.airitibooks.com/Detail/Detail?PublicationID=P20190220073", "https://www.airitibooks.com/Detail/Detail?PublicationID=P20190220073")</f>
        <v>https://www.airitibooks.com/Detail/Detail?PublicationID=P20190220073</v>
      </c>
      <c r="K1119" s="13" t="str">
        <f>HYPERLINK("https://ntsu.idm.oclc.org/login?url=https://www.airitibooks.com/Detail/Detail?PublicationID=P20190220073", "https://ntsu.idm.oclc.org/login?url=https://www.airitibooks.com/Detail/Detail?PublicationID=P20190220073")</f>
        <v>https://ntsu.idm.oclc.org/login?url=https://www.airitibooks.com/Detail/Detail?PublicationID=P20190220073</v>
      </c>
    </row>
    <row r="1120" spans="1:11" ht="51" x14ac:dyDescent="0.4">
      <c r="A1120" s="10" t="s">
        <v>10836</v>
      </c>
      <c r="B1120" s="10" t="s">
        <v>10837</v>
      </c>
      <c r="C1120" s="10" t="s">
        <v>10838</v>
      </c>
      <c r="D1120" s="10" t="s">
        <v>10839</v>
      </c>
      <c r="E1120" s="10" t="s">
        <v>3219</v>
      </c>
      <c r="F1120" s="10" t="s">
        <v>6664</v>
      </c>
      <c r="G1120" s="10" t="s">
        <v>37</v>
      </c>
      <c r="H1120" s="7" t="s">
        <v>24</v>
      </c>
      <c r="I1120" s="7" t="s">
        <v>25</v>
      </c>
      <c r="J1120" s="13" t="str">
        <f>HYPERLINK("https://www.airitibooks.com/Detail/Detail?PublicationID=P20190220074", "https://www.airitibooks.com/Detail/Detail?PublicationID=P20190220074")</f>
        <v>https://www.airitibooks.com/Detail/Detail?PublicationID=P20190220074</v>
      </c>
      <c r="K1120" s="13" t="str">
        <f>HYPERLINK("https://ntsu.idm.oclc.org/login?url=https://www.airitibooks.com/Detail/Detail?PublicationID=P20190220074", "https://ntsu.idm.oclc.org/login?url=https://www.airitibooks.com/Detail/Detail?PublicationID=P20190220074")</f>
        <v>https://ntsu.idm.oclc.org/login?url=https://www.airitibooks.com/Detail/Detail?PublicationID=P20190220074</v>
      </c>
    </row>
    <row r="1121" spans="1:11" ht="51" x14ac:dyDescent="0.4">
      <c r="A1121" s="10" t="s">
        <v>10944</v>
      </c>
      <c r="B1121" s="10" t="s">
        <v>10945</v>
      </c>
      <c r="C1121" s="10" t="s">
        <v>2052</v>
      </c>
      <c r="D1121" s="10" t="s">
        <v>2053</v>
      </c>
      <c r="E1121" s="10" t="s">
        <v>3219</v>
      </c>
      <c r="F1121" s="10" t="s">
        <v>7726</v>
      </c>
      <c r="G1121" s="10" t="s">
        <v>37</v>
      </c>
      <c r="H1121" s="7" t="s">
        <v>24</v>
      </c>
      <c r="I1121" s="7" t="s">
        <v>25</v>
      </c>
      <c r="J1121" s="13" t="str">
        <f>HYPERLINK("https://www.airitibooks.com/Detail/Detail?PublicationID=P20190322098", "https://www.airitibooks.com/Detail/Detail?PublicationID=P20190322098")</f>
        <v>https://www.airitibooks.com/Detail/Detail?PublicationID=P20190322098</v>
      </c>
      <c r="K1121" s="13" t="str">
        <f>HYPERLINK("https://ntsu.idm.oclc.org/login?url=https://www.airitibooks.com/Detail/Detail?PublicationID=P20190322098", "https://ntsu.idm.oclc.org/login?url=https://www.airitibooks.com/Detail/Detail?PublicationID=P20190322098")</f>
        <v>https://ntsu.idm.oclc.org/login?url=https://www.airitibooks.com/Detail/Detail?PublicationID=P20190322098</v>
      </c>
    </row>
    <row r="1122" spans="1:11" ht="85" x14ac:dyDescent="0.4">
      <c r="A1122" s="10" t="s">
        <v>10987</v>
      </c>
      <c r="B1122" s="10" t="s">
        <v>10988</v>
      </c>
      <c r="C1122" s="10" t="s">
        <v>9915</v>
      </c>
      <c r="D1122" s="10" t="s">
        <v>10989</v>
      </c>
      <c r="E1122" s="10" t="s">
        <v>3219</v>
      </c>
      <c r="F1122" s="10" t="s">
        <v>10990</v>
      </c>
      <c r="G1122" s="10" t="s">
        <v>37</v>
      </c>
      <c r="H1122" s="7" t="s">
        <v>24</v>
      </c>
      <c r="I1122" s="7" t="s">
        <v>25</v>
      </c>
      <c r="J1122" s="13" t="str">
        <f>HYPERLINK("https://www.airitibooks.com/Detail/Detail?PublicationID=P20190329079", "https://www.airitibooks.com/Detail/Detail?PublicationID=P20190329079")</f>
        <v>https://www.airitibooks.com/Detail/Detail?PublicationID=P20190329079</v>
      </c>
      <c r="K1122" s="13" t="str">
        <f>HYPERLINK("https://ntsu.idm.oclc.org/login?url=https://www.airitibooks.com/Detail/Detail?PublicationID=P20190329079", "https://ntsu.idm.oclc.org/login?url=https://www.airitibooks.com/Detail/Detail?PublicationID=P20190329079")</f>
        <v>https://ntsu.idm.oclc.org/login?url=https://www.airitibooks.com/Detail/Detail?PublicationID=P20190329079</v>
      </c>
    </row>
    <row r="1123" spans="1:11" ht="51" x14ac:dyDescent="0.4">
      <c r="A1123" s="10" t="s">
        <v>11021</v>
      </c>
      <c r="B1123" s="10" t="s">
        <v>11022</v>
      </c>
      <c r="C1123" s="10" t="s">
        <v>7020</v>
      </c>
      <c r="D1123" s="10" t="s">
        <v>7021</v>
      </c>
      <c r="E1123" s="10" t="s">
        <v>3219</v>
      </c>
      <c r="F1123" s="10" t="s">
        <v>6664</v>
      </c>
      <c r="G1123" s="10" t="s">
        <v>37</v>
      </c>
      <c r="H1123" s="7" t="s">
        <v>24</v>
      </c>
      <c r="I1123" s="7" t="s">
        <v>25</v>
      </c>
      <c r="J1123" s="13" t="str">
        <f>HYPERLINK("https://www.airitibooks.com/Detail/Detail?PublicationID=P20190412036", "https://www.airitibooks.com/Detail/Detail?PublicationID=P20190412036")</f>
        <v>https://www.airitibooks.com/Detail/Detail?PublicationID=P20190412036</v>
      </c>
      <c r="K1123" s="13" t="str">
        <f>HYPERLINK("https://ntsu.idm.oclc.org/login?url=https://www.airitibooks.com/Detail/Detail?PublicationID=P20190412036", "https://ntsu.idm.oclc.org/login?url=https://www.airitibooks.com/Detail/Detail?PublicationID=P20190412036")</f>
        <v>https://ntsu.idm.oclc.org/login?url=https://www.airitibooks.com/Detail/Detail?PublicationID=P20190412036</v>
      </c>
    </row>
    <row r="1124" spans="1:11" ht="51" x14ac:dyDescent="0.4">
      <c r="A1124" s="10" t="s">
        <v>11198</v>
      </c>
      <c r="B1124" s="10" t="s">
        <v>11199</v>
      </c>
      <c r="C1124" s="10" t="s">
        <v>11191</v>
      </c>
      <c r="D1124" s="10" t="s">
        <v>11200</v>
      </c>
      <c r="E1124" s="10" t="s">
        <v>3219</v>
      </c>
      <c r="F1124" s="10" t="s">
        <v>1605</v>
      </c>
      <c r="G1124" s="10" t="s">
        <v>37</v>
      </c>
      <c r="H1124" s="7" t="s">
        <v>24</v>
      </c>
      <c r="I1124" s="7" t="s">
        <v>25</v>
      </c>
      <c r="J1124" s="13" t="str">
        <f>HYPERLINK("https://www.airitibooks.com/Detail/Detail?PublicationID=P20190425122", "https://www.airitibooks.com/Detail/Detail?PublicationID=P20190425122")</f>
        <v>https://www.airitibooks.com/Detail/Detail?PublicationID=P20190425122</v>
      </c>
      <c r="K1124" s="13" t="str">
        <f>HYPERLINK("https://ntsu.idm.oclc.org/login?url=https://www.airitibooks.com/Detail/Detail?PublicationID=P20190425122", "https://ntsu.idm.oclc.org/login?url=https://www.airitibooks.com/Detail/Detail?PublicationID=P20190425122")</f>
        <v>https://ntsu.idm.oclc.org/login?url=https://www.airitibooks.com/Detail/Detail?PublicationID=P20190425122</v>
      </c>
    </row>
    <row r="1125" spans="1:11" ht="51" x14ac:dyDescent="0.4">
      <c r="A1125" s="10" t="s">
        <v>11306</v>
      </c>
      <c r="B1125" s="10" t="s">
        <v>11307</v>
      </c>
      <c r="C1125" s="10" t="s">
        <v>10156</v>
      </c>
      <c r="D1125" s="10" t="s">
        <v>11308</v>
      </c>
      <c r="E1125" s="10" t="s">
        <v>3219</v>
      </c>
      <c r="F1125" s="10" t="s">
        <v>11309</v>
      </c>
      <c r="G1125" s="10" t="s">
        <v>37</v>
      </c>
      <c r="H1125" s="7" t="s">
        <v>24</v>
      </c>
      <c r="I1125" s="7" t="s">
        <v>25</v>
      </c>
      <c r="J1125" s="13" t="str">
        <f>HYPERLINK("https://www.airitibooks.com/Detail/Detail?PublicationID=P20190503154", "https://www.airitibooks.com/Detail/Detail?PublicationID=P20190503154")</f>
        <v>https://www.airitibooks.com/Detail/Detail?PublicationID=P20190503154</v>
      </c>
      <c r="K1125" s="13" t="str">
        <f>HYPERLINK("https://ntsu.idm.oclc.org/login?url=https://www.airitibooks.com/Detail/Detail?PublicationID=P20190503154", "https://ntsu.idm.oclc.org/login?url=https://www.airitibooks.com/Detail/Detail?PublicationID=P20190503154")</f>
        <v>https://ntsu.idm.oclc.org/login?url=https://www.airitibooks.com/Detail/Detail?PublicationID=P20190503154</v>
      </c>
    </row>
    <row r="1126" spans="1:11" ht="51" x14ac:dyDescent="0.4">
      <c r="A1126" s="10" t="s">
        <v>11316</v>
      </c>
      <c r="B1126" s="10" t="s">
        <v>11317</v>
      </c>
      <c r="C1126" s="10" t="s">
        <v>9915</v>
      </c>
      <c r="D1126" s="10" t="s">
        <v>11318</v>
      </c>
      <c r="E1126" s="10" t="s">
        <v>3219</v>
      </c>
      <c r="F1126" s="10" t="s">
        <v>3428</v>
      </c>
      <c r="G1126" s="10" t="s">
        <v>37</v>
      </c>
      <c r="H1126" s="7" t="s">
        <v>24</v>
      </c>
      <c r="I1126" s="7" t="s">
        <v>25</v>
      </c>
      <c r="J1126" s="13" t="str">
        <f>HYPERLINK("https://www.airitibooks.com/Detail/Detail?PublicationID=P20190510078", "https://www.airitibooks.com/Detail/Detail?PublicationID=P20190510078")</f>
        <v>https://www.airitibooks.com/Detail/Detail?PublicationID=P20190510078</v>
      </c>
      <c r="K1126" s="13" t="str">
        <f>HYPERLINK("https://ntsu.idm.oclc.org/login?url=https://www.airitibooks.com/Detail/Detail?PublicationID=P20190510078", "https://ntsu.idm.oclc.org/login?url=https://www.airitibooks.com/Detail/Detail?PublicationID=P20190510078")</f>
        <v>https://ntsu.idm.oclc.org/login?url=https://www.airitibooks.com/Detail/Detail?PublicationID=P20190510078</v>
      </c>
    </row>
    <row r="1127" spans="1:11" ht="51" x14ac:dyDescent="0.4">
      <c r="A1127" s="10" t="s">
        <v>11998</v>
      </c>
      <c r="B1127" s="10" t="s">
        <v>11999</v>
      </c>
      <c r="C1127" s="10" t="s">
        <v>11995</v>
      </c>
      <c r="D1127" s="10" t="s">
        <v>12000</v>
      </c>
      <c r="E1127" s="10" t="s">
        <v>3219</v>
      </c>
      <c r="F1127" s="10" t="s">
        <v>940</v>
      </c>
      <c r="G1127" s="10" t="s">
        <v>37</v>
      </c>
      <c r="H1127" s="7" t="s">
        <v>24</v>
      </c>
      <c r="I1127" s="7" t="s">
        <v>25</v>
      </c>
      <c r="J1127" s="13" t="str">
        <f>HYPERLINK("https://www.airitibooks.com/Detail/Detail?PublicationID=P20190718050", "https://www.airitibooks.com/Detail/Detail?PublicationID=P20190718050")</f>
        <v>https://www.airitibooks.com/Detail/Detail?PublicationID=P20190718050</v>
      </c>
      <c r="K1127" s="13" t="str">
        <f>HYPERLINK("https://ntsu.idm.oclc.org/login?url=https://www.airitibooks.com/Detail/Detail?PublicationID=P20190718050", "https://ntsu.idm.oclc.org/login?url=https://www.airitibooks.com/Detail/Detail?PublicationID=P20190718050")</f>
        <v>https://ntsu.idm.oclc.org/login?url=https://www.airitibooks.com/Detail/Detail?PublicationID=P20190718050</v>
      </c>
    </row>
    <row r="1128" spans="1:11" ht="51" x14ac:dyDescent="0.4">
      <c r="A1128" s="10" t="s">
        <v>12045</v>
      </c>
      <c r="B1128" s="10" t="s">
        <v>12046</v>
      </c>
      <c r="C1128" s="10" t="s">
        <v>568</v>
      </c>
      <c r="D1128" s="10" t="s">
        <v>12047</v>
      </c>
      <c r="E1128" s="10" t="s">
        <v>3219</v>
      </c>
      <c r="F1128" s="10" t="s">
        <v>12048</v>
      </c>
      <c r="G1128" s="10" t="s">
        <v>37</v>
      </c>
      <c r="H1128" s="7" t="s">
        <v>24</v>
      </c>
      <c r="I1128" s="7" t="s">
        <v>25</v>
      </c>
      <c r="J1128" s="13" t="str">
        <f>HYPERLINK("https://www.airitibooks.com/Detail/Detail?PublicationID=P20190816074", "https://www.airitibooks.com/Detail/Detail?PublicationID=P20190816074")</f>
        <v>https://www.airitibooks.com/Detail/Detail?PublicationID=P20190816074</v>
      </c>
      <c r="K1128" s="13" t="str">
        <f>HYPERLINK("https://ntsu.idm.oclc.org/login?url=https://www.airitibooks.com/Detail/Detail?PublicationID=P20190816074", "https://ntsu.idm.oclc.org/login?url=https://www.airitibooks.com/Detail/Detail?PublicationID=P20190816074")</f>
        <v>https://ntsu.idm.oclc.org/login?url=https://www.airitibooks.com/Detail/Detail?PublicationID=P20190816074</v>
      </c>
    </row>
    <row r="1129" spans="1:11" ht="51" x14ac:dyDescent="0.4">
      <c r="A1129" s="10" t="s">
        <v>12159</v>
      </c>
      <c r="B1129" s="10" t="s">
        <v>12160</v>
      </c>
      <c r="C1129" s="10" t="s">
        <v>12161</v>
      </c>
      <c r="D1129" s="10" t="s">
        <v>12162</v>
      </c>
      <c r="E1129" s="10" t="s">
        <v>3219</v>
      </c>
      <c r="F1129" s="10" t="s">
        <v>12163</v>
      </c>
      <c r="G1129" s="10" t="s">
        <v>37</v>
      </c>
      <c r="H1129" s="7" t="s">
        <v>24</v>
      </c>
      <c r="I1129" s="7" t="s">
        <v>25</v>
      </c>
      <c r="J1129" s="13" t="str">
        <f>HYPERLINK("https://www.airitibooks.com/Detail/Detail?PublicationID=P20190816274", "https://www.airitibooks.com/Detail/Detail?PublicationID=P20190816274")</f>
        <v>https://www.airitibooks.com/Detail/Detail?PublicationID=P20190816274</v>
      </c>
      <c r="K1129" s="13" t="str">
        <f>HYPERLINK("https://ntsu.idm.oclc.org/login?url=https://www.airitibooks.com/Detail/Detail?PublicationID=P20190816274", "https://ntsu.idm.oclc.org/login?url=https://www.airitibooks.com/Detail/Detail?PublicationID=P20190816274")</f>
        <v>https://ntsu.idm.oclc.org/login?url=https://www.airitibooks.com/Detail/Detail?PublicationID=P20190816274</v>
      </c>
    </row>
    <row r="1130" spans="1:11" ht="51" x14ac:dyDescent="0.4">
      <c r="A1130" s="10" t="s">
        <v>12247</v>
      </c>
      <c r="B1130" s="10" t="s">
        <v>12248</v>
      </c>
      <c r="C1130" s="10" t="s">
        <v>11995</v>
      </c>
      <c r="D1130" s="10" t="s">
        <v>12249</v>
      </c>
      <c r="E1130" s="10" t="s">
        <v>3219</v>
      </c>
      <c r="F1130" s="10" t="s">
        <v>6884</v>
      </c>
      <c r="G1130" s="10" t="s">
        <v>37</v>
      </c>
      <c r="H1130" s="7" t="s">
        <v>24</v>
      </c>
      <c r="I1130" s="7" t="s">
        <v>25</v>
      </c>
      <c r="J1130" s="13" t="str">
        <f>HYPERLINK("https://www.airitibooks.com/Detail/Detail?PublicationID=P20190905316", "https://www.airitibooks.com/Detail/Detail?PublicationID=P20190905316")</f>
        <v>https://www.airitibooks.com/Detail/Detail?PublicationID=P20190905316</v>
      </c>
      <c r="K1130" s="13" t="str">
        <f>HYPERLINK("https://ntsu.idm.oclc.org/login?url=https://www.airitibooks.com/Detail/Detail?PublicationID=P20190905316", "https://ntsu.idm.oclc.org/login?url=https://www.airitibooks.com/Detail/Detail?PublicationID=P20190905316")</f>
        <v>https://ntsu.idm.oclc.org/login?url=https://www.airitibooks.com/Detail/Detail?PublicationID=P20190905316</v>
      </c>
    </row>
    <row r="1131" spans="1:11" ht="51" x14ac:dyDescent="0.4">
      <c r="A1131" s="10" t="s">
        <v>12251</v>
      </c>
      <c r="B1131" s="10" t="s">
        <v>12252</v>
      </c>
      <c r="C1131" s="10" t="s">
        <v>938</v>
      </c>
      <c r="D1131" s="10" t="s">
        <v>943</v>
      </c>
      <c r="E1131" s="10" t="s">
        <v>3219</v>
      </c>
      <c r="F1131" s="10" t="s">
        <v>6664</v>
      </c>
      <c r="G1131" s="10" t="s">
        <v>37</v>
      </c>
      <c r="H1131" s="7" t="s">
        <v>24</v>
      </c>
      <c r="I1131" s="7" t="s">
        <v>25</v>
      </c>
      <c r="J1131" s="13" t="str">
        <f>HYPERLINK("https://www.airitibooks.com/Detail/Detail?PublicationID=P20190911012", "https://www.airitibooks.com/Detail/Detail?PublicationID=P20190911012")</f>
        <v>https://www.airitibooks.com/Detail/Detail?PublicationID=P20190911012</v>
      </c>
      <c r="K1131" s="13" t="str">
        <f>HYPERLINK("https://ntsu.idm.oclc.org/login?url=https://www.airitibooks.com/Detail/Detail?PublicationID=P20190911012", "https://ntsu.idm.oclc.org/login?url=https://www.airitibooks.com/Detail/Detail?PublicationID=P20190911012")</f>
        <v>https://ntsu.idm.oclc.org/login?url=https://www.airitibooks.com/Detail/Detail?PublicationID=P20190911012</v>
      </c>
    </row>
    <row r="1132" spans="1:11" ht="51" x14ac:dyDescent="0.4">
      <c r="A1132" s="10" t="s">
        <v>12253</v>
      </c>
      <c r="B1132" s="10" t="s">
        <v>12254</v>
      </c>
      <c r="C1132" s="10" t="s">
        <v>938</v>
      </c>
      <c r="D1132" s="10" t="s">
        <v>943</v>
      </c>
      <c r="E1132" s="10" t="s">
        <v>3219</v>
      </c>
      <c r="F1132" s="10" t="s">
        <v>6664</v>
      </c>
      <c r="G1132" s="10" t="s">
        <v>37</v>
      </c>
      <c r="H1132" s="7" t="s">
        <v>24</v>
      </c>
      <c r="I1132" s="7" t="s">
        <v>25</v>
      </c>
      <c r="J1132" s="13" t="str">
        <f>HYPERLINK("https://www.airitibooks.com/Detail/Detail?PublicationID=P20190911013", "https://www.airitibooks.com/Detail/Detail?PublicationID=P20190911013")</f>
        <v>https://www.airitibooks.com/Detail/Detail?PublicationID=P20190911013</v>
      </c>
      <c r="K1132" s="13" t="str">
        <f>HYPERLINK("https://ntsu.idm.oclc.org/login?url=https://www.airitibooks.com/Detail/Detail?PublicationID=P20190911013", "https://ntsu.idm.oclc.org/login?url=https://www.airitibooks.com/Detail/Detail?PublicationID=P20190911013")</f>
        <v>https://ntsu.idm.oclc.org/login?url=https://www.airitibooks.com/Detail/Detail?PublicationID=P20190911013</v>
      </c>
    </row>
    <row r="1133" spans="1:11" ht="51" x14ac:dyDescent="0.4">
      <c r="A1133" s="10" t="s">
        <v>12292</v>
      </c>
      <c r="B1133" s="10" t="s">
        <v>12293</v>
      </c>
      <c r="C1133" s="10" t="s">
        <v>240</v>
      </c>
      <c r="D1133" s="10" t="s">
        <v>12294</v>
      </c>
      <c r="E1133" s="10" t="s">
        <v>3219</v>
      </c>
      <c r="F1133" s="10" t="s">
        <v>12295</v>
      </c>
      <c r="G1133" s="10" t="s">
        <v>37</v>
      </c>
      <c r="H1133" s="7" t="s">
        <v>24</v>
      </c>
      <c r="I1133" s="7" t="s">
        <v>25</v>
      </c>
      <c r="J1133" s="13" t="str">
        <f>HYPERLINK("https://www.airitibooks.com/Detail/Detail?PublicationID=P20190920061", "https://www.airitibooks.com/Detail/Detail?PublicationID=P20190920061")</f>
        <v>https://www.airitibooks.com/Detail/Detail?PublicationID=P20190920061</v>
      </c>
      <c r="K1133" s="13" t="str">
        <f>HYPERLINK("https://ntsu.idm.oclc.org/login?url=https://www.airitibooks.com/Detail/Detail?PublicationID=P20190920061", "https://ntsu.idm.oclc.org/login?url=https://www.airitibooks.com/Detail/Detail?PublicationID=P20190920061")</f>
        <v>https://ntsu.idm.oclc.org/login?url=https://www.airitibooks.com/Detail/Detail?PublicationID=P20190920061</v>
      </c>
    </row>
    <row r="1134" spans="1:11" ht="51" x14ac:dyDescent="0.4">
      <c r="A1134" s="10" t="s">
        <v>12310</v>
      </c>
      <c r="B1134" s="10" t="s">
        <v>12311</v>
      </c>
      <c r="C1134" s="10" t="s">
        <v>297</v>
      </c>
      <c r="D1134" s="10" t="s">
        <v>12312</v>
      </c>
      <c r="E1134" s="10" t="s">
        <v>3219</v>
      </c>
      <c r="F1134" s="10" t="s">
        <v>1605</v>
      </c>
      <c r="G1134" s="10" t="s">
        <v>37</v>
      </c>
      <c r="H1134" s="7" t="s">
        <v>24</v>
      </c>
      <c r="I1134" s="7" t="s">
        <v>25</v>
      </c>
      <c r="J1134" s="13" t="str">
        <f>HYPERLINK("https://www.airitibooks.com/Detail/Detail?PublicationID=P20190920099", "https://www.airitibooks.com/Detail/Detail?PublicationID=P20190920099")</f>
        <v>https://www.airitibooks.com/Detail/Detail?PublicationID=P20190920099</v>
      </c>
      <c r="K1134" s="13" t="str">
        <f>HYPERLINK("https://ntsu.idm.oclc.org/login?url=https://www.airitibooks.com/Detail/Detail?PublicationID=P20190920099", "https://ntsu.idm.oclc.org/login?url=https://www.airitibooks.com/Detail/Detail?PublicationID=P20190920099")</f>
        <v>https://ntsu.idm.oclc.org/login?url=https://www.airitibooks.com/Detail/Detail?PublicationID=P20190920099</v>
      </c>
    </row>
    <row r="1135" spans="1:11" ht="51" x14ac:dyDescent="0.4">
      <c r="A1135" s="10" t="s">
        <v>12376</v>
      </c>
      <c r="B1135" s="10" t="s">
        <v>12377</v>
      </c>
      <c r="C1135" s="10" t="s">
        <v>938</v>
      </c>
      <c r="D1135" s="10" t="s">
        <v>943</v>
      </c>
      <c r="E1135" s="10" t="s">
        <v>3219</v>
      </c>
      <c r="F1135" s="10" t="s">
        <v>940</v>
      </c>
      <c r="G1135" s="10" t="s">
        <v>37</v>
      </c>
      <c r="H1135" s="7" t="s">
        <v>24</v>
      </c>
      <c r="I1135" s="7" t="s">
        <v>25</v>
      </c>
      <c r="J1135" s="13" t="str">
        <f>HYPERLINK("https://www.airitibooks.com/Detail/Detail?PublicationID=P20190927200", "https://www.airitibooks.com/Detail/Detail?PublicationID=P20190927200")</f>
        <v>https://www.airitibooks.com/Detail/Detail?PublicationID=P20190927200</v>
      </c>
      <c r="K1135" s="13" t="str">
        <f>HYPERLINK("https://ntsu.idm.oclc.org/login?url=https://www.airitibooks.com/Detail/Detail?PublicationID=P20190927200", "https://ntsu.idm.oclc.org/login?url=https://www.airitibooks.com/Detail/Detail?PublicationID=P20190927200")</f>
        <v>https://ntsu.idm.oclc.org/login?url=https://www.airitibooks.com/Detail/Detail?PublicationID=P20190927200</v>
      </c>
    </row>
    <row r="1136" spans="1:11" ht="51" x14ac:dyDescent="0.4">
      <c r="A1136" s="10" t="s">
        <v>12473</v>
      </c>
      <c r="B1136" s="10" t="s">
        <v>12474</v>
      </c>
      <c r="C1136" s="10" t="s">
        <v>12471</v>
      </c>
      <c r="D1136" s="10" t="s">
        <v>12475</v>
      </c>
      <c r="E1136" s="10" t="s">
        <v>3219</v>
      </c>
      <c r="F1136" s="10" t="s">
        <v>12476</v>
      </c>
      <c r="G1136" s="10" t="s">
        <v>37</v>
      </c>
      <c r="H1136" s="7" t="s">
        <v>24</v>
      </c>
      <c r="I1136" s="7" t="s">
        <v>25</v>
      </c>
      <c r="J1136" s="13" t="str">
        <f>HYPERLINK("https://www.airitibooks.com/Detail/Detail?PublicationID=P20191005078", "https://www.airitibooks.com/Detail/Detail?PublicationID=P20191005078")</f>
        <v>https://www.airitibooks.com/Detail/Detail?PublicationID=P20191005078</v>
      </c>
      <c r="K1136" s="13" t="str">
        <f>HYPERLINK("https://ntsu.idm.oclc.org/login?url=https://www.airitibooks.com/Detail/Detail?PublicationID=P20191005078", "https://ntsu.idm.oclc.org/login?url=https://www.airitibooks.com/Detail/Detail?PublicationID=P20191005078")</f>
        <v>https://ntsu.idm.oclc.org/login?url=https://www.airitibooks.com/Detail/Detail?PublicationID=P20191005078</v>
      </c>
    </row>
    <row r="1137" spans="1:11" ht="51" x14ac:dyDescent="0.4">
      <c r="A1137" s="10" t="s">
        <v>12481</v>
      </c>
      <c r="B1137" s="10" t="s">
        <v>12482</v>
      </c>
      <c r="C1137" s="10" t="s">
        <v>12483</v>
      </c>
      <c r="D1137" s="10" t="s">
        <v>12484</v>
      </c>
      <c r="E1137" s="10" t="s">
        <v>3219</v>
      </c>
      <c r="F1137" s="10" t="s">
        <v>12485</v>
      </c>
      <c r="G1137" s="10" t="s">
        <v>37</v>
      </c>
      <c r="H1137" s="7" t="s">
        <v>24</v>
      </c>
      <c r="I1137" s="7" t="s">
        <v>25</v>
      </c>
      <c r="J1137" s="13" t="str">
        <f>HYPERLINK("https://www.airitibooks.com/Detail/Detail?PublicationID=P20191005106", "https://www.airitibooks.com/Detail/Detail?PublicationID=P20191005106")</f>
        <v>https://www.airitibooks.com/Detail/Detail?PublicationID=P20191005106</v>
      </c>
      <c r="K1137" s="13" t="str">
        <f>HYPERLINK("https://ntsu.idm.oclc.org/login?url=https://www.airitibooks.com/Detail/Detail?PublicationID=P20191005106", "https://ntsu.idm.oclc.org/login?url=https://www.airitibooks.com/Detail/Detail?PublicationID=P20191005106")</f>
        <v>https://ntsu.idm.oclc.org/login?url=https://www.airitibooks.com/Detail/Detail?PublicationID=P20191005106</v>
      </c>
    </row>
    <row r="1138" spans="1:11" ht="51" x14ac:dyDescent="0.4">
      <c r="A1138" s="10" t="s">
        <v>12698</v>
      </c>
      <c r="B1138" s="10" t="s">
        <v>12699</v>
      </c>
      <c r="C1138" s="10" t="s">
        <v>197</v>
      </c>
      <c r="D1138" s="10" t="s">
        <v>1329</v>
      </c>
      <c r="E1138" s="10" t="s">
        <v>3219</v>
      </c>
      <c r="F1138" s="10" t="s">
        <v>12700</v>
      </c>
      <c r="G1138" s="10" t="s">
        <v>37</v>
      </c>
      <c r="H1138" s="7" t="s">
        <v>24</v>
      </c>
      <c r="I1138" s="7" t="s">
        <v>25</v>
      </c>
      <c r="J1138" s="13" t="str">
        <f>HYPERLINK("https://www.airitibooks.com/Detail/Detail?PublicationID=P20191023072", "https://www.airitibooks.com/Detail/Detail?PublicationID=P20191023072")</f>
        <v>https://www.airitibooks.com/Detail/Detail?PublicationID=P20191023072</v>
      </c>
      <c r="K1138" s="13" t="str">
        <f>HYPERLINK("https://ntsu.idm.oclc.org/login?url=https://www.airitibooks.com/Detail/Detail?PublicationID=P20191023072", "https://ntsu.idm.oclc.org/login?url=https://www.airitibooks.com/Detail/Detail?PublicationID=P20191023072")</f>
        <v>https://ntsu.idm.oclc.org/login?url=https://www.airitibooks.com/Detail/Detail?PublicationID=P20191023072</v>
      </c>
    </row>
    <row r="1139" spans="1:11" ht="51" x14ac:dyDescent="0.4">
      <c r="A1139" s="10" t="s">
        <v>12754</v>
      </c>
      <c r="B1139" s="10" t="s">
        <v>12755</v>
      </c>
      <c r="C1139" s="10" t="s">
        <v>7164</v>
      </c>
      <c r="D1139" s="10" t="s">
        <v>12756</v>
      </c>
      <c r="E1139" s="10" t="s">
        <v>3219</v>
      </c>
      <c r="F1139" s="10" t="s">
        <v>940</v>
      </c>
      <c r="G1139" s="10" t="s">
        <v>37</v>
      </c>
      <c r="H1139" s="7" t="s">
        <v>24</v>
      </c>
      <c r="I1139" s="7" t="s">
        <v>25</v>
      </c>
      <c r="J1139" s="13" t="str">
        <f>HYPERLINK("https://www.airitibooks.com/Detail/Detail?PublicationID=P20191031029", "https://www.airitibooks.com/Detail/Detail?PublicationID=P20191031029")</f>
        <v>https://www.airitibooks.com/Detail/Detail?PublicationID=P20191031029</v>
      </c>
      <c r="K1139" s="13" t="str">
        <f>HYPERLINK("https://ntsu.idm.oclc.org/login?url=https://www.airitibooks.com/Detail/Detail?PublicationID=P20191031029", "https://ntsu.idm.oclc.org/login?url=https://www.airitibooks.com/Detail/Detail?PublicationID=P20191031029")</f>
        <v>https://ntsu.idm.oclc.org/login?url=https://www.airitibooks.com/Detail/Detail?PublicationID=P20191031029</v>
      </c>
    </row>
    <row r="1140" spans="1:11" ht="51" x14ac:dyDescent="0.4">
      <c r="A1140" s="10" t="s">
        <v>12775</v>
      </c>
      <c r="B1140" s="10" t="s">
        <v>12776</v>
      </c>
      <c r="C1140" s="10" t="s">
        <v>11995</v>
      </c>
      <c r="D1140" s="10" t="s">
        <v>12777</v>
      </c>
      <c r="E1140" s="10" t="s">
        <v>3219</v>
      </c>
      <c r="F1140" s="10" t="s">
        <v>5463</v>
      </c>
      <c r="G1140" s="10" t="s">
        <v>37</v>
      </c>
      <c r="H1140" s="7" t="s">
        <v>24</v>
      </c>
      <c r="I1140" s="7" t="s">
        <v>25</v>
      </c>
      <c r="J1140" s="13" t="str">
        <f>HYPERLINK("https://www.airitibooks.com/Detail/Detail?PublicationID=P20191031036", "https://www.airitibooks.com/Detail/Detail?PublicationID=P20191031036")</f>
        <v>https://www.airitibooks.com/Detail/Detail?PublicationID=P20191031036</v>
      </c>
      <c r="K1140" s="13" t="str">
        <f>HYPERLINK("https://ntsu.idm.oclc.org/login?url=https://www.airitibooks.com/Detail/Detail?PublicationID=P20191031036", "https://ntsu.idm.oclc.org/login?url=https://www.airitibooks.com/Detail/Detail?PublicationID=P20191031036")</f>
        <v>https://ntsu.idm.oclc.org/login?url=https://www.airitibooks.com/Detail/Detail?PublicationID=P20191031036</v>
      </c>
    </row>
    <row r="1141" spans="1:11" ht="51" x14ac:dyDescent="0.4">
      <c r="A1141" s="10" t="s">
        <v>12778</v>
      </c>
      <c r="B1141" s="10" t="s">
        <v>12779</v>
      </c>
      <c r="C1141" s="10" t="s">
        <v>11995</v>
      </c>
      <c r="D1141" s="10" t="s">
        <v>12780</v>
      </c>
      <c r="E1141" s="10" t="s">
        <v>3219</v>
      </c>
      <c r="F1141" s="10" t="s">
        <v>940</v>
      </c>
      <c r="G1141" s="10" t="s">
        <v>37</v>
      </c>
      <c r="H1141" s="7" t="s">
        <v>24</v>
      </c>
      <c r="I1141" s="7" t="s">
        <v>25</v>
      </c>
      <c r="J1141" s="13" t="str">
        <f>HYPERLINK("https://www.airitibooks.com/Detail/Detail?PublicationID=P20191031037", "https://www.airitibooks.com/Detail/Detail?PublicationID=P20191031037")</f>
        <v>https://www.airitibooks.com/Detail/Detail?PublicationID=P20191031037</v>
      </c>
      <c r="K1141" s="13" t="str">
        <f>HYPERLINK("https://ntsu.idm.oclc.org/login?url=https://www.airitibooks.com/Detail/Detail?PublicationID=P20191031037", "https://ntsu.idm.oclc.org/login?url=https://www.airitibooks.com/Detail/Detail?PublicationID=P20191031037")</f>
        <v>https://ntsu.idm.oclc.org/login?url=https://www.airitibooks.com/Detail/Detail?PublicationID=P20191031037</v>
      </c>
    </row>
    <row r="1142" spans="1:11" ht="51" x14ac:dyDescent="0.4">
      <c r="A1142" s="10" t="s">
        <v>12785</v>
      </c>
      <c r="B1142" s="10" t="s">
        <v>12786</v>
      </c>
      <c r="C1142" s="10" t="s">
        <v>11995</v>
      </c>
      <c r="D1142" s="10" t="s">
        <v>12787</v>
      </c>
      <c r="E1142" s="10" t="s">
        <v>3219</v>
      </c>
      <c r="F1142" s="10" t="s">
        <v>1116</v>
      </c>
      <c r="G1142" s="10" t="s">
        <v>37</v>
      </c>
      <c r="H1142" s="7" t="s">
        <v>24</v>
      </c>
      <c r="I1142" s="7" t="s">
        <v>25</v>
      </c>
      <c r="J1142" s="13" t="str">
        <f>HYPERLINK("https://www.airitibooks.com/Detail/Detail?PublicationID=P20191031039", "https://www.airitibooks.com/Detail/Detail?PublicationID=P20191031039")</f>
        <v>https://www.airitibooks.com/Detail/Detail?PublicationID=P20191031039</v>
      </c>
      <c r="K1142" s="13" t="str">
        <f>HYPERLINK("https://ntsu.idm.oclc.org/login?url=https://www.airitibooks.com/Detail/Detail?PublicationID=P20191031039", "https://ntsu.idm.oclc.org/login?url=https://www.airitibooks.com/Detail/Detail?PublicationID=P20191031039")</f>
        <v>https://ntsu.idm.oclc.org/login?url=https://www.airitibooks.com/Detail/Detail?PublicationID=P20191031039</v>
      </c>
    </row>
    <row r="1143" spans="1:11" ht="51" x14ac:dyDescent="0.4">
      <c r="A1143" s="10" t="s">
        <v>12962</v>
      </c>
      <c r="B1143" s="10" t="s">
        <v>12963</v>
      </c>
      <c r="C1143" s="10" t="s">
        <v>510</v>
      </c>
      <c r="D1143" s="10" t="s">
        <v>12964</v>
      </c>
      <c r="E1143" s="10" t="s">
        <v>3219</v>
      </c>
      <c r="F1143" s="10" t="s">
        <v>12965</v>
      </c>
      <c r="G1143" s="10" t="s">
        <v>37</v>
      </c>
      <c r="H1143" s="7" t="s">
        <v>24</v>
      </c>
      <c r="I1143" s="7" t="s">
        <v>25</v>
      </c>
      <c r="J1143" s="13" t="str">
        <f>HYPERLINK("https://www.airitibooks.com/Detail/Detail?PublicationID=P20191115066", "https://www.airitibooks.com/Detail/Detail?PublicationID=P20191115066")</f>
        <v>https://www.airitibooks.com/Detail/Detail?PublicationID=P20191115066</v>
      </c>
      <c r="K1143" s="13" t="str">
        <f>HYPERLINK("https://ntsu.idm.oclc.org/login?url=https://www.airitibooks.com/Detail/Detail?PublicationID=P20191115066", "https://ntsu.idm.oclc.org/login?url=https://www.airitibooks.com/Detail/Detail?PublicationID=P20191115066")</f>
        <v>https://ntsu.idm.oclc.org/login?url=https://www.airitibooks.com/Detail/Detail?PublicationID=P20191115066</v>
      </c>
    </row>
    <row r="1144" spans="1:11" ht="51" x14ac:dyDescent="0.4">
      <c r="A1144" s="10" t="s">
        <v>13183</v>
      </c>
      <c r="B1144" s="10" t="s">
        <v>13184</v>
      </c>
      <c r="C1144" s="10" t="s">
        <v>6662</v>
      </c>
      <c r="D1144" s="10" t="s">
        <v>13185</v>
      </c>
      <c r="E1144" s="10" t="s">
        <v>3219</v>
      </c>
      <c r="F1144" s="10" t="s">
        <v>6664</v>
      </c>
      <c r="G1144" s="10" t="s">
        <v>37</v>
      </c>
      <c r="H1144" s="7" t="s">
        <v>24</v>
      </c>
      <c r="I1144" s="7" t="s">
        <v>25</v>
      </c>
      <c r="J1144" s="13" t="str">
        <f>HYPERLINK("https://www.airitibooks.com/Detail/Detail?PublicationID=P20191226046", "https://www.airitibooks.com/Detail/Detail?PublicationID=P20191226046")</f>
        <v>https://www.airitibooks.com/Detail/Detail?PublicationID=P20191226046</v>
      </c>
      <c r="K1144" s="13" t="str">
        <f>HYPERLINK("https://ntsu.idm.oclc.org/login?url=https://www.airitibooks.com/Detail/Detail?PublicationID=P20191226046", "https://ntsu.idm.oclc.org/login?url=https://www.airitibooks.com/Detail/Detail?PublicationID=P20191226046")</f>
        <v>https://ntsu.idm.oclc.org/login?url=https://www.airitibooks.com/Detail/Detail?PublicationID=P20191226046</v>
      </c>
    </row>
    <row r="1145" spans="1:11" ht="51" x14ac:dyDescent="0.4">
      <c r="A1145" s="10" t="s">
        <v>13186</v>
      </c>
      <c r="B1145" s="10" t="s">
        <v>13187</v>
      </c>
      <c r="C1145" s="10" t="s">
        <v>6662</v>
      </c>
      <c r="D1145" s="10" t="s">
        <v>13185</v>
      </c>
      <c r="E1145" s="10" t="s">
        <v>3219</v>
      </c>
      <c r="F1145" s="10" t="s">
        <v>6664</v>
      </c>
      <c r="G1145" s="10" t="s">
        <v>37</v>
      </c>
      <c r="H1145" s="7" t="s">
        <v>24</v>
      </c>
      <c r="I1145" s="7" t="s">
        <v>25</v>
      </c>
      <c r="J1145" s="13" t="str">
        <f>HYPERLINK("https://www.airitibooks.com/Detail/Detail?PublicationID=P20191226047", "https://www.airitibooks.com/Detail/Detail?PublicationID=P20191226047")</f>
        <v>https://www.airitibooks.com/Detail/Detail?PublicationID=P20191226047</v>
      </c>
      <c r="K1145" s="13" t="str">
        <f>HYPERLINK("https://ntsu.idm.oclc.org/login?url=https://www.airitibooks.com/Detail/Detail?PublicationID=P20191226047", "https://ntsu.idm.oclc.org/login?url=https://www.airitibooks.com/Detail/Detail?PublicationID=P20191226047")</f>
        <v>https://ntsu.idm.oclc.org/login?url=https://www.airitibooks.com/Detail/Detail?PublicationID=P20191226047</v>
      </c>
    </row>
    <row r="1146" spans="1:11" ht="51" x14ac:dyDescent="0.4">
      <c r="A1146" s="10" t="s">
        <v>13189</v>
      </c>
      <c r="B1146" s="10" t="s">
        <v>13190</v>
      </c>
      <c r="C1146" s="10" t="s">
        <v>6662</v>
      </c>
      <c r="D1146" s="10" t="s">
        <v>13191</v>
      </c>
      <c r="E1146" s="10" t="s">
        <v>3219</v>
      </c>
      <c r="F1146" s="10" t="s">
        <v>6664</v>
      </c>
      <c r="G1146" s="10" t="s">
        <v>37</v>
      </c>
      <c r="H1146" s="7" t="s">
        <v>24</v>
      </c>
      <c r="I1146" s="7" t="s">
        <v>25</v>
      </c>
      <c r="J1146" s="13" t="str">
        <f>HYPERLINK("https://www.airitibooks.com/Detail/Detail?PublicationID=P20191226048", "https://www.airitibooks.com/Detail/Detail?PublicationID=P20191226048")</f>
        <v>https://www.airitibooks.com/Detail/Detail?PublicationID=P20191226048</v>
      </c>
      <c r="K1146" s="13" t="str">
        <f>HYPERLINK("https://ntsu.idm.oclc.org/login?url=https://www.airitibooks.com/Detail/Detail?PublicationID=P20191226048", "https://ntsu.idm.oclc.org/login?url=https://www.airitibooks.com/Detail/Detail?PublicationID=P20191226048")</f>
        <v>https://ntsu.idm.oclc.org/login?url=https://www.airitibooks.com/Detail/Detail?PublicationID=P20191226048</v>
      </c>
    </row>
    <row r="1147" spans="1:11" ht="51" x14ac:dyDescent="0.4">
      <c r="A1147" s="10" t="s">
        <v>13239</v>
      </c>
      <c r="B1147" s="10" t="s">
        <v>13240</v>
      </c>
      <c r="C1147" s="10" t="s">
        <v>371</v>
      </c>
      <c r="D1147" s="10" t="s">
        <v>372</v>
      </c>
      <c r="E1147" s="10" t="s">
        <v>3219</v>
      </c>
      <c r="F1147" s="10" t="s">
        <v>5126</v>
      </c>
      <c r="G1147" s="10" t="s">
        <v>37</v>
      </c>
      <c r="H1147" s="7" t="s">
        <v>24</v>
      </c>
      <c r="I1147" s="7" t="s">
        <v>25</v>
      </c>
      <c r="J1147" s="13" t="str">
        <f>HYPERLINK("https://www.airitibooks.com/Detail/Detail?PublicationID=P20200103205", "https://www.airitibooks.com/Detail/Detail?PublicationID=P20200103205")</f>
        <v>https://www.airitibooks.com/Detail/Detail?PublicationID=P20200103205</v>
      </c>
      <c r="K1147" s="13" t="str">
        <f>HYPERLINK("https://ntsu.idm.oclc.org/login?url=https://www.airitibooks.com/Detail/Detail?PublicationID=P20200103205", "https://ntsu.idm.oclc.org/login?url=https://www.airitibooks.com/Detail/Detail?PublicationID=P20200103205")</f>
        <v>https://ntsu.idm.oclc.org/login?url=https://www.airitibooks.com/Detail/Detail?PublicationID=P20200103205</v>
      </c>
    </row>
    <row r="1148" spans="1:11" ht="85" x14ac:dyDescent="0.4">
      <c r="A1148" s="10" t="s">
        <v>13286</v>
      </c>
      <c r="B1148" s="10" t="s">
        <v>13287</v>
      </c>
      <c r="C1148" s="10" t="s">
        <v>8805</v>
      </c>
      <c r="D1148" s="10" t="s">
        <v>13288</v>
      </c>
      <c r="E1148" s="10" t="s">
        <v>3219</v>
      </c>
      <c r="F1148" s="10" t="s">
        <v>6664</v>
      </c>
      <c r="G1148" s="10" t="s">
        <v>37</v>
      </c>
      <c r="H1148" s="7" t="s">
        <v>24</v>
      </c>
      <c r="I1148" s="7" t="s">
        <v>25</v>
      </c>
      <c r="J1148" s="13" t="str">
        <f>HYPERLINK("https://www.airitibooks.com/Detail/Detail?PublicationID=P20200110118", "https://www.airitibooks.com/Detail/Detail?PublicationID=P20200110118")</f>
        <v>https://www.airitibooks.com/Detail/Detail?PublicationID=P20200110118</v>
      </c>
      <c r="K1148" s="13" t="str">
        <f>HYPERLINK("https://ntsu.idm.oclc.org/login?url=https://www.airitibooks.com/Detail/Detail?PublicationID=P20200110118", "https://ntsu.idm.oclc.org/login?url=https://www.airitibooks.com/Detail/Detail?PublicationID=P20200110118")</f>
        <v>https://ntsu.idm.oclc.org/login?url=https://www.airitibooks.com/Detail/Detail?PublicationID=P20200110118</v>
      </c>
    </row>
    <row r="1149" spans="1:11" ht="51" x14ac:dyDescent="0.4">
      <c r="A1149" s="10" t="s">
        <v>13364</v>
      </c>
      <c r="B1149" s="10" t="s">
        <v>13365</v>
      </c>
      <c r="C1149" s="10" t="s">
        <v>13194</v>
      </c>
      <c r="D1149" s="10" t="s">
        <v>13366</v>
      </c>
      <c r="E1149" s="10" t="s">
        <v>3219</v>
      </c>
      <c r="F1149" s="10" t="s">
        <v>7845</v>
      </c>
      <c r="G1149" s="10" t="s">
        <v>37</v>
      </c>
      <c r="H1149" s="7" t="s">
        <v>24</v>
      </c>
      <c r="I1149" s="7" t="s">
        <v>25</v>
      </c>
      <c r="J1149" s="13" t="str">
        <f>HYPERLINK("https://www.airitibooks.com/Detail/Detail?PublicationID=P20200117263", "https://www.airitibooks.com/Detail/Detail?PublicationID=P20200117263")</f>
        <v>https://www.airitibooks.com/Detail/Detail?PublicationID=P20200117263</v>
      </c>
      <c r="K1149" s="13" t="str">
        <f>HYPERLINK("https://ntsu.idm.oclc.org/login?url=https://www.airitibooks.com/Detail/Detail?PublicationID=P20200117263", "https://ntsu.idm.oclc.org/login?url=https://www.airitibooks.com/Detail/Detail?PublicationID=P20200117263")</f>
        <v>https://ntsu.idm.oclc.org/login?url=https://www.airitibooks.com/Detail/Detail?PublicationID=P20200117263</v>
      </c>
    </row>
    <row r="1150" spans="1:11" ht="51" x14ac:dyDescent="0.4">
      <c r="A1150" s="10" t="s">
        <v>13495</v>
      </c>
      <c r="B1150" s="10" t="s">
        <v>13496</v>
      </c>
      <c r="C1150" s="10" t="s">
        <v>7164</v>
      </c>
      <c r="D1150" s="10" t="s">
        <v>13497</v>
      </c>
      <c r="E1150" s="10" t="s">
        <v>3219</v>
      </c>
      <c r="F1150" s="10" t="s">
        <v>5463</v>
      </c>
      <c r="G1150" s="10" t="s">
        <v>37</v>
      </c>
      <c r="H1150" s="7" t="s">
        <v>24</v>
      </c>
      <c r="I1150" s="7" t="s">
        <v>25</v>
      </c>
      <c r="J1150" s="13" t="str">
        <f>HYPERLINK("https://www.airitibooks.com/Detail/Detail?PublicationID=P20200215084", "https://www.airitibooks.com/Detail/Detail?PublicationID=P20200215084")</f>
        <v>https://www.airitibooks.com/Detail/Detail?PublicationID=P20200215084</v>
      </c>
      <c r="K1150" s="13" t="str">
        <f>HYPERLINK("https://ntsu.idm.oclc.org/login?url=https://www.airitibooks.com/Detail/Detail?PublicationID=P20200215084", "https://ntsu.idm.oclc.org/login?url=https://www.airitibooks.com/Detail/Detail?PublicationID=P20200215084")</f>
        <v>https://ntsu.idm.oclc.org/login?url=https://www.airitibooks.com/Detail/Detail?PublicationID=P20200215084</v>
      </c>
    </row>
    <row r="1151" spans="1:11" ht="51" x14ac:dyDescent="0.4">
      <c r="A1151" s="10" t="s">
        <v>13980</v>
      </c>
      <c r="B1151" s="10" t="s">
        <v>13981</v>
      </c>
      <c r="C1151" s="10" t="s">
        <v>544</v>
      </c>
      <c r="D1151" s="10" t="s">
        <v>13982</v>
      </c>
      <c r="E1151" s="10" t="s">
        <v>3219</v>
      </c>
      <c r="F1151" s="10" t="s">
        <v>13983</v>
      </c>
      <c r="G1151" s="10" t="s">
        <v>37</v>
      </c>
      <c r="H1151" s="7" t="s">
        <v>24</v>
      </c>
      <c r="I1151" s="7" t="s">
        <v>25</v>
      </c>
      <c r="J1151" s="13" t="str">
        <f>HYPERLINK("https://www.airitibooks.com/Detail/Detail?PublicationID=P20200430052", "https://www.airitibooks.com/Detail/Detail?PublicationID=P20200430052")</f>
        <v>https://www.airitibooks.com/Detail/Detail?PublicationID=P20200430052</v>
      </c>
      <c r="K1151" s="13" t="str">
        <f>HYPERLINK("https://ntsu.idm.oclc.org/login?url=https://www.airitibooks.com/Detail/Detail?PublicationID=P20200430052", "https://ntsu.idm.oclc.org/login?url=https://www.airitibooks.com/Detail/Detail?PublicationID=P20200430052")</f>
        <v>https://ntsu.idm.oclc.org/login?url=https://www.airitibooks.com/Detail/Detail?PublicationID=P20200430052</v>
      </c>
    </row>
    <row r="1152" spans="1:11" ht="51" x14ac:dyDescent="0.4">
      <c r="A1152" s="10" t="s">
        <v>14057</v>
      </c>
      <c r="B1152" s="10" t="s">
        <v>14058</v>
      </c>
      <c r="C1152" s="10" t="s">
        <v>3705</v>
      </c>
      <c r="D1152" s="10" t="s">
        <v>14059</v>
      </c>
      <c r="E1152" s="10" t="s">
        <v>3219</v>
      </c>
      <c r="F1152" s="10" t="s">
        <v>1979</v>
      </c>
      <c r="G1152" s="10" t="s">
        <v>37</v>
      </c>
      <c r="H1152" s="7" t="s">
        <v>24</v>
      </c>
      <c r="I1152" s="7" t="s">
        <v>25</v>
      </c>
      <c r="J1152" s="13" t="str">
        <f>HYPERLINK("https://www.airitibooks.com/Detail/Detail?PublicationID=P20200430235", "https://www.airitibooks.com/Detail/Detail?PublicationID=P20200430235")</f>
        <v>https://www.airitibooks.com/Detail/Detail?PublicationID=P20200430235</v>
      </c>
      <c r="K1152" s="13" t="str">
        <f>HYPERLINK("https://ntsu.idm.oclc.org/login?url=https://www.airitibooks.com/Detail/Detail?PublicationID=P20200430235", "https://ntsu.idm.oclc.org/login?url=https://www.airitibooks.com/Detail/Detail?PublicationID=P20200430235")</f>
        <v>https://ntsu.idm.oclc.org/login?url=https://www.airitibooks.com/Detail/Detail?PublicationID=P20200430235</v>
      </c>
    </row>
    <row r="1153" spans="1:11" ht="51" x14ac:dyDescent="0.4">
      <c r="A1153" s="10" t="s">
        <v>15370</v>
      </c>
      <c r="B1153" s="10" t="s">
        <v>15371</v>
      </c>
      <c r="C1153" s="10" t="s">
        <v>7164</v>
      </c>
      <c r="D1153" s="10" t="s">
        <v>15372</v>
      </c>
      <c r="E1153" s="10" t="s">
        <v>3219</v>
      </c>
      <c r="F1153" s="10" t="s">
        <v>5463</v>
      </c>
      <c r="G1153" s="10" t="s">
        <v>37</v>
      </c>
      <c r="H1153" s="7" t="s">
        <v>24</v>
      </c>
      <c r="I1153" s="7" t="s">
        <v>25</v>
      </c>
      <c r="J1153" s="13" t="str">
        <f>HYPERLINK("https://www.airitibooks.com/Detail/Detail?PublicationID=P20210428031", "https://www.airitibooks.com/Detail/Detail?PublicationID=P20210428031")</f>
        <v>https://www.airitibooks.com/Detail/Detail?PublicationID=P20210428031</v>
      </c>
      <c r="K1153" s="13" t="str">
        <f>HYPERLINK("https://ntsu.idm.oclc.org/login?url=https://www.airitibooks.com/Detail/Detail?PublicationID=P20210428031", "https://ntsu.idm.oclc.org/login?url=https://www.airitibooks.com/Detail/Detail?PublicationID=P20210428031")</f>
        <v>https://ntsu.idm.oclc.org/login?url=https://www.airitibooks.com/Detail/Detail?PublicationID=P20210428031</v>
      </c>
    </row>
    <row r="1154" spans="1:11" ht="51" x14ac:dyDescent="0.4">
      <c r="A1154" s="10" t="s">
        <v>15389</v>
      </c>
      <c r="B1154" s="10" t="s">
        <v>15390</v>
      </c>
      <c r="C1154" s="10" t="s">
        <v>11995</v>
      </c>
      <c r="D1154" s="10" t="s">
        <v>15391</v>
      </c>
      <c r="E1154" s="10" t="s">
        <v>3219</v>
      </c>
      <c r="F1154" s="10" t="s">
        <v>15392</v>
      </c>
      <c r="G1154" s="10" t="s">
        <v>37</v>
      </c>
      <c r="H1154" s="7" t="s">
        <v>24</v>
      </c>
      <c r="I1154" s="7" t="s">
        <v>25</v>
      </c>
      <c r="J1154" s="13" t="str">
        <f>HYPERLINK("https://www.airitibooks.com/Detail/Detail?PublicationID=P20210428037", "https://www.airitibooks.com/Detail/Detail?PublicationID=P20210428037")</f>
        <v>https://www.airitibooks.com/Detail/Detail?PublicationID=P20210428037</v>
      </c>
      <c r="K1154" s="13" t="str">
        <f>HYPERLINK("https://ntsu.idm.oclc.org/login?url=https://www.airitibooks.com/Detail/Detail?PublicationID=P20210428037", "https://ntsu.idm.oclc.org/login?url=https://www.airitibooks.com/Detail/Detail?PublicationID=P20210428037")</f>
        <v>https://ntsu.idm.oclc.org/login?url=https://www.airitibooks.com/Detail/Detail?PublicationID=P20210428037</v>
      </c>
    </row>
    <row r="1155" spans="1:11" ht="51" x14ac:dyDescent="0.4">
      <c r="A1155" s="10" t="s">
        <v>15403</v>
      </c>
      <c r="B1155" s="10" t="s">
        <v>15404</v>
      </c>
      <c r="C1155" s="10" t="s">
        <v>7164</v>
      </c>
      <c r="D1155" s="10" t="s">
        <v>15405</v>
      </c>
      <c r="E1155" s="10" t="s">
        <v>3219</v>
      </c>
      <c r="F1155" s="10" t="s">
        <v>15406</v>
      </c>
      <c r="G1155" s="10" t="s">
        <v>37</v>
      </c>
      <c r="H1155" s="7" t="s">
        <v>24</v>
      </c>
      <c r="I1155" s="7" t="s">
        <v>25</v>
      </c>
      <c r="J1155" s="13" t="str">
        <f>HYPERLINK("https://www.airitibooks.com/Detail/Detail?PublicationID=P20210428042", "https://www.airitibooks.com/Detail/Detail?PublicationID=P20210428042")</f>
        <v>https://www.airitibooks.com/Detail/Detail?PublicationID=P20210428042</v>
      </c>
      <c r="K1155" s="13" t="str">
        <f>HYPERLINK("https://ntsu.idm.oclc.org/login?url=https://www.airitibooks.com/Detail/Detail?PublicationID=P20210428042", "https://ntsu.idm.oclc.org/login?url=https://www.airitibooks.com/Detail/Detail?PublicationID=P20210428042")</f>
        <v>https://ntsu.idm.oclc.org/login?url=https://www.airitibooks.com/Detail/Detail?PublicationID=P20210428042</v>
      </c>
    </row>
    <row r="1156" spans="1:11" ht="51" x14ac:dyDescent="0.4">
      <c r="A1156" s="10" t="s">
        <v>15410</v>
      </c>
      <c r="B1156" s="10" t="s">
        <v>15411</v>
      </c>
      <c r="C1156" s="10" t="s">
        <v>7164</v>
      </c>
      <c r="D1156" s="10" t="s">
        <v>15412</v>
      </c>
      <c r="E1156" s="10" t="s">
        <v>3219</v>
      </c>
      <c r="F1156" s="10" t="s">
        <v>5463</v>
      </c>
      <c r="G1156" s="10" t="s">
        <v>37</v>
      </c>
      <c r="H1156" s="7" t="s">
        <v>24</v>
      </c>
      <c r="I1156" s="7" t="s">
        <v>25</v>
      </c>
      <c r="J1156" s="13" t="str">
        <f>HYPERLINK("https://www.airitibooks.com/Detail/Detail?PublicationID=P20210428044", "https://www.airitibooks.com/Detail/Detail?PublicationID=P20210428044")</f>
        <v>https://www.airitibooks.com/Detail/Detail?PublicationID=P20210428044</v>
      </c>
      <c r="K1156" s="13" t="str">
        <f>HYPERLINK("https://ntsu.idm.oclc.org/login?url=https://www.airitibooks.com/Detail/Detail?PublicationID=P20210428044", "https://ntsu.idm.oclc.org/login?url=https://www.airitibooks.com/Detail/Detail?PublicationID=P20210428044")</f>
        <v>https://ntsu.idm.oclc.org/login?url=https://www.airitibooks.com/Detail/Detail?PublicationID=P20210428044</v>
      </c>
    </row>
    <row r="1157" spans="1:11" ht="51" x14ac:dyDescent="0.4">
      <c r="A1157" s="10" t="s">
        <v>15413</v>
      </c>
      <c r="B1157" s="10" t="s">
        <v>15414</v>
      </c>
      <c r="C1157" s="10" t="s">
        <v>7164</v>
      </c>
      <c r="D1157" s="10" t="s">
        <v>15415</v>
      </c>
      <c r="E1157" s="10" t="s">
        <v>3219</v>
      </c>
      <c r="F1157" s="10" t="s">
        <v>15416</v>
      </c>
      <c r="G1157" s="10" t="s">
        <v>37</v>
      </c>
      <c r="H1157" s="7" t="s">
        <v>24</v>
      </c>
      <c r="I1157" s="7" t="s">
        <v>25</v>
      </c>
      <c r="J1157" s="13" t="str">
        <f>HYPERLINK("https://www.airitibooks.com/Detail/Detail?PublicationID=P20210428045", "https://www.airitibooks.com/Detail/Detail?PublicationID=P20210428045")</f>
        <v>https://www.airitibooks.com/Detail/Detail?PublicationID=P20210428045</v>
      </c>
      <c r="K1157" s="13" t="str">
        <f>HYPERLINK("https://ntsu.idm.oclc.org/login?url=https://www.airitibooks.com/Detail/Detail?PublicationID=P20210428045", "https://ntsu.idm.oclc.org/login?url=https://www.airitibooks.com/Detail/Detail?PublicationID=P20210428045")</f>
        <v>https://ntsu.idm.oclc.org/login?url=https://www.airitibooks.com/Detail/Detail?PublicationID=P20210428045</v>
      </c>
    </row>
    <row r="1158" spans="1:11" ht="51" x14ac:dyDescent="0.4">
      <c r="A1158" s="10" t="s">
        <v>15417</v>
      </c>
      <c r="B1158" s="10" t="s">
        <v>15418</v>
      </c>
      <c r="C1158" s="10" t="s">
        <v>7164</v>
      </c>
      <c r="D1158" s="10" t="s">
        <v>15419</v>
      </c>
      <c r="E1158" s="10" t="s">
        <v>3219</v>
      </c>
      <c r="F1158" s="10" t="s">
        <v>758</v>
      </c>
      <c r="G1158" s="10" t="s">
        <v>37</v>
      </c>
      <c r="H1158" s="7" t="s">
        <v>24</v>
      </c>
      <c r="I1158" s="7" t="s">
        <v>25</v>
      </c>
      <c r="J1158" s="13" t="str">
        <f>HYPERLINK("https://www.airitibooks.com/Detail/Detail?PublicationID=P20210428046", "https://www.airitibooks.com/Detail/Detail?PublicationID=P20210428046")</f>
        <v>https://www.airitibooks.com/Detail/Detail?PublicationID=P20210428046</v>
      </c>
      <c r="K1158" s="13" t="str">
        <f>HYPERLINK("https://ntsu.idm.oclc.org/login?url=https://www.airitibooks.com/Detail/Detail?PublicationID=P20210428046", "https://ntsu.idm.oclc.org/login?url=https://www.airitibooks.com/Detail/Detail?PublicationID=P20210428046")</f>
        <v>https://ntsu.idm.oclc.org/login?url=https://www.airitibooks.com/Detail/Detail?PublicationID=P20210428046</v>
      </c>
    </row>
    <row r="1159" spans="1:11" ht="51" x14ac:dyDescent="0.4">
      <c r="A1159" s="10" t="s">
        <v>15420</v>
      </c>
      <c r="B1159" s="10" t="s">
        <v>15421</v>
      </c>
      <c r="C1159" s="10" t="s">
        <v>7164</v>
      </c>
      <c r="D1159" s="10" t="s">
        <v>15422</v>
      </c>
      <c r="E1159" s="10" t="s">
        <v>3219</v>
      </c>
      <c r="F1159" s="10" t="s">
        <v>1116</v>
      </c>
      <c r="G1159" s="10" t="s">
        <v>37</v>
      </c>
      <c r="H1159" s="7" t="s">
        <v>24</v>
      </c>
      <c r="I1159" s="7" t="s">
        <v>25</v>
      </c>
      <c r="J1159" s="13" t="str">
        <f>HYPERLINK("https://www.airitibooks.com/Detail/Detail?PublicationID=P20210428047", "https://www.airitibooks.com/Detail/Detail?PublicationID=P20210428047")</f>
        <v>https://www.airitibooks.com/Detail/Detail?PublicationID=P20210428047</v>
      </c>
      <c r="K1159" s="13" t="str">
        <f>HYPERLINK("https://ntsu.idm.oclc.org/login?url=https://www.airitibooks.com/Detail/Detail?PublicationID=P20210428047", "https://ntsu.idm.oclc.org/login?url=https://www.airitibooks.com/Detail/Detail?PublicationID=P20210428047")</f>
        <v>https://ntsu.idm.oclc.org/login?url=https://www.airitibooks.com/Detail/Detail?PublicationID=P20210428047</v>
      </c>
    </row>
    <row r="1160" spans="1:11" ht="51" x14ac:dyDescent="0.4">
      <c r="A1160" s="10" t="s">
        <v>15434</v>
      </c>
      <c r="B1160" s="10" t="s">
        <v>15435</v>
      </c>
      <c r="C1160" s="10" t="s">
        <v>7164</v>
      </c>
      <c r="D1160" s="10" t="s">
        <v>15436</v>
      </c>
      <c r="E1160" s="10" t="s">
        <v>3219</v>
      </c>
      <c r="F1160" s="10" t="s">
        <v>15392</v>
      </c>
      <c r="G1160" s="10" t="s">
        <v>37</v>
      </c>
      <c r="H1160" s="7" t="s">
        <v>24</v>
      </c>
      <c r="I1160" s="7" t="s">
        <v>25</v>
      </c>
      <c r="J1160" s="13" t="str">
        <f>HYPERLINK("https://www.airitibooks.com/Detail/Detail?PublicationID=P20210428051", "https://www.airitibooks.com/Detail/Detail?PublicationID=P20210428051")</f>
        <v>https://www.airitibooks.com/Detail/Detail?PublicationID=P20210428051</v>
      </c>
      <c r="K1160" s="13" t="str">
        <f>HYPERLINK("https://ntsu.idm.oclc.org/login?url=https://www.airitibooks.com/Detail/Detail?PublicationID=P20210428051", "https://ntsu.idm.oclc.org/login?url=https://www.airitibooks.com/Detail/Detail?PublicationID=P20210428051")</f>
        <v>https://ntsu.idm.oclc.org/login?url=https://www.airitibooks.com/Detail/Detail?PublicationID=P20210428051</v>
      </c>
    </row>
    <row r="1161" spans="1:11" ht="51" x14ac:dyDescent="0.4">
      <c r="A1161" s="10" t="s">
        <v>8349</v>
      </c>
      <c r="B1161" s="10" t="s">
        <v>8350</v>
      </c>
      <c r="C1161" s="10" t="s">
        <v>4616</v>
      </c>
      <c r="D1161" s="10" t="s">
        <v>8351</v>
      </c>
      <c r="E1161" s="10" t="s">
        <v>7391</v>
      </c>
      <c r="F1161" s="10" t="s">
        <v>8352</v>
      </c>
      <c r="G1161" s="10" t="s">
        <v>237</v>
      </c>
      <c r="H1161" s="7" t="s">
        <v>24</v>
      </c>
      <c r="I1161" s="7" t="s">
        <v>25</v>
      </c>
      <c r="J1161" s="13" t="str">
        <f>HYPERLINK("https://www.airitibooks.com/Detail/Detail?PublicationID=P20180119614", "https://www.airitibooks.com/Detail/Detail?PublicationID=P20180119614")</f>
        <v>https://www.airitibooks.com/Detail/Detail?PublicationID=P20180119614</v>
      </c>
      <c r="K1161" s="13" t="str">
        <f>HYPERLINK("https://ntsu.idm.oclc.org/login?url=https://www.airitibooks.com/Detail/Detail?PublicationID=P20180119614", "https://ntsu.idm.oclc.org/login?url=https://www.airitibooks.com/Detail/Detail?PublicationID=P20180119614")</f>
        <v>https://ntsu.idm.oclc.org/login?url=https://www.airitibooks.com/Detail/Detail?PublicationID=P20180119614</v>
      </c>
    </row>
    <row r="1162" spans="1:11" ht="85" x14ac:dyDescent="0.4">
      <c r="A1162" s="10" t="s">
        <v>8380</v>
      </c>
      <c r="B1162" s="10" t="s">
        <v>8381</v>
      </c>
      <c r="C1162" s="10" t="s">
        <v>791</v>
      </c>
      <c r="D1162" s="10" t="s">
        <v>8382</v>
      </c>
      <c r="E1162" s="10" t="s">
        <v>7391</v>
      </c>
      <c r="F1162" s="10" t="s">
        <v>1435</v>
      </c>
      <c r="G1162" s="10" t="s">
        <v>237</v>
      </c>
      <c r="H1162" s="7" t="s">
        <v>24</v>
      </c>
      <c r="I1162" s="7" t="s">
        <v>25</v>
      </c>
      <c r="J1162" s="13" t="str">
        <f>HYPERLINK("https://www.airitibooks.com/Detail/Detail?PublicationID=P20180126033", "https://www.airitibooks.com/Detail/Detail?PublicationID=P20180126033")</f>
        <v>https://www.airitibooks.com/Detail/Detail?PublicationID=P20180126033</v>
      </c>
      <c r="K1162" s="13" t="str">
        <f>HYPERLINK("https://ntsu.idm.oclc.org/login?url=https://www.airitibooks.com/Detail/Detail?PublicationID=P20180126033", "https://ntsu.idm.oclc.org/login?url=https://www.airitibooks.com/Detail/Detail?PublicationID=P20180126033")</f>
        <v>https://ntsu.idm.oclc.org/login?url=https://www.airitibooks.com/Detail/Detail?PublicationID=P20180126033</v>
      </c>
    </row>
    <row r="1163" spans="1:11" ht="51" x14ac:dyDescent="0.4">
      <c r="A1163" s="10" t="s">
        <v>8398</v>
      </c>
      <c r="B1163" s="10" t="s">
        <v>8399</v>
      </c>
      <c r="C1163" s="10" t="s">
        <v>7020</v>
      </c>
      <c r="D1163" s="10" t="s">
        <v>7021</v>
      </c>
      <c r="E1163" s="10" t="s">
        <v>7391</v>
      </c>
      <c r="F1163" s="10" t="s">
        <v>982</v>
      </c>
      <c r="G1163" s="10" t="s">
        <v>237</v>
      </c>
      <c r="H1163" s="7" t="s">
        <v>24</v>
      </c>
      <c r="I1163" s="7" t="s">
        <v>25</v>
      </c>
      <c r="J1163" s="13" t="str">
        <f>HYPERLINK("https://www.airitibooks.com/Detail/Detail?PublicationID=P20180205107", "https://www.airitibooks.com/Detail/Detail?PublicationID=P20180205107")</f>
        <v>https://www.airitibooks.com/Detail/Detail?PublicationID=P20180205107</v>
      </c>
      <c r="K1163" s="13" t="str">
        <f>HYPERLINK("https://ntsu.idm.oclc.org/login?url=https://www.airitibooks.com/Detail/Detail?PublicationID=P20180205107", "https://ntsu.idm.oclc.org/login?url=https://www.airitibooks.com/Detail/Detail?PublicationID=P20180205107")</f>
        <v>https://ntsu.idm.oclc.org/login?url=https://www.airitibooks.com/Detail/Detail?PublicationID=P20180205107</v>
      </c>
    </row>
    <row r="1164" spans="1:11" ht="51" x14ac:dyDescent="0.4">
      <c r="A1164" s="10" t="s">
        <v>8423</v>
      </c>
      <c r="B1164" s="10" t="s">
        <v>8424</v>
      </c>
      <c r="C1164" s="10" t="s">
        <v>7164</v>
      </c>
      <c r="D1164" s="10" t="s">
        <v>8425</v>
      </c>
      <c r="E1164" s="10" t="s">
        <v>7391</v>
      </c>
      <c r="F1164" s="10" t="s">
        <v>8426</v>
      </c>
      <c r="G1164" s="10" t="s">
        <v>237</v>
      </c>
      <c r="H1164" s="7" t="s">
        <v>24</v>
      </c>
      <c r="I1164" s="7" t="s">
        <v>25</v>
      </c>
      <c r="J1164" s="13" t="str">
        <f>HYPERLINK("https://www.airitibooks.com/Detail/Detail?PublicationID=P201802081011", "https://www.airitibooks.com/Detail/Detail?PublicationID=P201802081011")</f>
        <v>https://www.airitibooks.com/Detail/Detail?PublicationID=P201802081011</v>
      </c>
      <c r="K1164" s="13" t="str">
        <f>HYPERLINK("https://ntsu.idm.oclc.org/login?url=https://www.airitibooks.com/Detail/Detail?PublicationID=P201802081011", "https://ntsu.idm.oclc.org/login?url=https://www.airitibooks.com/Detail/Detail?PublicationID=P201802081011")</f>
        <v>https://ntsu.idm.oclc.org/login?url=https://www.airitibooks.com/Detail/Detail?PublicationID=P201802081011</v>
      </c>
    </row>
    <row r="1165" spans="1:11" ht="51" x14ac:dyDescent="0.4">
      <c r="A1165" s="10" t="s">
        <v>8452</v>
      </c>
      <c r="B1165" s="10" t="s">
        <v>8453</v>
      </c>
      <c r="C1165" s="10" t="s">
        <v>7164</v>
      </c>
      <c r="D1165" s="10" t="s">
        <v>8454</v>
      </c>
      <c r="E1165" s="10" t="s">
        <v>7391</v>
      </c>
      <c r="F1165" s="10" t="s">
        <v>1876</v>
      </c>
      <c r="G1165" s="10" t="s">
        <v>237</v>
      </c>
      <c r="H1165" s="7" t="s">
        <v>24</v>
      </c>
      <c r="I1165" s="7" t="s">
        <v>25</v>
      </c>
      <c r="J1165" s="13" t="str">
        <f>HYPERLINK("https://www.airitibooks.com/Detail/Detail?PublicationID=P20180208168", "https://www.airitibooks.com/Detail/Detail?PublicationID=P20180208168")</f>
        <v>https://www.airitibooks.com/Detail/Detail?PublicationID=P20180208168</v>
      </c>
      <c r="K1165" s="13" t="str">
        <f>HYPERLINK("https://ntsu.idm.oclc.org/login?url=https://www.airitibooks.com/Detail/Detail?PublicationID=P20180208168", "https://ntsu.idm.oclc.org/login?url=https://www.airitibooks.com/Detail/Detail?PublicationID=P20180208168")</f>
        <v>https://ntsu.idm.oclc.org/login?url=https://www.airitibooks.com/Detail/Detail?PublicationID=P20180208168</v>
      </c>
    </row>
    <row r="1166" spans="1:11" ht="51" x14ac:dyDescent="0.4">
      <c r="A1166" s="10" t="s">
        <v>8464</v>
      </c>
      <c r="B1166" s="10" t="s">
        <v>8465</v>
      </c>
      <c r="C1166" s="10" t="s">
        <v>7164</v>
      </c>
      <c r="D1166" s="10" t="s">
        <v>8466</v>
      </c>
      <c r="E1166" s="10" t="s">
        <v>7391</v>
      </c>
      <c r="F1166" s="10" t="s">
        <v>1876</v>
      </c>
      <c r="G1166" s="10" t="s">
        <v>237</v>
      </c>
      <c r="H1166" s="7" t="s">
        <v>24</v>
      </c>
      <c r="I1166" s="7" t="s">
        <v>25</v>
      </c>
      <c r="J1166" s="13" t="str">
        <f>HYPERLINK("https://www.airitibooks.com/Detail/Detail?PublicationID=P20180208180", "https://www.airitibooks.com/Detail/Detail?PublicationID=P20180208180")</f>
        <v>https://www.airitibooks.com/Detail/Detail?PublicationID=P20180208180</v>
      </c>
      <c r="K1166" s="13" t="str">
        <f>HYPERLINK("https://ntsu.idm.oclc.org/login?url=https://www.airitibooks.com/Detail/Detail?PublicationID=P20180208180", "https://ntsu.idm.oclc.org/login?url=https://www.airitibooks.com/Detail/Detail?PublicationID=P20180208180")</f>
        <v>https://ntsu.idm.oclc.org/login?url=https://www.airitibooks.com/Detail/Detail?PublicationID=P20180208180</v>
      </c>
    </row>
    <row r="1167" spans="1:11" ht="51" x14ac:dyDescent="0.4">
      <c r="A1167" s="10" t="s">
        <v>8563</v>
      </c>
      <c r="B1167" s="10" t="s">
        <v>8564</v>
      </c>
      <c r="C1167" s="10" t="s">
        <v>7164</v>
      </c>
      <c r="D1167" s="10" t="s">
        <v>8425</v>
      </c>
      <c r="E1167" s="10" t="s">
        <v>7391</v>
      </c>
      <c r="F1167" s="10" t="s">
        <v>1876</v>
      </c>
      <c r="G1167" s="10" t="s">
        <v>237</v>
      </c>
      <c r="H1167" s="7" t="s">
        <v>24</v>
      </c>
      <c r="I1167" s="7" t="s">
        <v>25</v>
      </c>
      <c r="J1167" s="13" t="str">
        <f>HYPERLINK("https://www.airitibooks.com/Detail/Detail?PublicationID=P20180208319", "https://www.airitibooks.com/Detail/Detail?PublicationID=P20180208319")</f>
        <v>https://www.airitibooks.com/Detail/Detail?PublicationID=P20180208319</v>
      </c>
      <c r="K1167" s="13" t="str">
        <f>HYPERLINK("https://ntsu.idm.oclc.org/login?url=https://www.airitibooks.com/Detail/Detail?PublicationID=P20180208319", "https://ntsu.idm.oclc.org/login?url=https://www.airitibooks.com/Detail/Detail?PublicationID=P20180208319")</f>
        <v>https://ntsu.idm.oclc.org/login?url=https://www.airitibooks.com/Detail/Detail?PublicationID=P20180208319</v>
      </c>
    </row>
    <row r="1168" spans="1:11" ht="51" x14ac:dyDescent="0.4">
      <c r="A1168" s="10" t="s">
        <v>8568</v>
      </c>
      <c r="B1168" s="10" t="s">
        <v>8569</v>
      </c>
      <c r="C1168" s="10" t="s">
        <v>7164</v>
      </c>
      <c r="D1168" s="10" t="s">
        <v>8425</v>
      </c>
      <c r="E1168" s="10" t="s">
        <v>7391</v>
      </c>
      <c r="F1168" s="10" t="s">
        <v>8570</v>
      </c>
      <c r="G1168" s="10" t="s">
        <v>237</v>
      </c>
      <c r="H1168" s="7" t="s">
        <v>24</v>
      </c>
      <c r="I1168" s="7" t="s">
        <v>25</v>
      </c>
      <c r="J1168" s="13" t="str">
        <f>HYPERLINK("https://www.airitibooks.com/Detail/Detail?PublicationID=P20180208912", "https://www.airitibooks.com/Detail/Detail?PublicationID=P20180208912")</f>
        <v>https://www.airitibooks.com/Detail/Detail?PublicationID=P20180208912</v>
      </c>
      <c r="K1168" s="13" t="str">
        <f>HYPERLINK("https://ntsu.idm.oclc.org/login?url=https://www.airitibooks.com/Detail/Detail?PublicationID=P20180208912", "https://ntsu.idm.oclc.org/login?url=https://www.airitibooks.com/Detail/Detail?PublicationID=P20180208912")</f>
        <v>https://ntsu.idm.oclc.org/login?url=https://www.airitibooks.com/Detail/Detail?PublicationID=P20180208912</v>
      </c>
    </row>
    <row r="1169" spans="1:11" ht="51" x14ac:dyDescent="0.4">
      <c r="A1169" s="10" t="s">
        <v>8581</v>
      </c>
      <c r="B1169" s="10" t="s">
        <v>8582</v>
      </c>
      <c r="C1169" s="10" t="s">
        <v>7164</v>
      </c>
      <c r="D1169" s="10" t="s">
        <v>8425</v>
      </c>
      <c r="E1169" s="10" t="s">
        <v>7391</v>
      </c>
      <c r="F1169" s="10" t="s">
        <v>8583</v>
      </c>
      <c r="G1169" s="10" t="s">
        <v>237</v>
      </c>
      <c r="H1169" s="7" t="s">
        <v>24</v>
      </c>
      <c r="I1169" s="7" t="s">
        <v>25</v>
      </c>
      <c r="J1169" s="13" t="str">
        <f>HYPERLINK("https://www.airitibooks.com/Detail/Detail?PublicationID=P20180208919", "https://www.airitibooks.com/Detail/Detail?PublicationID=P20180208919")</f>
        <v>https://www.airitibooks.com/Detail/Detail?PublicationID=P20180208919</v>
      </c>
      <c r="K1169" s="13" t="str">
        <f>HYPERLINK("https://ntsu.idm.oclc.org/login?url=https://www.airitibooks.com/Detail/Detail?PublicationID=P20180208919", "https://ntsu.idm.oclc.org/login?url=https://www.airitibooks.com/Detail/Detail?PublicationID=P20180208919")</f>
        <v>https://ntsu.idm.oclc.org/login?url=https://www.airitibooks.com/Detail/Detail?PublicationID=P20180208919</v>
      </c>
    </row>
    <row r="1170" spans="1:11" ht="51" x14ac:dyDescent="0.4">
      <c r="A1170" s="10" t="s">
        <v>8587</v>
      </c>
      <c r="B1170" s="10" t="s">
        <v>8588</v>
      </c>
      <c r="C1170" s="10" t="s">
        <v>7164</v>
      </c>
      <c r="D1170" s="10" t="s">
        <v>8425</v>
      </c>
      <c r="E1170" s="10" t="s">
        <v>7391</v>
      </c>
      <c r="F1170" s="10" t="s">
        <v>8589</v>
      </c>
      <c r="G1170" s="10" t="s">
        <v>237</v>
      </c>
      <c r="H1170" s="7" t="s">
        <v>24</v>
      </c>
      <c r="I1170" s="7" t="s">
        <v>25</v>
      </c>
      <c r="J1170" s="13" t="str">
        <f>HYPERLINK("https://www.airitibooks.com/Detail/Detail?PublicationID=P20180208925", "https://www.airitibooks.com/Detail/Detail?PublicationID=P20180208925")</f>
        <v>https://www.airitibooks.com/Detail/Detail?PublicationID=P20180208925</v>
      </c>
      <c r="K1170" s="13" t="str">
        <f>HYPERLINK("https://ntsu.idm.oclc.org/login?url=https://www.airitibooks.com/Detail/Detail?PublicationID=P20180208925", "https://ntsu.idm.oclc.org/login?url=https://www.airitibooks.com/Detail/Detail?PublicationID=P20180208925")</f>
        <v>https://ntsu.idm.oclc.org/login?url=https://www.airitibooks.com/Detail/Detail?PublicationID=P20180208925</v>
      </c>
    </row>
    <row r="1171" spans="1:11" ht="51" x14ac:dyDescent="0.4">
      <c r="A1171" s="10" t="s">
        <v>8610</v>
      </c>
      <c r="B1171" s="10" t="s">
        <v>8611</v>
      </c>
      <c r="C1171" s="10" t="s">
        <v>7164</v>
      </c>
      <c r="D1171" s="10" t="s">
        <v>8612</v>
      </c>
      <c r="E1171" s="10" t="s">
        <v>7391</v>
      </c>
      <c r="F1171" s="10" t="s">
        <v>8613</v>
      </c>
      <c r="G1171" s="10" t="s">
        <v>237</v>
      </c>
      <c r="H1171" s="7" t="s">
        <v>24</v>
      </c>
      <c r="I1171" s="7" t="s">
        <v>25</v>
      </c>
      <c r="J1171" s="13" t="str">
        <f>HYPERLINK("https://www.airitibooks.com/Detail/Detail?PublicationID=P20180208941", "https://www.airitibooks.com/Detail/Detail?PublicationID=P20180208941")</f>
        <v>https://www.airitibooks.com/Detail/Detail?PublicationID=P20180208941</v>
      </c>
      <c r="K1171" s="13" t="str">
        <f>HYPERLINK("https://ntsu.idm.oclc.org/login?url=https://www.airitibooks.com/Detail/Detail?PublicationID=P20180208941", "https://ntsu.idm.oclc.org/login?url=https://www.airitibooks.com/Detail/Detail?PublicationID=P20180208941")</f>
        <v>https://ntsu.idm.oclc.org/login?url=https://www.airitibooks.com/Detail/Detail?PublicationID=P20180208941</v>
      </c>
    </row>
    <row r="1172" spans="1:11" ht="51" x14ac:dyDescent="0.4">
      <c r="A1172" s="10" t="s">
        <v>8614</v>
      </c>
      <c r="B1172" s="10" t="s">
        <v>8615</v>
      </c>
      <c r="C1172" s="10" t="s">
        <v>7164</v>
      </c>
      <c r="D1172" s="10" t="s">
        <v>8425</v>
      </c>
      <c r="E1172" s="10" t="s">
        <v>7391</v>
      </c>
      <c r="F1172" s="10" t="s">
        <v>8616</v>
      </c>
      <c r="G1172" s="10" t="s">
        <v>237</v>
      </c>
      <c r="H1172" s="7" t="s">
        <v>24</v>
      </c>
      <c r="I1172" s="7" t="s">
        <v>25</v>
      </c>
      <c r="J1172" s="13" t="str">
        <f>HYPERLINK("https://www.airitibooks.com/Detail/Detail?PublicationID=P20180208943", "https://www.airitibooks.com/Detail/Detail?PublicationID=P20180208943")</f>
        <v>https://www.airitibooks.com/Detail/Detail?PublicationID=P20180208943</v>
      </c>
      <c r="K1172" s="13" t="str">
        <f>HYPERLINK("https://ntsu.idm.oclc.org/login?url=https://www.airitibooks.com/Detail/Detail?PublicationID=P20180208943", "https://ntsu.idm.oclc.org/login?url=https://www.airitibooks.com/Detail/Detail?PublicationID=P20180208943")</f>
        <v>https://ntsu.idm.oclc.org/login?url=https://www.airitibooks.com/Detail/Detail?PublicationID=P20180208943</v>
      </c>
    </row>
    <row r="1173" spans="1:11" ht="51" x14ac:dyDescent="0.4">
      <c r="A1173" s="10" t="s">
        <v>8621</v>
      </c>
      <c r="B1173" s="10" t="s">
        <v>8622</v>
      </c>
      <c r="C1173" s="10" t="s">
        <v>7164</v>
      </c>
      <c r="D1173" s="10" t="s">
        <v>8623</v>
      </c>
      <c r="E1173" s="10" t="s">
        <v>7391</v>
      </c>
      <c r="F1173" s="10" t="s">
        <v>8624</v>
      </c>
      <c r="G1173" s="10" t="s">
        <v>237</v>
      </c>
      <c r="H1173" s="7" t="s">
        <v>24</v>
      </c>
      <c r="I1173" s="7" t="s">
        <v>25</v>
      </c>
      <c r="J1173" s="13" t="str">
        <f>HYPERLINK("https://www.airitibooks.com/Detail/Detail?PublicationID=P20180208960", "https://www.airitibooks.com/Detail/Detail?PublicationID=P20180208960")</f>
        <v>https://www.airitibooks.com/Detail/Detail?PublicationID=P20180208960</v>
      </c>
      <c r="K1173" s="13" t="str">
        <f>HYPERLINK("https://ntsu.idm.oclc.org/login?url=https://www.airitibooks.com/Detail/Detail?PublicationID=P20180208960", "https://ntsu.idm.oclc.org/login?url=https://www.airitibooks.com/Detail/Detail?PublicationID=P20180208960")</f>
        <v>https://ntsu.idm.oclc.org/login?url=https://www.airitibooks.com/Detail/Detail?PublicationID=P20180208960</v>
      </c>
    </row>
    <row r="1174" spans="1:11" ht="51" x14ac:dyDescent="0.4">
      <c r="A1174" s="10" t="s">
        <v>8625</v>
      </c>
      <c r="B1174" s="10" t="s">
        <v>8626</v>
      </c>
      <c r="C1174" s="10" t="s">
        <v>7164</v>
      </c>
      <c r="D1174" s="10" t="s">
        <v>8623</v>
      </c>
      <c r="E1174" s="10" t="s">
        <v>7391</v>
      </c>
      <c r="F1174" s="10" t="s">
        <v>8624</v>
      </c>
      <c r="G1174" s="10" t="s">
        <v>237</v>
      </c>
      <c r="H1174" s="7" t="s">
        <v>24</v>
      </c>
      <c r="I1174" s="7" t="s">
        <v>25</v>
      </c>
      <c r="J1174" s="13" t="str">
        <f>HYPERLINK("https://www.airitibooks.com/Detail/Detail?PublicationID=P20180208961", "https://www.airitibooks.com/Detail/Detail?PublicationID=P20180208961")</f>
        <v>https://www.airitibooks.com/Detail/Detail?PublicationID=P20180208961</v>
      </c>
      <c r="K1174" s="13" t="str">
        <f>HYPERLINK("https://ntsu.idm.oclc.org/login?url=https://www.airitibooks.com/Detail/Detail?PublicationID=P20180208961", "https://ntsu.idm.oclc.org/login?url=https://www.airitibooks.com/Detail/Detail?PublicationID=P20180208961")</f>
        <v>https://ntsu.idm.oclc.org/login?url=https://www.airitibooks.com/Detail/Detail?PublicationID=P20180208961</v>
      </c>
    </row>
    <row r="1175" spans="1:11" ht="51" x14ac:dyDescent="0.4">
      <c r="A1175" s="10" t="s">
        <v>8627</v>
      </c>
      <c r="B1175" s="10" t="s">
        <v>8628</v>
      </c>
      <c r="C1175" s="10" t="s">
        <v>7164</v>
      </c>
      <c r="D1175" s="10" t="s">
        <v>8623</v>
      </c>
      <c r="E1175" s="10" t="s">
        <v>7391</v>
      </c>
      <c r="F1175" s="10" t="s">
        <v>6069</v>
      </c>
      <c r="G1175" s="10" t="s">
        <v>237</v>
      </c>
      <c r="H1175" s="7" t="s">
        <v>24</v>
      </c>
      <c r="I1175" s="7" t="s">
        <v>25</v>
      </c>
      <c r="J1175" s="13" t="str">
        <f>HYPERLINK("https://www.airitibooks.com/Detail/Detail?PublicationID=P20180208962", "https://www.airitibooks.com/Detail/Detail?PublicationID=P20180208962")</f>
        <v>https://www.airitibooks.com/Detail/Detail?PublicationID=P20180208962</v>
      </c>
      <c r="K1175" s="13" t="str">
        <f>HYPERLINK("https://ntsu.idm.oclc.org/login?url=https://www.airitibooks.com/Detail/Detail?PublicationID=P20180208962", "https://ntsu.idm.oclc.org/login?url=https://www.airitibooks.com/Detail/Detail?PublicationID=P20180208962")</f>
        <v>https://ntsu.idm.oclc.org/login?url=https://www.airitibooks.com/Detail/Detail?PublicationID=P20180208962</v>
      </c>
    </row>
    <row r="1176" spans="1:11" ht="51" x14ac:dyDescent="0.4">
      <c r="A1176" s="10" t="s">
        <v>8629</v>
      </c>
      <c r="B1176" s="10" t="s">
        <v>8630</v>
      </c>
      <c r="C1176" s="10" t="s">
        <v>7164</v>
      </c>
      <c r="D1176" s="10" t="s">
        <v>8623</v>
      </c>
      <c r="E1176" s="10" t="s">
        <v>7391</v>
      </c>
      <c r="F1176" s="10" t="s">
        <v>8631</v>
      </c>
      <c r="G1176" s="10" t="s">
        <v>237</v>
      </c>
      <c r="H1176" s="7" t="s">
        <v>24</v>
      </c>
      <c r="I1176" s="7" t="s">
        <v>25</v>
      </c>
      <c r="J1176" s="13" t="str">
        <f>HYPERLINK("https://www.airitibooks.com/Detail/Detail?PublicationID=P20180208963", "https://www.airitibooks.com/Detail/Detail?PublicationID=P20180208963")</f>
        <v>https://www.airitibooks.com/Detail/Detail?PublicationID=P20180208963</v>
      </c>
      <c r="K1176" s="13" t="str">
        <f>HYPERLINK("https://ntsu.idm.oclc.org/login?url=https://www.airitibooks.com/Detail/Detail?PublicationID=P20180208963", "https://ntsu.idm.oclc.org/login?url=https://www.airitibooks.com/Detail/Detail?PublicationID=P20180208963")</f>
        <v>https://ntsu.idm.oclc.org/login?url=https://www.airitibooks.com/Detail/Detail?PublicationID=P20180208963</v>
      </c>
    </row>
    <row r="1177" spans="1:11" ht="51" x14ac:dyDescent="0.4">
      <c r="A1177" s="10" t="s">
        <v>8632</v>
      </c>
      <c r="B1177" s="10" t="s">
        <v>8633</v>
      </c>
      <c r="C1177" s="10" t="s">
        <v>7164</v>
      </c>
      <c r="D1177" s="10" t="s">
        <v>8623</v>
      </c>
      <c r="E1177" s="10" t="s">
        <v>7391</v>
      </c>
      <c r="F1177" s="10" t="s">
        <v>8634</v>
      </c>
      <c r="G1177" s="10" t="s">
        <v>237</v>
      </c>
      <c r="H1177" s="7" t="s">
        <v>24</v>
      </c>
      <c r="I1177" s="7" t="s">
        <v>25</v>
      </c>
      <c r="J1177" s="13" t="str">
        <f>HYPERLINK("https://www.airitibooks.com/Detail/Detail?PublicationID=P20180208964", "https://www.airitibooks.com/Detail/Detail?PublicationID=P20180208964")</f>
        <v>https://www.airitibooks.com/Detail/Detail?PublicationID=P20180208964</v>
      </c>
      <c r="K1177" s="13" t="str">
        <f>HYPERLINK("https://ntsu.idm.oclc.org/login?url=https://www.airitibooks.com/Detail/Detail?PublicationID=P20180208964", "https://ntsu.idm.oclc.org/login?url=https://www.airitibooks.com/Detail/Detail?PublicationID=P20180208964")</f>
        <v>https://ntsu.idm.oclc.org/login?url=https://www.airitibooks.com/Detail/Detail?PublicationID=P20180208964</v>
      </c>
    </row>
    <row r="1178" spans="1:11" ht="51" x14ac:dyDescent="0.4">
      <c r="A1178" s="10" t="s">
        <v>8635</v>
      </c>
      <c r="B1178" s="10" t="s">
        <v>8636</v>
      </c>
      <c r="C1178" s="10" t="s">
        <v>7164</v>
      </c>
      <c r="D1178" s="10" t="s">
        <v>8623</v>
      </c>
      <c r="E1178" s="10" t="s">
        <v>7391</v>
      </c>
      <c r="F1178" s="10" t="s">
        <v>8637</v>
      </c>
      <c r="G1178" s="10" t="s">
        <v>237</v>
      </c>
      <c r="H1178" s="7" t="s">
        <v>24</v>
      </c>
      <c r="I1178" s="7" t="s">
        <v>25</v>
      </c>
      <c r="J1178" s="13" t="str">
        <f>HYPERLINK("https://www.airitibooks.com/Detail/Detail?PublicationID=P20180208965", "https://www.airitibooks.com/Detail/Detail?PublicationID=P20180208965")</f>
        <v>https://www.airitibooks.com/Detail/Detail?PublicationID=P20180208965</v>
      </c>
      <c r="K1178" s="13" t="str">
        <f>HYPERLINK("https://ntsu.idm.oclc.org/login?url=https://www.airitibooks.com/Detail/Detail?PublicationID=P20180208965", "https://ntsu.idm.oclc.org/login?url=https://www.airitibooks.com/Detail/Detail?PublicationID=P20180208965")</f>
        <v>https://ntsu.idm.oclc.org/login?url=https://www.airitibooks.com/Detail/Detail?PublicationID=P20180208965</v>
      </c>
    </row>
    <row r="1179" spans="1:11" ht="51" x14ac:dyDescent="0.4">
      <c r="A1179" s="10" t="s">
        <v>8638</v>
      </c>
      <c r="B1179" s="10" t="s">
        <v>8639</v>
      </c>
      <c r="C1179" s="10" t="s">
        <v>7164</v>
      </c>
      <c r="D1179" s="10" t="s">
        <v>8623</v>
      </c>
      <c r="E1179" s="10" t="s">
        <v>7391</v>
      </c>
      <c r="F1179" s="10" t="s">
        <v>8640</v>
      </c>
      <c r="G1179" s="10" t="s">
        <v>237</v>
      </c>
      <c r="H1179" s="7" t="s">
        <v>24</v>
      </c>
      <c r="I1179" s="7" t="s">
        <v>25</v>
      </c>
      <c r="J1179" s="13" t="str">
        <f>HYPERLINK("https://www.airitibooks.com/Detail/Detail?PublicationID=P20180208966", "https://www.airitibooks.com/Detail/Detail?PublicationID=P20180208966")</f>
        <v>https://www.airitibooks.com/Detail/Detail?PublicationID=P20180208966</v>
      </c>
      <c r="K1179" s="13" t="str">
        <f>HYPERLINK("https://ntsu.idm.oclc.org/login?url=https://www.airitibooks.com/Detail/Detail?PublicationID=P20180208966", "https://ntsu.idm.oclc.org/login?url=https://www.airitibooks.com/Detail/Detail?PublicationID=P20180208966")</f>
        <v>https://ntsu.idm.oclc.org/login?url=https://www.airitibooks.com/Detail/Detail?PublicationID=P20180208966</v>
      </c>
    </row>
    <row r="1180" spans="1:11" ht="51" x14ac:dyDescent="0.4">
      <c r="A1180" s="10" t="s">
        <v>8641</v>
      </c>
      <c r="B1180" s="10" t="s">
        <v>8642</v>
      </c>
      <c r="C1180" s="10" t="s">
        <v>7164</v>
      </c>
      <c r="D1180" s="10" t="s">
        <v>8623</v>
      </c>
      <c r="E1180" s="10" t="s">
        <v>7391</v>
      </c>
      <c r="F1180" s="10" t="s">
        <v>559</v>
      </c>
      <c r="G1180" s="10" t="s">
        <v>237</v>
      </c>
      <c r="H1180" s="7" t="s">
        <v>24</v>
      </c>
      <c r="I1180" s="7" t="s">
        <v>25</v>
      </c>
      <c r="J1180" s="13" t="str">
        <f>HYPERLINK("https://www.airitibooks.com/Detail/Detail?PublicationID=P20180208967", "https://www.airitibooks.com/Detail/Detail?PublicationID=P20180208967")</f>
        <v>https://www.airitibooks.com/Detail/Detail?PublicationID=P20180208967</v>
      </c>
      <c r="K1180" s="13" t="str">
        <f>HYPERLINK("https://ntsu.idm.oclc.org/login?url=https://www.airitibooks.com/Detail/Detail?PublicationID=P20180208967", "https://ntsu.idm.oclc.org/login?url=https://www.airitibooks.com/Detail/Detail?PublicationID=P20180208967")</f>
        <v>https://ntsu.idm.oclc.org/login?url=https://www.airitibooks.com/Detail/Detail?PublicationID=P20180208967</v>
      </c>
    </row>
    <row r="1181" spans="1:11" ht="51" x14ac:dyDescent="0.4">
      <c r="A1181" s="10" t="s">
        <v>8643</v>
      </c>
      <c r="B1181" s="10" t="s">
        <v>8644</v>
      </c>
      <c r="C1181" s="10" t="s">
        <v>7164</v>
      </c>
      <c r="D1181" s="10" t="s">
        <v>8623</v>
      </c>
      <c r="E1181" s="10" t="s">
        <v>7391</v>
      </c>
      <c r="F1181" s="10" t="s">
        <v>8426</v>
      </c>
      <c r="G1181" s="10" t="s">
        <v>237</v>
      </c>
      <c r="H1181" s="7" t="s">
        <v>24</v>
      </c>
      <c r="I1181" s="7" t="s">
        <v>25</v>
      </c>
      <c r="J1181" s="13" t="str">
        <f>HYPERLINK("https://www.airitibooks.com/Detail/Detail?PublicationID=P20180208968", "https://www.airitibooks.com/Detail/Detail?PublicationID=P20180208968")</f>
        <v>https://www.airitibooks.com/Detail/Detail?PublicationID=P20180208968</v>
      </c>
      <c r="K1181" s="13" t="str">
        <f>HYPERLINK("https://ntsu.idm.oclc.org/login?url=https://www.airitibooks.com/Detail/Detail?PublicationID=P20180208968", "https://ntsu.idm.oclc.org/login?url=https://www.airitibooks.com/Detail/Detail?PublicationID=P20180208968")</f>
        <v>https://ntsu.idm.oclc.org/login?url=https://www.airitibooks.com/Detail/Detail?PublicationID=P20180208968</v>
      </c>
    </row>
    <row r="1182" spans="1:11" ht="51" x14ac:dyDescent="0.4">
      <c r="A1182" s="10" t="s">
        <v>8645</v>
      </c>
      <c r="B1182" s="10" t="s">
        <v>8646</v>
      </c>
      <c r="C1182" s="10" t="s">
        <v>7164</v>
      </c>
      <c r="D1182" s="10" t="s">
        <v>8647</v>
      </c>
      <c r="E1182" s="10" t="s">
        <v>7391</v>
      </c>
      <c r="F1182" s="10" t="s">
        <v>8624</v>
      </c>
      <c r="G1182" s="10" t="s">
        <v>237</v>
      </c>
      <c r="H1182" s="7" t="s">
        <v>24</v>
      </c>
      <c r="I1182" s="7" t="s">
        <v>25</v>
      </c>
      <c r="J1182" s="13" t="str">
        <f>HYPERLINK("https://www.airitibooks.com/Detail/Detail?PublicationID=P20180208969", "https://www.airitibooks.com/Detail/Detail?PublicationID=P20180208969")</f>
        <v>https://www.airitibooks.com/Detail/Detail?PublicationID=P20180208969</v>
      </c>
      <c r="K1182" s="13" t="str">
        <f>HYPERLINK("https://ntsu.idm.oclc.org/login?url=https://www.airitibooks.com/Detail/Detail?PublicationID=P20180208969", "https://ntsu.idm.oclc.org/login?url=https://www.airitibooks.com/Detail/Detail?PublicationID=P20180208969")</f>
        <v>https://ntsu.idm.oclc.org/login?url=https://www.airitibooks.com/Detail/Detail?PublicationID=P20180208969</v>
      </c>
    </row>
    <row r="1183" spans="1:11" ht="51" x14ac:dyDescent="0.4">
      <c r="A1183" s="10" t="s">
        <v>8648</v>
      </c>
      <c r="B1183" s="10" t="s">
        <v>8649</v>
      </c>
      <c r="C1183" s="10" t="s">
        <v>7164</v>
      </c>
      <c r="D1183" s="10" t="s">
        <v>8650</v>
      </c>
      <c r="E1183" s="10" t="s">
        <v>7391</v>
      </c>
      <c r="F1183" s="10" t="s">
        <v>8634</v>
      </c>
      <c r="G1183" s="10" t="s">
        <v>237</v>
      </c>
      <c r="H1183" s="7" t="s">
        <v>24</v>
      </c>
      <c r="I1183" s="7" t="s">
        <v>25</v>
      </c>
      <c r="J1183" s="13" t="str">
        <f>HYPERLINK("https://www.airitibooks.com/Detail/Detail?PublicationID=P20180208970", "https://www.airitibooks.com/Detail/Detail?PublicationID=P20180208970")</f>
        <v>https://www.airitibooks.com/Detail/Detail?PublicationID=P20180208970</v>
      </c>
      <c r="K1183" s="13" t="str">
        <f>HYPERLINK("https://ntsu.idm.oclc.org/login?url=https://www.airitibooks.com/Detail/Detail?PublicationID=P20180208970", "https://ntsu.idm.oclc.org/login?url=https://www.airitibooks.com/Detail/Detail?PublicationID=P20180208970")</f>
        <v>https://ntsu.idm.oclc.org/login?url=https://www.airitibooks.com/Detail/Detail?PublicationID=P20180208970</v>
      </c>
    </row>
    <row r="1184" spans="1:11" ht="51" x14ac:dyDescent="0.4">
      <c r="A1184" s="10" t="s">
        <v>8654</v>
      </c>
      <c r="B1184" s="10" t="s">
        <v>8655</v>
      </c>
      <c r="C1184" s="10" t="s">
        <v>7164</v>
      </c>
      <c r="D1184" s="10" t="s">
        <v>8425</v>
      </c>
      <c r="E1184" s="10" t="s">
        <v>7391</v>
      </c>
      <c r="F1184" s="10" t="s">
        <v>8624</v>
      </c>
      <c r="G1184" s="10" t="s">
        <v>237</v>
      </c>
      <c r="H1184" s="7" t="s">
        <v>24</v>
      </c>
      <c r="I1184" s="7" t="s">
        <v>25</v>
      </c>
      <c r="J1184" s="13" t="str">
        <f>HYPERLINK("https://www.airitibooks.com/Detail/Detail?PublicationID=P20180208979", "https://www.airitibooks.com/Detail/Detail?PublicationID=P20180208979")</f>
        <v>https://www.airitibooks.com/Detail/Detail?PublicationID=P20180208979</v>
      </c>
      <c r="K1184" s="13" t="str">
        <f>HYPERLINK("https://ntsu.idm.oclc.org/login?url=https://www.airitibooks.com/Detail/Detail?PublicationID=P20180208979", "https://ntsu.idm.oclc.org/login?url=https://www.airitibooks.com/Detail/Detail?PublicationID=P20180208979")</f>
        <v>https://ntsu.idm.oclc.org/login?url=https://www.airitibooks.com/Detail/Detail?PublicationID=P20180208979</v>
      </c>
    </row>
    <row r="1185" spans="1:11" ht="51" x14ac:dyDescent="0.4">
      <c r="A1185" s="10" t="s">
        <v>8656</v>
      </c>
      <c r="B1185" s="10" t="s">
        <v>8657</v>
      </c>
      <c r="C1185" s="10" t="s">
        <v>7164</v>
      </c>
      <c r="D1185" s="10" t="s">
        <v>8425</v>
      </c>
      <c r="E1185" s="10" t="s">
        <v>7391</v>
      </c>
      <c r="F1185" s="10" t="s">
        <v>8658</v>
      </c>
      <c r="G1185" s="10" t="s">
        <v>237</v>
      </c>
      <c r="H1185" s="7" t="s">
        <v>24</v>
      </c>
      <c r="I1185" s="7" t="s">
        <v>25</v>
      </c>
      <c r="J1185" s="13" t="str">
        <f>HYPERLINK("https://www.airitibooks.com/Detail/Detail?PublicationID=P20180208983", "https://www.airitibooks.com/Detail/Detail?PublicationID=P20180208983")</f>
        <v>https://www.airitibooks.com/Detail/Detail?PublicationID=P20180208983</v>
      </c>
      <c r="K1185" s="13" t="str">
        <f>HYPERLINK("https://ntsu.idm.oclc.org/login?url=https://www.airitibooks.com/Detail/Detail?PublicationID=P20180208983", "https://ntsu.idm.oclc.org/login?url=https://www.airitibooks.com/Detail/Detail?PublicationID=P20180208983")</f>
        <v>https://ntsu.idm.oclc.org/login?url=https://www.airitibooks.com/Detail/Detail?PublicationID=P20180208983</v>
      </c>
    </row>
    <row r="1186" spans="1:11" ht="51" x14ac:dyDescent="0.4">
      <c r="A1186" s="10" t="s">
        <v>8801</v>
      </c>
      <c r="B1186" s="10" t="s">
        <v>8802</v>
      </c>
      <c r="C1186" s="10" t="s">
        <v>7020</v>
      </c>
      <c r="D1186" s="10" t="s">
        <v>7021</v>
      </c>
      <c r="E1186" s="10" t="s">
        <v>7391</v>
      </c>
      <c r="F1186" s="10" t="s">
        <v>6069</v>
      </c>
      <c r="G1186" s="10" t="s">
        <v>237</v>
      </c>
      <c r="H1186" s="7" t="s">
        <v>24</v>
      </c>
      <c r="I1186" s="7" t="s">
        <v>25</v>
      </c>
      <c r="J1186" s="13" t="str">
        <f>HYPERLINK("https://www.airitibooks.com/Detail/Detail?PublicationID=P20180323083", "https://www.airitibooks.com/Detail/Detail?PublicationID=P20180323083")</f>
        <v>https://www.airitibooks.com/Detail/Detail?PublicationID=P20180323083</v>
      </c>
      <c r="K1186" s="13" t="str">
        <f>HYPERLINK("https://ntsu.idm.oclc.org/login?url=https://www.airitibooks.com/Detail/Detail?PublicationID=P20180323083", "https://ntsu.idm.oclc.org/login?url=https://www.airitibooks.com/Detail/Detail?PublicationID=P20180323083")</f>
        <v>https://ntsu.idm.oclc.org/login?url=https://www.airitibooks.com/Detail/Detail?PublicationID=P20180323083</v>
      </c>
    </row>
    <row r="1187" spans="1:11" ht="51" x14ac:dyDescent="0.4">
      <c r="A1187" s="10" t="s">
        <v>8857</v>
      </c>
      <c r="B1187" s="10" t="s">
        <v>8858</v>
      </c>
      <c r="C1187" s="10" t="s">
        <v>287</v>
      </c>
      <c r="D1187" s="10" t="s">
        <v>2396</v>
      </c>
      <c r="E1187" s="10" t="s">
        <v>7391</v>
      </c>
      <c r="F1187" s="10" t="s">
        <v>5598</v>
      </c>
      <c r="G1187" s="10" t="s">
        <v>237</v>
      </c>
      <c r="H1187" s="7" t="s">
        <v>24</v>
      </c>
      <c r="I1187" s="7" t="s">
        <v>25</v>
      </c>
      <c r="J1187" s="13" t="str">
        <f>HYPERLINK("https://www.airitibooks.com/Detail/Detail?PublicationID=P20180330068", "https://www.airitibooks.com/Detail/Detail?PublicationID=P20180330068")</f>
        <v>https://www.airitibooks.com/Detail/Detail?PublicationID=P20180330068</v>
      </c>
      <c r="K1187" s="13" t="str">
        <f>HYPERLINK("https://ntsu.idm.oclc.org/login?url=https://www.airitibooks.com/Detail/Detail?PublicationID=P20180330068", "https://ntsu.idm.oclc.org/login?url=https://www.airitibooks.com/Detail/Detail?PublicationID=P20180330068")</f>
        <v>https://ntsu.idm.oclc.org/login?url=https://www.airitibooks.com/Detail/Detail?PublicationID=P20180330068</v>
      </c>
    </row>
    <row r="1188" spans="1:11" ht="68" x14ac:dyDescent="0.4">
      <c r="A1188" s="10" t="s">
        <v>8866</v>
      </c>
      <c r="B1188" s="10" t="s">
        <v>8867</v>
      </c>
      <c r="C1188" s="10" t="s">
        <v>613</v>
      </c>
      <c r="D1188" s="10" t="s">
        <v>5229</v>
      </c>
      <c r="E1188" s="10" t="s">
        <v>7391</v>
      </c>
      <c r="F1188" s="10" t="s">
        <v>2728</v>
      </c>
      <c r="G1188" s="10" t="s">
        <v>237</v>
      </c>
      <c r="H1188" s="7" t="s">
        <v>24</v>
      </c>
      <c r="I1188" s="7" t="s">
        <v>25</v>
      </c>
      <c r="J1188" s="13" t="str">
        <f>HYPERLINK("https://www.airitibooks.com/Detail/Detail?PublicationID=P20180330079", "https://www.airitibooks.com/Detail/Detail?PublicationID=P20180330079")</f>
        <v>https://www.airitibooks.com/Detail/Detail?PublicationID=P20180330079</v>
      </c>
      <c r="K1188" s="13" t="str">
        <f>HYPERLINK("https://ntsu.idm.oclc.org/login?url=https://www.airitibooks.com/Detail/Detail?PublicationID=P20180330079", "https://ntsu.idm.oclc.org/login?url=https://www.airitibooks.com/Detail/Detail?PublicationID=P20180330079")</f>
        <v>https://ntsu.idm.oclc.org/login?url=https://www.airitibooks.com/Detail/Detail?PublicationID=P20180330079</v>
      </c>
    </row>
    <row r="1189" spans="1:11" ht="119" x14ac:dyDescent="0.4">
      <c r="A1189" s="10" t="s">
        <v>8868</v>
      </c>
      <c r="B1189" s="10" t="s">
        <v>8869</v>
      </c>
      <c r="C1189" s="10" t="s">
        <v>3705</v>
      </c>
      <c r="D1189" s="10" t="s">
        <v>8870</v>
      </c>
      <c r="E1189" s="10" t="s">
        <v>7391</v>
      </c>
      <c r="F1189" s="10" t="s">
        <v>8871</v>
      </c>
      <c r="G1189" s="10" t="s">
        <v>237</v>
      </c>
      <c r="H1189" s="7" t="s">
        <v>24</v>
      </c>
      <c r="I1189" s="7" t="s">
        <v>25</v>
      </c>
      <c r="J1189" s="13" t="str">
        <f>HYPERLINK("https://www.airitibooks.com/Detail/Detail?PublicationID=P20180330083", "https://www.airitibooks.com/Detail/Detail?PublicationID=P20180330083")</f>
        <v>https://www.airitibooks.com/Detail/Detail?PublicationID=P20180330083</v>
      </c>
      <c r="K1189" s="13" t="str">
        <f>HYPERLINK("https://ntsu.idm.oclc.org/login?url=https://www.airitibooks.com/Detail/Detail?PublicationID=P20180330083", "https://ntsu.idm.oclc.org/login?url=https://www.airitibooks.com/Detail/Detail?PublicationID=P20180330083")</f>
        <v>https://ntsu.idm.oclc.org/login?url=https://www.airitibooks.com/Detail/Detail?PublicationID=P20180330083</v>
      </c>
    </row>
    <row r="1190" spans="1:11" ht="51" x14ac:dyDescent="0.4">
      <c r="A1190" s="10" t="s">
        <v>8982</v>
      </c>
      <c r="B1190" s="10" t="s">
        <v>8983</v>
      </c>
      <c r="C1190" s="10" t="s">
        <v>791</v>
      </c>
      <c r="D1190" s="10" t="s">
        <v>8984</v>
      </c>
      <c r="E1190" s="10" t="s">
        <v>7391</v>
      </c>
      <c r="F1190" s="10" t="s">
        <v>1140</v>
      </c>
      <c r="G1190" s="10" t="s">
        <v>237</v>
      </c>
      <c r="H1190" s="7" t="s">
        <v>24</v>
      </c>
      <c r="I1190" s="7" t="s">
        <v>25</v>
      </c>
      <c r="J1190" s="13" t="str">
        <f>HYPERLINK("https://www.airitibooks.com/Detail/Detail?PublicationID=P20180413085", "https://www.airitibooks.com/Detail/Detail?PublicationID=P20180413085")</f>
        <v>https://www.airitibooks.com/Detail/Detail?PublicationID=P20180413085</v>
      </c>
      <c r="K1190" s="13" t="str">
        <f>HYPERLINK("https://ntsu.idm.oclc.org/login?url=https://www.airitibooks.com/Detail/Detail?PublicationID=P20180413085", "https://ntsu.idm.oclc.org/login?url=https://www.airitibooks.com/Detail/Detail?PublicationID=P20180413085")</f>
        <v>https://ntsu.idm.oclc.org/login?url=https://www.airitibooks.com/Detail/Detail?PublicationID=P20180413085</v>
      </c>
    </row>
    <row r="1191" spans="1:11" ht="68" x14ac:dyDescent="0.4">
      <c r="A1191" s="10" t="s">
        <v>9130</v>
      </c>
      <c r="B1191" s="10" t="s">
        <v>9131</v>
      </c>
      <c r="C1191" s="10" t="s">
        <v>613</v>
      </c>
      <c r="D1191" s="10" t="s">
        <v>9132</v>
      </c>
      <c r="E1191" s="10" t="s">
        <v>7391</v>
      </c>
      <c r="F1191" s="10" t="s">
        <v>6050</v>
      </c>
      <c r="G1191" s="10" t="s">
        <v>237</v>
      </c>
      <c r="H1191" s="7" t="s">
        <v>24</v>
      </c>
      <c r="I1191" s="7" t="s">
        <v>25</v>
      </c>
      <c r="J1191" s="13" t="str">
        <f>HYPERLINK("https://www.airitibooks.com/Detail/Detail?PublicationID=P20180427078", "https://www.airitibooks.com/Detail/Detail?PublicationID=P20180427078")</f>
        <v>https://www.airitibooks.com/Detail/Detail?PublicationID=P20180427078</v>
      </c>
      <c r="K1191" s="13" t="str">
        <f>HYPERLINK("https://ntsu.idm.oclc.org/login?url=https://www.airitibooks.com/Detail/Detail?PublicationID=P20180427078", "https://ntsu.idm.oclc.org/login?url=https://www.airitibooks.com/Detail/Detail?PublicationID=P20180427078")</f>
        <v>https://ntsu.idm.oclc.org/login?url=https://www.airitibooks.com/Detail/Detail?PublicationID=P20180427078</v>
      </c>
    </row>
    <row r="1192" spans="1:11" ht="68" x14ac:dyDescent="0.4">
      <c r="A1192" s="10" t="s">
        <v>9271</v>
      </c>
      <c r="B1192" s="10" t="s">
        <v>9272</v>
      </c>
      <c r="C1192" s="10" t="s">
        <v>791</v>
      </c>
      <c r="D1192" s="10" t="s">
        <v>9273</v>
      </c>
      <c r="E1192" s="10" t="s">
        <v>7391</v>
      </c>
      <c r="F1192" s="10" t="s">
        <v>1140</v>
      </c>
      <c r="G1192" s="10" t="s">
        <v>237</v>
      </c>
      <c r="H1192" s="7" t="s">
        <v>24</v>
      </c>
      <c r="I1192" s="7" t="s">
        <v>25</v>
      </c>
      <c r="J1192" s="13" t="str">
        <f>HYPERLINK("https://www.airitibooks.com/Detail/Detail?PublicationID=P20180525024", "https://www.airitibooks.com/Detail/Detail?PublicationID=P20180525024")</f>
        <v>https://www.airitibooks.com/Detail/Detail?PublicationID=P20180525024</v>
      </c>
      <c r="K1192" s="13" t="str">
        <f>HYPERLINK("https://ntsu.idm.oclc.org/login?url=https://www.airitibooks.com/Detail/Detail?PublicationID=P20180525024", "https://ntsu.idm.oclc.org/login?url=https://www.airitibooks.com/Detail/Detail?PublicationID=P20180525024")</f>
        <v>https://ntsu.idm.oclc.org/login?url=https://www.airitibooks.com/Detail/Detail?PublicationID=P20180525024</v>
      </c>
    </row>
    <row r="1193" spans="1:11" ht="51" x14ac:dyDescent="0.4">
      <c r="A1193" s="10" t="s">
        <v>9293</v>
      </c>
      <c r="B1193" s="10" t="s">
        <v>9294</v>
      </c>
      <c r="C1193" s="10" t="s">
        <v>9295</v>
      </c>
      <c r="D1193" s="10" t="s">
        <v>9296</v>
      </c>
      <c r="E1193" s="10" t="s">
        <v>7391</v>
      </c>
      <c r="F1193" s="10" t="s">
        <v>9297</v>
      </c>
      <c r="G1193" s="10" t="s">
        <v>237</v>
      </c>
      <c r="H1193" s="7" t="s">
        <v>24</v>
      </c>
      <c r="I1193" s="7" t="s">
        <v>25</v>
      </c>
      <c r="J1193" s="13" t="str">
        <f>HYPERLINK("https://www.airitibooks.com/Detail/Detail?PublicationID=P20180525044", "https://www.airitibooks.com/Detail/Detail?PublicationID=P20180525044")</f>
        <v>https://www.airitibooks.com/Detail/Detail?PublicationID=P20180525044</v>
      </c>
      <c r="K1193" s="13" t="str">
        <f>HYPERLINK("https://ntsu.idm.oclc.org/login?url=https://www.airitibooks.com/Detail/Detail?PublicationID=P20180525044", "https://ntsu.idm.oclc.org/login?url=https://www.airitibooks.com/Detail/Detail?PublicationID=P20180525044")</f>
        <v>https://ntsu.idm.oclc.org/login?url=https://www.airitibooks.com/Detail/Detail?PublicationID=P20180525044</v>
      </c>
    </row>
    <row r="1194" spans="1:11" ht="51" x14ac:dyDescent="0.4">
      <c r="A1194" s="10" t="s">
        <v>9390</v>
      </c>
      <c r="B1194" s="10" t="s">
        <v>9391</v>
      </c>
      <c r="C1194" s="10" t="s">
        <v>240</v>
      </c>
      <c r="D1194" s="10" t="s">
        <v>9392</v>
      </c>
      <c r="E1194" s="10" t="s">
        <v>7391</v>
      </c>
      <c r="F1194" s="10" t="s">
        <v>5238</v>
      </c>
      <c r="G1194" s="10" t="s">
        <v>237</v>
      </c>
      <c r="H1194" s="7" t="s">
        <v>24</v>
      </c>
      <c r="I1194" s="7" t="s">
        <v>25</v>
      </c>
      <c r="J1194" s="13" t="str">
        <f>HYPERLINK("https://www.airitibooks.com/Detail/Detail?PublicationID=P20180613011", "https://www.airitibooks.com/Detail/Detail?PublicationID=P20180613011")</f>
        <v>https://www.airitibooks.com/Detail/Detail?PublicationID=P20180613011</v>
      </c>
      <c r="K1194" s="13" t="str">
        <f>HYPERLINK("https://ntsu.idm.oclc.org/login?url=https://www.airitibooks.com/Detail/Detail?PublicationID=P20180613011", "https://ntsu.idm.oclc.org/login?url=https://www.airitibooks.com/Detail/Detail?PublicationID=P20180613011")</f>
        <v>https://ntsu.idm.oclc.org/login?url=https://www.airitibooks.com/Detail/Detail?PublicationID=P20180613011</v>
      </c>
    </row>
    <row r="1195" spans="1:11" ht="51" x14ac:dyDescent="0.4">
      <c r="A1195" s="10" t="s">
        <v>9407</v>
      </c>
      <c r="B1195" s="10" t="s">
        <v>9408</v>
      </c>
      <c r="C1195" s="10" t="s">
        <v>240</v>
      </c>
      <c r="D1195" s="10" t="s">
        <v>8848</v>
      </c>
      <c r="E1195" s="10" t="s">
        <v>7391</v>
      </c>
      <c r="F1195" s="10" t="s">
        <v>9409</v>
      </c>
      <c r="G1195" s="10" t="s">
        <v>237</v>
      </c>
      <c r="H1195" s="7" t="s">
        <v>24</v>
      </c>
      <c r="I1195" s="7" t="s">
        <v>25</v>
      </c>
      <c r="J1195" s="13" t="str">
        <f>HYPERLINK("https://www.airitibooks.com/Detail/Detail?PublicationID=P20180613023", "https://www.airitibooks.com/Detail/Detail?PublicationID=P20180613023")</f>
        <v>https://www.airitibooks.com/Detail/Detail?PublicationID=P20180613023</v>
      </c>
      <c r="K1195" s="13" t="str">
        <f>HYPERLINK("https://ntsu.idm.oclc.org/login?url=https://www.airitibooks.com/Detail/Detail?PublicationID=P20180613023", "https://ntsu.idm.oclc.org/login?url=https://www.airitibooks.com/Detail/Detail?PublicationID=P20180613023")</f>
        <v>https://ntsu.idm.oclc.org/login?url=https://www.airitibooks.com/Detail/Detail?PublicationID=P20180613023</v>
      </c>
    </row>
    <row r="1196" spans="1:11" ht="51" x14ac:dyDescent="0.4">
      <c r="A1196" s="10" t="s">
        <v>9429</v>
      </c>
      <c r="B1196" s="10" t="s">
        <v>9430</v>
      </c>
      <c r="C1196" s="10" t="s">
        <v>1727</v>
      </c>
      <c r="D1196" s="10" t="s">
        <v>8694</v>
      </c>
      <c r="E1196" s="10" t="s">
        <v>7391</v>
      </c>
      <c r="F1196" s="10" t="s">
        <v>9431</v>
      </c>
      <c r="G1196" s="10" t="s">
        <v>237</v>
      </c>
      <c r="H1196" s="7" t="s">
        <v>24</v>
      </c>
      <c r="I1196" s="7" t="s">
        <v>25</v>
      </c>
      <c r="J1196" s="13" t="str">
        <f>HYPERLINK("https://www.airitibooks.com/Detail/Detail?PublicationID=P20180615003", "https://www.airitibooks.com/Detail/Detail?PublicationID=P20180615003")</f>
        <v>https://www.airitibooks.com/Detail/Detail?PublicationID=P20180615003</v>
      </c>
      <c r="K1196" s="13" t="str">
        <f>HYPERLINK("https://ntsu.idm.oclc.org/login?url=https://www.airitibooks.com/Detail/Detail?PublicationID=P20180615003", "https://ntsu.idm.oclc.org/login?url=https://www.airitibooks.com/Detail/Detail?PublicationID=P20180615003")</f>
        <v>https://ntsu.idm.oclc.org/login?url=https://www.airitibooks.com/Detail/Detail?PublicationID=P20180615003</v>
      </c>
    </row>
    <row r="1197" spans="1:11" ht="51" x14ac:dyDescent="0.4">
      <c r="A1197" s="10" t="s">
        <v>9440</v>
      </c>
      <c r="B1197" s="10" t="s">
        <v>9441</v>
      </c>
      <c r="C1197" s="10" t="s">
        <v>791</v>
      </c>
      <c r="D1197" s="10" t="s">
        <v>9442</v>
      </c>
      <c r="E1197" s="10" t="s">
        <v>7391</v>
      </c>
      <c r="F1197" s="10" t="s">
        <v>1539</v>
      </c>
      <c r="G1197" s="10" t="s">
        <v>237</v>
      </c>
      <c r="H1197" s="7" t="s">
        <v>24</v>
      </c>
      <c r="I1197" s="7" t="s">
        <v>25</v>
      </c>
      <c r="J1197" s="13" t="str">
        <f>HYPERLINK("https://www.airitibooks.com/Detail/Detail?PublicationID=P20180619003", "https://www.airitibooks.com/Detail/Detail?PublicationID=P20180619003")</f>
        <v>https://www.airitibooks.com/Detail/Detail?PublicationID=P20180619003</v>
      </c>
      <c r="K1197" s="13" t="str">
        <f>HYPERLINK("https://ntsu.idm.oclc.org/login?url=https://www.airitibooks.com/Detail/Detail?PublicationID=P20180619003", "https://ntsu.idm.oclc.org/login?url=https://www.airitibooks.com/Detail/Detail?PublicationID=P20180619003")</f>
        <v>https://ntsu.idm.oclc.org/login?url=https://www.airitibooks.com/Detail/Detail?PublicationID=P20180619003</v>
      </c>
    </row>
    <row r="1198" spans="1:11" ht="51" x14ac:dyDescent="0.4">
      <c r="A1198" s="10" t="s">
        <v>9638</v>
      </c>
      <c r="B1198" s="10" t="s">
        <v>9639</v>
      </c>
      <c r="C1198" s="10" t="s">
        <v>1727</v>
      </c>
      <c r="D1198" s="10" t="s">
        <v>9640</v>
      </c>
      <c r="E1198" s="10" t="s">
        <v>7391</v>
      </c>
      <c r="F1198" s="10" t="s">
        <v>9641</v>
      </c>
      <c r="G1198" s="10" t="s">
        <v>237</v>
      </c>
      <c r="H1198" s="7" t="s">
        <v>24</v>
      </c>
      <c r="I1198" s="7" t="s">
        <v>25</v>
      </c>
      <c r="J1198" s="13" t="str">
        <f>HYPERLINK("https://www.airitibooks.com/Detail/Detail?PublicationID=P20180810083", "https://www.airitibooks.com/Detail/Detail?PublicationID=P20180810083")</f>
        <v>https://www.airitibooks.com/Detail/Detail?PublicationID=P20180810083</v>
      </c>
      <c r="K1198" s="13" t="str">
        <f>HYPERLINK("https://ntsu.idm.oclc.org/login?url=https://www.airitibooks.com/Detail/Detail?PublicationID=P20180810083", "https://ntsu.idm.oclc.org/login?url=https://www.airitibooks.com/Detail/Detail?PublicationID=P20180810083")</f>
        <v>https://ntsu.idm.oclc.org/login?url=https://www.airitibooks.com/Detail/Detail?PublicationID=P20180810083</v>
      </c>
    </row>
    <row r="1199" spans="1:11" ht="51" x14ac:dyDescent="0.4">
      <c r="A1199" s="10" t="s">
        <v>9677</v>
      </c>
      <c r="B1199" s="10" t="s">
        <v>9678</v>
      </c>
      <c r="C1199" s="10" t="s">
        <v>756</v>
      </c>
      <c r="D1199" s="10" t="s">
        <v>761</v>
      </c>
      <c r="E1199" s="10" t="s">
        <v>7391</v>
      </c>
      <c r="F1199" s="10" t="s">
        <v>9641</v>
      </c>
      <c r="G1199" s="10" t="s">
        <v>237</v>
      </c>
      <c r="H1199" s="7" t="s">
        <v>24</v>
      </c>
      <c r="I1199" s="7" t="s">
        <v>25</v>
      </c>
      <c r="J1199" s="13" t="str">
        <f>HYPERLINK("https://www.airitibooks.com/Detail/Detail?PublicationID=P20180815070", "https://www.airitibooks.com/Detail/Detail?PublicationID=P20180815070")</f>
        <v>https://www.airitibooks.com/Detail/Detail?PublicationID=P20180815070</v>
      </c>
      <c r="K1199" s="13" t="str">
        <f>HYPERLINK("https://ntsu.idm.oclc.org/login?url=https://www.airitibooks.com/Detail/Detail?PublicationID=P20180815070", "https://ntsu.idm.oclc.org/login?url=https://www.airitibooks.com/Detail/Detail?PublicationID=P20180815070")</f>
        <v>https://ntsu.idm.oclc.org/login?url=https://www.airitibooks.com/Detail/Detail?PublicationID=P20180815070</v>
      </c>
    </row>
    <row r="1200" spans="1:11" ht="51" x14ac:dyDescent="0.4">
      <c r="A1200" s="10" t="s">
        <v>9679</v>
      </c>
      <c r="B1200" s="10" t="s">
        <v>9680</v>
      </c>
      <c r="C1200" s="10" t="s">
        <v>756</v>
      </c>
      <c r="D1200" s="10" t="s">
        <v>761</v>
      </c>
      <c r="E1200" s="10" t="s">
        <v>7391</v>
      </c>
      <c r="F1200" s="10" t="s">
        <v>9641</v>
      </c>
      <c r="G1200" s="10" t="s">
        <v>237</v>
      </c>
      <c r="H1200" s="7" t="s">
        <v>24</v>
      </c>
      <c r="I1200" s="7" t="s">
        <v>25</v>
      </c>
      <c r="J1200" s="13" t="str">
        <f>HYPERLINK("https://www.airitibooks.com/Detail/Detail?PublicationID=P20180815071", "https://www.airitibooks.com/Detail/Detail?PublicationID=P20180815071")</f>
        <v>https://www.airitibooks.com/Detail/Detail?PublicationID=P20180815071</v>
      </c>
      <c r="K1200" s="13" t="str">
        <f>HYPERLINK("https://ntsu.idm.oclc.org/login?url=https://www.airitibooks.com/Detail/Detail?PublicationID=P20180815071", "https://ntsu.idm.oclc.org/login?url=https://www.airitibooks.com/Detail/Detail?PublicationID=P20180815071")</f>
        <v>https://ntsu.idm.oclc.org/login?url=https://www.airitibooks.com/Detail/Detail?PublicationID=P20180815071</v>
      </c>
    </row>
    <row r="1201" spans="1:11" ht="68" x14ac:dyDescent="0.4">
      <c r="A1201" s="10" t="s">
        <v>9940</v>
      </c>
      <c r="B1201" s="10" t="s">
        <v>9941</v>
      </c>
      <c r="C1201" s="10" t="s">
        <v>791</v>
      </c>
      <c r="D1201" s="10" t="s">
        <v>9942</v>
      </c>
      <c r="E1201" s="10" t="s">
        <v>7391</v>
      </c>
      <c r="F1201" s="10" t="s">
        <v>1140</v>
      </c>
      <c r="G1201" s="10" t="s">
        <v>237</v>
      </c>
      <c r="H1201" s="7" t="s">
        <v>24</v>
      </c>
      <c r="I1201" s="7" t="s">
        <v>25</v>
      </c>
      <c r="J1201" s="13" t="str">
        <f>HYPERLINK("https://www.airitibooks.com/Detail/Detail?PublicationID=P20181026046", "https://www.airitibooks.com/Detail/Detail?PublicationID=P20181026046")</f>
        <v>https://www.airitibooks.com/Detail/Detail?PublicationID=P20181026046</v>
      </c>
      <c r="K1201" s="13" t="str">
        <f>HYPERLINK("https://ntsu.idm.oclc.org/login?url=https://www.airitibooks.com/Detail/Detail?PublicationID=P20181026046", "https://ntsu.idm.oclc.org/login?url=https://www.airitibooks.com/Detail/Detail?PublicationID=P20181026046")</f>
        <v>https://ntsu.idm.oclc.org/login?url=https://www.airitibooks.com/Detail/Detail?PublicationID=P20181026046</v>
      </c>
    </row>
    <row r="1202" spans="1:11" ht="51" x14ac:dyDescent="0.4">
      <c r="A1202" s="10" t="s">
        <v>10151</v>
      </c>
      <c r="B1202" s="10" t="s">
        <v>10152</v>
      </c>
      <c r="C1202" s="10" t="s">
        <v>791</v>
      </c>
      <c r="D1202" s="10" t="s">
        <v>10153</v>
      </c>
      <c r="E1202" s="10" t="s">
        <v>7391</v>
      </c>
      <c r="F1202" s="10" t="s">
        <v>1140</v>
      </c>
      <c r="G1202" s="10" t="s">
        <v>237</v>
      </c>
      <c r="H1202" s="7" t="s">
        <v>24</v>
      </c>
      <c r="I1202" s="7" t="s">
        <v>25</v>
      </c>
      <c r="J1202" s="13" t="str">
        <f>HYPERLINK("https://www.airitibooks.com/Detail/Detail?PublicationID=P20181122004", "https://www.airitibooks.com/Detail/Detail?PublicationID=P20181122004")</f>
        <v>https://www.airitibooks.com/Detail/Detail?PublicationID=P20181122004</v>
      </c>
      <c r="K1202" s="13" t="str">
        <f>HYPERLINK("https://ntsu.idm.oclc.org/login?url=https://www.airitibooks.com/Detail/Detail?PublicationID=P20181122004", "https://ntsu.idm.oclc.org/login?url=https://www.airitibooks.com/Detail/Detail?PublicationID=P20181122004")</f>
        <v>https://ntsu.idm.oclc.org/login?url=https://www.airitibooks.com/Detail/Detail?PublicationID=P20181122004</v>
      </c>
    </row>
    <row r="1203" spans="1:11" ht="51" x14ac:dyDescent="0.4">
      <c r="A1203" s="10" t="s">
        <v>10201</v>
      </c>
      <c r="B1203" s="10" t="s">
        <v>10202</v>
      </c>
      <c r="C1203" s="10" t="s">
        <v>8805</v>
      </c>
      <c r="D1203" s="10" t="s">
        <v>10203</v>
      </c>
      <c r="E1203" s="10" t="s">
        <v>7391</v>
      </c>
      <c r="F1203" s="10" t="s">
        <v>5598</v>
      </c>
      <c r="G1203" s="10" t="s">
        <v>237</v>
      </c>
      <c r="H1203" s="7" t="s">
        <v>24</v>
      </c>
      <c r="I1203" s="7" t="s">
        <v>25</v>
      </c>
      <c r="J1203" s="13" t="str">
        <f>HYPERLINK("https://www.airitibooks.com/Detail/Detail?PublicationID=P20181129003", "https://www.airitibooks.com/Detail/Detail?PublicationID=P20181129003")</f>
        <v>https://www.airitibooks.com/Detail/Detail?PublicationID=P20181129003</v>
      </c>
      <c r="K1203" s="13" t="str">
        <f>HYPERLINK("https://ntsu.idm.oclc.org/login?url=https://www.airitibooks.com/Detail/Detail?PublicationID=P20181129003", "https://ntsu.idm.oclc.org/login?url=https://www.airitibooks.com/Detail/Detail?PublicationID=P20181129003")</f>
        <v>https://ntsu.idm.oclc.org/login?url=https://www.airitibooks.com/Detail/Detail?PublicationID=P20181129003</v>
      </c>
    </row>
    <row r="1204" spans="1:11" ht="68" x14ac:dyDescent="0.4">
      <c r="A1204" s="10" t="s">
        <v>10448</v>
      </c>
      <c r="B1204" s="10" t="s">
        <v>10449</v>
      </c>
      <c r="C1204" s="10" t="s">
        <v>791</v>
      </c>
      <c r="D1204" s="10" t="s">
        <v>10450</v>
      </c>
      <c r="E1204" s="10" t="s">
        <v>7391</v>
      </c>
      <c r="F1204" s="10" t="s">
        <v>5587</v>
      </c>
      <c r="G1204" s="10" t="s">
        <v>237</v>
      </c>
      <c r="H1204" s="7" t="s">
        <v>24</v>
      </c>
      <c r="I1204" s="7" t="s">
        <v>25</v>
      </c>
      <c r="J1204" s="13" t="str">
        <f>HYPERLINK("https://www.airitibooks.com/Detail/Detail?PublicationID=P20181221060", "https://www.airitibooks.com/Detail/Detail?PublicationID=P20181221060")</f>
        <v>https://www.airitibooks.com/Detail/Detail?PublicationID=P20181221060</v>
      </c>
      <c r="K1204" s="13" t="str">
        <f>HYPERLINK("https://ntsu.idm.oclc.org/login?url=https://www.airitibooks.com/Detail/Detail?PublicationID=P20181221060", "https://ntsu.idm.oclc.org/login?url=https://www.airitibooks.com/Detail/Detail?PublicationID=P20181221060")</f>
        <v>https://ntsu.idm.oclc.org/login?url=https://www.airitibooks.com/Detail/Detail?PublicationID=P20181221060</v>
      </c>
    </row>
    <row r="1205" spans="1:11" ht="85" x14ac:dyDescent="0.4">
      <c r="A1205" s="10" t="s">
        <v>10472</v>
      </c>
      <c r="B1205" s="10" t="s">
        <v>10473</v>
      </c>
      <c r="C1205" s="10" t="s">
        <v>544</v>
      </c>
      <c r="D1205" s="10" t="s">
        <v>10474</v>
      </c>
      <c r="E1205" s="10" t="s">
        <v>7391</v>
      </c>
      <c r="F1205" s="10" t="s">
        <v>10475</v>
      </c>
      <c r="G1205" s="10" t="s">
        <v>237</v>
      </c>
      <c r="H1205" s="7" t="s">
        <v>24</v>
      </c>
      <c r="I1205" s="7" t="s">
        <v>25</v>
      </c>
      <c r="J1205" s="13" t="str">
        <f>HYPERLINK("https://www.airitibooks.com/Detail/Detail?PublicationID=P20181224001", "https://www.airitibooks.com/Detail/Detail?PublicationID=P20181224001")</f>
        <v>https://www.airitibooks.com/Detail/Detail?PublicationID=P20181224001</v>
      </c>
      <c r="K1205" s="13" t="str">
        <f>HYPERLINK("https://ntsu.idm.oclc.org/login?url=https://www.airitibooks.com/Detail/Detail?PublicationID=P20181224001", "https://ntsu.idm.oclc.org/login?url=https://www.airitibooks.com/Detail/Detail?PublicationID=P20181224001")</f>
        <v>https://ntsu.idm.oclc.org/login?url=https://www.airitibooks.com/Detail/Detail?PublicationID=P20181224001</v>
      </c>
    </row>
    <row r="1206" spans="1:11" ht="51" x14ac:dyDescent="0.4">
      <c r="A1206" s="10" t="s">
        <v>10476</v>
      </c>
      <c r="B1206" s="10" t="s">
        <v>10477</v>
      </c>
      <c r="C1206" s="10" t="s">
        <v>544</v>
      </c>
      <c r="D1206" s="10" t="s">
        <v>10478</v>
      </c>
      <c r="E1206" s="10" t="s">
        <v>7391</v>
      </c>
      <c r="F1206" s="10" t="s">
        <v>10479</v>
      </c>
      <c r="G1206" s="10" t="s">
        <v>237</v>
      </c>
      <c r="H1206" s="7" t="s">
        <v>24</v>
      </c>
      <c r="I1206" s="7" t="s">
        <v>25</v>
      </c>
      <c r="J1206" s="13" t="str">
        <f>HYPERLINK("https://www.airitibooks.com/Detail/Detail?PublicationID=P20181224002", "https://www.airitibooks.com/Detail/Detail?PublicationID=P20181224002")</f>
        <v>https://www.airitibooks.com/Detail/Detail?PublicationID=P20181224002</v>
      </c>
      <c r="K1206" s="13" t="str">
        <f>HYPERLINK("https://ntsu.idm.oclc.org/login?url=https://www.airitibooks.com/Detail/Detail?PublicationID=P20181224002", "https://ntsu.idm.oclc.org/login?url=https://www.airitibooks.com/Detail/Detail?PublicationID=P20181224002")</f>
        <v>https://ntsu.idm.oclc.org/login?url=https://www.airitibooks.com/Detail/Detail?PublicationID=P20181224002</v>
      </c>
    </row>
    <row r="1207" spans="1:11" ht="51" x14ac:dyDescent="0.4">
      <c r="A1207" s="10" t="s">
        <v>10480</v>
      </c>
      <c r="B1207" s="10" t="s">
        <v>10481</v>
      </c>
      <c r="C1207" s="10" t="s">
        <v>544</v>
      </c>
      <c r="D1207" s="10" t="s">
        <v>10482</v>
      </c>
      <c r="E1207" s="10" t="s">
        <v>7391</v>
      </c>
      <c r="F1207" s="10" t="s">
        <v>10483</v>
      </c>
      <c r="G1207" s="10" t="s">
        <v>237</v>
      </c>
      <c r="H1207" s="7" t="s">
        <v>24</v>
      </c>
      <c r="I1207" s="7" t="s">
        <v>25</v>
      </c>
      <c r="J1207" s="13" t="str">
        <f>HYPERLINK("https://www.airitibooks.com/Detail/Detail?PublicationID=P20181224006", "https://www.airitibooks.com/Detail/Detail?PublicationID=P20181224006")</f>
        <v>https://www.airitibooks.com/Detail/Detail?PublicationID=P20181224006</v>
      </c>
      <c r="K1207" s="13" t="str">
        <f>HYPERLINK("https://ntsu.idm.oclc.org/login?url=https://www.airitibooks.com/Detail/Detail?PublicationID=P20181224006", "https://ntsu.idm.oclc.org/login?url=https://www.airitibooks.com/Detail/Detail?PublicationID=P20181224006")</f>
        <v>https://ntsu.idm.oclc.org/login?url=https://www.airitibooks.com/Detail/Detail?PublicationID=P20181224006</v>
      </c>
    </row>
    <row r="1208" spans="1:11" ht="51" x14ac:dyDescent="0.4">
      <c r="A1208" s="10" t="s">
        <v>10488</v>
      </c>
      <c r="B1208" s="10" t="s">
        <v>10489</v>
      </c>
      <c r="C1208" s="10" t="s">
        <v>544</v>
      </c>
      <c r="D1208" s="10" t="s">
        <v>10490</v>
      </c>
      <c r="E1208" s="10" t="s">
        <v>7391</v>
      </c>
      <c r="F1208" s="10" t="s">
        <v>9409</v>
      </c>
      <c r="G1208" s="10" t="s">
        <v>237</v>
      </c>
      <c r="H1208" s="7" t="s">
        <v>24</v>
      </c>
      <c r="I1208" s="7" t="s">
        <v>25</v>
      </c>
      <c r="J1208" s="13" t="str">
        <f>HYPERLINK("https://www.airitibooks.com/Detail/Detail?PublicationID=P20181224010", "https://www.airitibooks.com/Detail/Detail?PublicationID=P20181224010")</f>
        <v>https://www.airitibooks.com/Detail/Detail?PublicationID=P20181224010</v>
      </c>
      <c r="K1208" s="13" t="str">
        <f>HYPERLINK("https://ntsu.idm.oclc.org/login?url=https://www.airitibooks.com/Detail/Detail?PublicationID=P20181224010", "https://ntsu.idm.oclc.org/login?url=https://www.airitibooks.com/Detail/Detail?PublicationID=P20181224010")</f>
        <v>https://ntsu.idm.oclc.org/login?url=https://www.airitibooks.com/Detail/Detail?PublicationID=P20181224010</v>
      </c>
    </row>
    <row r="1209" spans="1:11" ht="51" x14ac:dyDescent="0.4">
      <c r="A1209" s="10" t="s">
        <v>10610</v>
      </c>
      <c r="B1209" s="10" t="s">
        <v>10611</v>
      </c>
      <c r="C1209" s="10" t="s">
        <v>457</v>
      </c>
      <c r="D1209" s="10" t="s">
        <v>10612</v>
      </c>
      <c r="E1209" s="10" t="s">
        <v>7391</v>
      </c>
      <c r="F1209" s="10" t="s">
        <v>10613</v>
      </c>
      <c r="G1209" s="10" t="s">
        <v>237</v>
      </c>
      <c r="H1209" s="7" t="s">
        <v>24</v>
      </c>
      <c r="I1209" s="7" t="s">
        <v>25</v>
      </c>
      <c r="J1209" s="13" t="str">
        <f>HYPERLINK("https://www.airitibooks.com/Detail/Detail?PublicationID=P20190214006", "https://www.airitibooks.com/Detail/Detail?PublicationID=P20190214006")</f>
        <v>https://www.airitibooks.com/Detail/Detail?PublicationID=P20190214006</v>
      </c>
      <c r="K1209" s="13" t="str">
        <f>HYPERLINK("https://ntsu.idm.oclc.org/login?url=https://www.airitibooks.com/Detail/Detail?PublicationID=P20190214006", "https://ntsu.idm.oclc.org/login?url=https://www.airitibooks.com/Detail/Detail?PublicationID=P20190214006")</f>
        <v>https://ntsu.idm.oclc.org/login?url=https://www.airitibooks.com/Detail/Detail?PublicationID=P20190214006</v>
      </c>
    </row>
    <row r="1210" spans="1:11" ht="51" x14ac:dyDescent="0.4">
      <c r="A1210" s="10" t="s">
        <v>10620</v>
      </c>
      <c r="B1210" s="10" t="s">
        <v>10621</v>
      </c>
      <c r="C1210" s="10" t="s">
        <v>457</v>
      </c>
      <c r="D1210" s="10" t="s">
        <v>10622</v>
      </c>
      <c r="E1210" s="10" t="s">
        <v>7391</v>
      </c>
      <c r="F1210" s="10" t="s">
        <v>10623</v>
      </c>
      <c r="G1210" s="10" t="s">
        <v>237</v>
      </c>
      <c r="H1210" s="7" t="s">
        <v>24</v>
      </c>
      <c r="I1210" s="7" t="s">
        <v>25</v>
      </c>
      <c r="J1210" s="13" t="str">
        <f>HYPERLINK("https://www.airitibooks.com/Detail/Detail?PublicationID=P20190214009", "https://www.airitibooks.com/Detail/Detail?PublicationID=P20190214009")</f>
        <v>https://www.airitibooks.com/Detail/Detail?PublicationID=P20190214009</v>
      </c>
      <c r="K1210" s="13" t="str">
        <f>HYPERLINK("https://ntsu.idm.oclc.org/login?url=https://www.airitibooks.com/Detail/Detail?PublicationID=P20190214009", "https://ntsu.idm.oclc.org/login?url=https://www.airitibooks.com/Detail/Detail?PublicationID=P20190214009")</f>
        <v>https://ntsu.idm.oclc.org/login?url=https://www.airitibooks.com/Detail/Detail?PublicationID=P20190214009</v>
      </c>
    </row>
    <row r="1211" spans="1:11" ht="51" x14ac:dyDescent="0.4">
      <c r="A1211" s="10" t="s">
        <v>10624</v>
      </c>
      <c r="B1211" s="10" t="s">
        <v>10625</v>
      </c>
      <c r="C1211" s="10" t="s">
        <v>457</v>
      </c>
      <c r="D1211" s="10" t="s">
        <v>10622</v>
      </c>
      <c r="E1211" s="10" t="s">
        <v>7391</v>
      </c>
      <c r="F1211" s="10" t="s">
        <v>6300</v>
      </c>
      <c r="G1211" s="10" t="s">
        <v>237</v>
      </c>
      <c r="H1211" s="7" t="s">
        <v>24</v>
      </c>
      <c r="I1211" s="7" t="s">
        <v>25</v>
      </c>
      <c r="J1211" s="13" t="str">
        <f>HYPERLINK("https://www.airitibooks.com/Detail/Detail?PublicationID=P20190214010", "https://www.airitibooks.com/Detail/Detail?PublicationID=P20190214010")</f>
        <v>https://www.airitibooks.com/Detail/Detail?PublicationID=P20190214010</v>
      </c>
      <c r="K1211" s="13" t="str">
        <f>HYPERLINK("https://ntsu.idm.oclc.org/login?url=https://www.airitibooks.com/Detail/Detail?PublicationID=P20190214010", "https://ntsu.idm.oclc.org/login?url=https://www.airitibooks.com/Detail/Detail?PublicationID=P20190214010")</f>
        <v>https://ntsu.idm.oclc.org/login?url=https://www.airitibooks.com/Detail/Detail?PublicationID=P20190214010</v>
      </c>
    </row>
    <row r="1212" spans="1:11" ht="51" x14ac:dyDescent="0.4">
      <c r="A1212" s="10" t="s">
        <v>10629</v>
      </c>
      <c r="B1212" s="10" t="s">
        <v>10630</v>
      </c>
      <c r="C1212" s="10" t="s">
        <v>264</v>
      </c>
      <c r="D1212" s="10" t="s">
        <v>10631</v>
      </c>
      <c r="E1212" s="10" t="s">
        <v>7391</v>
      </c>
      <c r="F1212" s="10" t="s">
        <v>9641</v>
      </c>
      <c r="G1212" s="10" t="s">
        <v>237</v>
      </c>
      <c r="H1212" s="7" t="s">
        <v>24</v>
      </c>
      <c r="I1212" s="7" t="s">
        <v>25</v>
      </c>
      <c r="J1212" s="13" t="str">
        <f>HYPERLINK("https://www.airitibooks.com/Detail/Detail?PublicationID=P20190214013", "https://www.airitibooks.com/Detail/Detail?PublicationID=P20190214013")</f>
        <v>https://www.airitibooks.com/Detail/Detail?PublicationID=P20190214013</v>
      </c>
      <c r="K1212" s="13" t="str">
        <f>HYPERLINK("https://ntsu.idm.oclc.org/login?url=https://www.airitibooks.com/Detail/Detail?PublicationID=P20190214013", "https://ntsu.idm.oclc.org/login?url=https://www.airitibooks.com/Detail/Detail?PublicationID=P20190214013")</f>
        <v>https://ntsu.idm.oclc.org/login?url=https://www.airitibooks.com/Detail/Detail?PublicationID=P20190214013</v>
      </c>
    </row>
    <row r="1213" spans="1:11" ht="51" x14ac:dyDescent="0.4">
      <c r="A1213" s="10" t="s">
        <v>10635</v>
      </c>
      <c r="B1213" s="10" t="s">
        <v>10636</v>
      </c>
      <c r="C1213" s="10" t="s">
        <v>264</v>
      </c>
      <c r="D1213" s="10" t="s">
        <v>10637</v>
      </c>
      <c r="E1213" s="10" t="s">
        <v>7391</v>
      </c>
      <c r="F1213" s="10" t="s">
        <v>6050</v>
      </c>
      <c r="G1213" s="10" t="s">
        <v>237</v>
      </c>
      <c r="H1213" s="7" t="s">
        <v>24</v>
      </c>
      <c r="I1213" s="7" t="s">
        <v>25</v>
      </c>
      <c r="J1213" s="13" t="str">
        <f>HYPERLINK("https://www.airitibooks.com/Detail/Detail?PublicationID=P20190214016", "https://www.airitibooks.com/Detail/Detail?PublicationID=P20190214016")</f>
        <v>https://www.airitibooks.com/Detail/Detail?PublicationID=P20190214016</v>
      </c>
      <c r="K1213" s="13" t="str">
        <f>HYPERLINK("https://ntsu.idm.oclc.org/login?url=https://www.airitibooks.com/Detail/Detail?PublicationID=P20190214016", "https://ntsu.idm.oclc.org/login?url=https://www.airitibooks.com/Detail/Detail?PublicationID=P20190214016")</f>
        <v>https://ntsu.idm.oclc.org/login?url=https://www.airitibooks.com/Detail/Detail?PublicationID=P20190214016</v>
      </c>
    </row>
    <row r="1214" spans="1:11" ht="51" x14ac:dyDescent="0.4">
      <c r="A1214" s="10" t="s">
        <v>10708</v>
      </c>
      <c r="B1214" s="10" t="s">
        <v>10709</v>
      </c>
      <c r="C1214" s="10" t="s">
        <v>848</v>
      </c>
      <c r="D1214" s="10" t="s">
        <v>10710</v>
      </c>
      <c r="E1214" s="10" t="s">
        <v>7391</v>
      </c>
      <c r="F1214" s="10" t="s">
        <v>982</v>
      </c>
      <c r="G1214" s="10" t="s">
        <v>237</v>
      </c>
      <c r="H1214" s="7" t="s">
        <v>24</v>
      </c>
      <c r="I1214" s="7" t="s">
        <v>25</v>
      </c>
      <c r="J1214" s="13" t="str">
        <f>HYPERLINK("https://www.airitibooks.com/Detail/Detail?PublicationID=P20190214091", "https://www.airitibooks.com/Detail/Detail?PublicationID=P20190214091")</f>
        <v>https://www.airitibooks.com/Detail/Detail?PublicationID=P20190214091</v>
      </c>
      <c r="K1214" s="13" t="str">
        <f>HYPERLINK("https://ntsu.idm.oclc.org/login?url=https://www.airitibooks.com/Detail/Detail?PublicationID=P20190214091", "https://ntsu.idm.oclc.org/login?url=https://www.airitibooks.com/Detail/Detail?PublicationID=P20190214091")</f>
        <v>https://ntsu.idm.oclc.org/login?url=https://www.airitibooks.com/Detail/Detail?PublicationID=P20190214091</v>
      </c>
    </row>
    <row r="1215" spans="1:11" ht="51" x14ac:dyDescent="0.4">
      <c r="A1215" s="10" t="s">
        <v>10714</v>
      </c>
      <c r="B1215" s="10" t="s">
        <v>10715</v>
      </c>
      <c r="C1215" s="10" t="s">
        <v>6289</v>
      </c>
      <c r="D1215" s="10" t="s">
        <v>10716</v>
      </c>
      <c r="E1215" s="10" t="s">
        <v>7391</v>
      </c>
      <c r="F1215" s="10" t="s">
        <v>5587</v>
      </c>
      <c r="G1215" s="10" t="s">
        <v>237</v>
      </c>
      <c r="H1215" s="7" t="s">
        <v>24</v>
      </c>
      <c r="I1215" s="7" t="s">
        <v>25</v>
      </c>
      <c r="J1215" s="13" t="str">
        <f>HYPERLINK("https://www.airitibooks.com/Detail/Detail?PublicationID=P20190214094", "https://www.airitibooks.com/Detail/Detail?PublicationID=P20190214094")</f>
        <v>https://www.airitibooks.com/Detail/Detail?PublicationID=P20190214094</v>
      </c>
      <c r="K1215" s="13" t="str">
        <f>HYPERLINK("https://ntsu.idm.oclc.org/login?url=https://www.airitibooks.com/Detail/Detail?PublicationID=P20190214094", "https://ntsu.idm.oclc.org/login?url=https://www.airitibooks.com/Detail/Detail?PublicationID=P20190214094")</f>
        <v>https://ntsu.idm.oclc.org/login?url=https://www.airitibooks.com/Detail/Detail?PublicationID=P20190214094</v>
      </c>
    </row>
    <row r="1216" spans="1:11" ht="51" x14ac:dyDescent="0.4">
      <c r="A1216" s="10" t="s">
        <v>11113</v>
      </c>
      <c r="B1216" s="10" t="s">
        <v>11114</v>
      </c>
      <c r="C1216" s="10" t="s">
        <v>9828</v>
      </c>
      <c r="D1216" s="10" t="s">
        <v>11115</v>
      </c>
      <c r="E1216" s="10" t="s">
        <v>7391</v>
      </c>
      <c r="F1216" s="10" t="s">
        <v>7038</v>
      </c>
      <c r="G1216" s="10" t="s">
        <v>237</v>
      </c>
      <c r="H1216" s="7" t="s">
        <v>1031</v>
      </c>
      <c r="I1216" s="7" t="s">
        <v>25</v>
      </c>
      <c r="J1216" s="13" t="str">
        <f>HYPERLINK("https://www.airitibooks.com/Detail/Detail?PublicationID=P20190423015", "https://www.airitibooks.com/Detail/Detail?PublicationID=P20190423015")</f>
        <v>https://www.airitibooks.com/Detail/Detail?PublicationID=P20190423015</v>
      </c>
      <c r="K1216" s="13" t="str">
        <f>HYPERLINK("https://ntsu.idm.oclc.org/login?url=https://www.airitibooks.com/Detail/Detail?PublicationID=P20190423015", "https://ntsu.idm.oclc.org/login?url=https://www.airitibooks.com/Detail/Detail?PublicationID=P20190423015")</f>
        <v>https://ntsu.idm.oclc.org/login?url=https://www.airitibooks.com/Detail/Detail?PublicationID=P20190423015</v>
      </c>
    </row>
    <row r="1217" spans="1:11" ht="51" x14ac:dyDescent="0.4">
      <c r="A1217" s="10" t="s">
        <v>11128</v>
      </c>
      <c r="B1217" s="10" t="s">
        <v>11129</v>
      </c>
      <c r="C1217" s="10" t="s">
        <v>9828</v>
      </c>
      <c r="D1217" s="10" t="s">
        <v>11130</v>
      </c>
      <c r="E1217" s="10" t="s">
        <v>7391</v>
      </c>
      <c r="F1217" s="10" t="s">
        <v>5183</v>
      </c>
      <c r="G1217" s="10" t="s">
        <v>237</v>
      </c>
      <c r="H1217" s="7" t="s">
        <v>1031</v>
      </c>
      <c r="I1217" s="7" t="s">
        <v>25</v>
      </c>
      <c r="J1217" s="13" t="str">
        <f>HYPERLINK("https://www.airitibooks.com/Detail/Detail?PublicationID=P20190423027", "https://www.airitibooks.com/Detail/Detail?PublicationID=P20190423027")</f>
        <v>https://www.airitibooks.com/Detail/Detail?PublicationID=P20190423027</v>
      </c>
      <c r="K1217" s="13" t="str">
        <f>HYPERLINK("https://ntsu.idm.oclc.org/login?url=https://www.airitibooks.com/Detail/Detail?PublicationID=P20190423027", "https://ntsu.idm.oclc.org/login?url=https://www.airitibooks.com/Detail/Detail?PublicationID=P20190423027")</f>
        <v>https://ntsu.idm.oclc.org/login?url=https://www.airitibooks.com/Detail/Detail?PublicationID=P20190423027</v>
      </c>
    </row>
    <row r="1218" spans="1:11" ht="51" x14ac:dyDescent="0.4">
      <c r="A1218" s="10" t="s">
        <v>11131</v>
      </c>
      <c r="B1218" s="10" t="s">
        <v>11132</v>
      </c>
      <c r="C1218" s="10" t="s">
        <v>9828</v>
      </c>
      <c r="D1218" s="10" t="s">
        <v>11133</v>
      </c>
      <c r="E1218" s="10" t="s">
        <v>7391</v>
      </c>
      <c r="F1218" s="10" t="s">
        <v>11134</v>
      </c>
      <c r="G1218" s="10" t="s">
        <v>237</v>
      </c>
      <c r="H1218" s="7" t="s">
        <v>1031</v>
      </c>
      <c r="I1218" s="7" t="s">
        <v>25</v>
      </c>
      <c r="J1218" s="13" t="str">
        <f>HYPERLINK("https://www.airitibooks.com/Detail/Detail?PublicationID=P20190423028", "https://www.airitibooks.com/Detail/Detail?PublicationID=P20190423028")</f>
        <v>https://www.airitibooks.com/Detail/Detail?PublicationID=P20190423028</v>
      </c>
      <c r="K1218" s="13" t="str">
        <f>HYPERLINK("https://ntsu.idm.oclc.org/login?url=https://www.airitibooks.com/Detail/Detail?PublicationID=P20190423028", "https://ntsu.idm.oclc.org/login?url=https://www.airitibooks.com/Detail/Detail?PublicationID=P20190423028")</f>
        <v>https://ntsu.idm.oclc.org/login?url=https://www.airitibooks.com/Detail/Detail?PublicationID=P20190423028</v>
      </c>
    </row>
    <row r="1219" spans="1:11" ht="51" x14ac:dyDescent="0.4">
      <c r="A1219" s="10" t="s">
        <v>11139</v>
      </c>
      <c r="B1219" s="10" t="s">
        <v>11140</v>
      </c>
      <c r="C1219" s="10" t="s">
        <v>9828</v>
      </c>
      <c r="D1219" s="10" t="s">
        <v>11141</v>
      </c>
      <c r="E1219" s="10" t="s">
        <v>7391</v>
      </c>
      <c r="F1219" s="10" t="s">
        <v>11134</v>
      </c>
      <c r="G1219" s="10" t="s">
        <v>237</v>
      </c>
      <c r="H1219" s="7" t="s">
        <v>1031</v>
      </c>
      <c r="I1219" s="7" t="s">
        <v>25</v>
      </c>
      <c r="J1219" s="13" t="str">
        <f>HYPERLINK("https://www.airitibooks.com/Detail/Detail?PublicationID=P20190423030", "https://www.airitibooks.com/Detail/Detail?PublicationID=P20190423030")</f>
        <v>https://www.airitibooks.com/Detail/Detail?PublicationID=P20190423030</v>
      </c>
      <c r="K1219" s="13" t="str">
        <f>HYPERLINK("https://ntsu.idm.oclc.org/login?url=https://www.airitibooks.com/Detail/Detail?PublicationID=P20190423030", "https://ntsu.idm.oclc.org/login?url=https://www.airitibooks.com/Detail/Detail?PublicationID=P20190423030")</f>
        <v>https://ntsu.idm.oclc.org/login?url=https://www.airitibooks.com/Detail/Detail?PublicationID=P20190423030</v>
      </c>
    </row>
    <row r="1220" spans="1:11" ht="51" x14ac:dyDescent="0.4">
      <c r="A1220" s="10" t="s">
        <v>11212</v>
      </c>
      <c r="B1220" s="10" t="s">
        <v>11213</v>
      </c>
      <c r="C1220" s="10" t="s">
        <v>11191</v>
      </c>
      <c r="D1220" s="10" t="s">
        <v>11214</v>
      </c>
      <c r="E1220" s="10" t="s">
        <v>7391</v>
      </c>
      <c r="F1220" s="10" t="s">
        <v>2566</v>
      </c>
      <c r="G1220" s="10" t="s">
        <v>237</v>
      </c>
      <c r="H1220" s="7" t="s">
        <v>24</v>
      </c>
      <c r="I1220" s="7" t="s">
        <v>25</v>
      </c>
      <c r="J1220" s="13" t="str">
        <f>HYPERLINK("https://www.airitibooks.com/Detail/Detail?PublicationID=P20190425135", "https://www.airitibooks.com/Detail/Detail?PublicationID=P20190425135")</f>
        <v>https://www.airitibooks.com/Detail/Detail?PublicationID=P20190425135</v>
      </c>
      <c r="K1220" s="13" t="str">
        <f>HYPERLINK("https://ntsu.idm.oclc.org/login?url=https://www.airitibooks.com/Detail/Detail?PublicationID=P20190425135", "https://ntsu.idm.oclc.org/login?url=https://www.airitibooks.com/Detail/Detail?PublicationID=P20190425135")</f>
        <v>https://ntsu.idm.oclc.org/login?url=https://www.airitibooks.com/Detail/Detail?PublicationID=P20190425135</v>
      </c>
    </row>
    <row r="1221" spans="1:11" ht="51" x14ac:dyDescent="0.4">
      <c r="A1221" s="10" t="s">
        <v>11355</v>
      </c>
      <c r="B1221" s="10" t="s">
        <v>11356</v>
      </c>
      <c r="C1221" s="10" t="s">
        <v>9828</v>
      </c>
      <c r="D1221" s="10" t="s">
        <v>11357</v>
      </c>
      <c r="E1221" s="10" t="s">
        <v>7391</v>
      </c>
      <c r="F1221" s="10" t="s">
        <v>11134</v>
      </c>
      <c r="G1221" s="10" t="s">
        <v>237</v>
      </c>
      <c r="H1221" s="7" t="s">
        <v>1031</v>
      </c>
      <c r="I1221" s="7" t="s">
        <v>25</v>
      </c>
      <c r="J1221" s="13" t="str">
        <f>HYPERLINK("https://www.airitibooks.com/Detail/Detail?PublicationID=P20190517065", "https://www.airitibooks.com/Detail/Detail?PublicationID=P20190517065")</f>
        <v>https://www.airitibooks.com/Detail/Detail?PublicationID=P20190517065</v>
      </c>
      <c r="K1221" s="13" t="str">
        <f>HYPERLINK("https://ntsu.idm.oclc.org/login?url=https://www.airitibooks.com/Detail/Detail?PublicationID=P20190517065", "https://ntsu.idm.oclc.org/login?url=https://www.airitibooks.com/Detail/Detail?PublicationID=P20190517065")</f>
        <v>https://ntsu.idm.oclc.org/login?url=https://www.airitibooks.com/Detail/Detail?PublicationID=P20190517065</v>
      </c>
    </row>
    <row r="1222" spans="1:11" ht="51" x14ac:dyDescent="0.4">
      <c r="A1222" s="10" t="s">
        <v>11358</v>
      </c>
      <c r="B1222" s="10" t="s">
        <v>11359</v>
      </c>
      <c r="C1222" s="10" t="s">
        <v>9828</v>
      </c>
      <c r="D1222" s="10" t="s">
        <v>11360</v>
      </c>
      <c r="E1222" s="10" t="s">
        <v>7391</v>
      </c>
      <c r="F1222" s="10" t="s">
        <v>11134</v>
      </c>
      <c r="G1222" s="10" t="s">
        <v>237</v>
      </c>
      <c r="H1222" s="7" t="s">
        <v>1031</v>
      </c>
      <c r="I1222" s="7" t="s">
        <v>25</v>
      </c>
      <c r="J1222" s="13" t="str">
        <f>HYPERLINK("https://www.airitibooks.com/Detail/Detail?PublicationID=P20190517066", "https://www.airitibooks.com/Detail/Detail?PublicationID=P20190517066")</f>
        <v>https://www.airitibooks.com/Detail/Detail?PublicationID=P20190517066</v>
      </c>
      <c r="K1222" s="13" t="str">
        <f>HYPERLINK("https://ntsu.idm.oclc.org/login?url=https://www.airitibooks.com/Detail/Detail?PublicationID=P20190517066", "https://ntsu.idm.oclc.org/login?url=https://www.airitibooks.com/Detail/Detail?PublicationID=P20190517066")</f>
        <v>https://ntsu.idm.oclc.org/login?url=https://www.airitibooks.com/Detail/Detail?PublicationID=P20190517066</v>
      </c>
    </row>
    <row r="1223" spans="1:11" ht="51" x14ac:dyDescent="0.4">
      <c r="A1223" s="10" t="s">
        <v>11364</v>
      </c>
      <c r="B1223" s="10" t="s">
        <v>11365</v>
      </c>
      <c r="C1223" s="10" t="s">
        <v>9828</v>
      </c>
      <c r="D1223" s="10" t="s">
        <v>11366</v>
      </c>
      <c r="E1223" s="10" t="s">
        <v>7391</v>
      </c>
      <c r="F1223" s="10" t="s">
        <v>11367</v>
      </c>
      <c r="G1223" s="10" t="s">
        <v>237</v>
      </c>
      <c r="H1223" s="7" t="s">
        <v>1031</v>
      </c>
      <c r="I1223" s="7" t="s">
        <v>25</v>
      </c>
      <c r="J1223" s="13" t="str">
        <f>HYPERLINK("https://www.airitibooks.com/Detail/Detail?PublicationID=P20190517068", "https://www.airitibooks.com/Detail/Detail?PublicationID=P20190517068")</f>
        <v>https://www.airitibooks.com/Detail/Detail?PublicationID=P20190517068</v>
      </c>
      <c r="K1223" s="13" t="str">
        <f>HYPERLINK("https://ntsu.idm.oclc.org/login?url=https://www.airitibooks.com/Detail/Detail?PublicationID=P20190517068", "https://ntsu.idm.oclc.org/login?url=https://www.airitibooks.com/Detail/Detail?PublicationID=P20190517068")</f>
        <v>https://ntsu.idm.oclc.org/login?url=https://www.airitibooks.com/Detail/Detail?PublicationID=P20190517068</v>
      </c>
    </row>
    <row r="1224" spans="1:11" ht="51" x14ac:dyDescent="0.4">
      <c r="A1224" s="10" t="s">
        <v>11375</v>
      </c>
      <c r="B1224" s="10" t="s">
        <v>11376</v>
      </c>
      <c r="C1224" s="10" t="s">
        <v>9828</v>
      </c>
      <c r="D1224" s="10" t="s">
        <v>11377</v>
      </c>
      <c r="E1224" s="10" t="s">
        <v>7391</v>
      </c>
      <c r="F1224" s="10" t="s">
        <v>11367</v>
      </c>
      <c r="G1224" s="10" t="s">
        <v>237</v>
      </c>
      <c r="H1224" s="7" t="s">
        <v>1031</v>
      </c>
      <c r="I1224" s="7" t="s">
        <v>25</v>
      </c>
      <c r="J1224" s="13" t="str">
        <f>HYPERLINK("https://www.airitibooks.com/Detail/Detail?PublicationID=P20190517073", "https://www.airitibooks.com/Detail/Detail?PublicationID=P20190517073")</f>
        <v>https://www.airitibooks.com/Detail/Detail?PublicationID=P20190517073</v>
      </c>
      <c r="K1224" s="13" t="str">
        <f>HYPERLINK("https://ntsu.idm.oclc.org/login?url=https://www.airitibooks.com/Detail/Detail?PublicationID=P20190517073", "https://ntsu.idm.oclc.org/login?url=https://www.airitibooks.com/Detail/Detail?PublicationID=P20190517073")</f>
        <v>https://ntsu.idm.oclc.org/login?url=https://www.airitibooks.com/Detail/Detail?PublicationID=P20190517073</v>
      </c>
    </row>
    <row r="1225" spans="1:11" ht="51" x14ac:dyDescent="0.4">
      <c r="A1225" s="10" t="s">
        <v>11406</v>
      </c>
      <c r="B1225" s="10" t="s">
        <v>11407</v>
      </c>
      <c r="C1225" s="10" t="s">
        <v>9828</v>
      </c>
      <c r="D1225" s="10" t="s">
        <v>11408</v>
      </c>
      <c r="E1225" s="10" t="s">
        <v>7391</v>
      </c>
      <c r="F1225" s="10" t="s">
        <v>11409</v>
      </c>
      <c r="G1225" s="10" t="s">
        <v>237</v>
      </c>
      <c r="H1225" s="7" t="s">
        <v>1031</v>
      </c>
      <c r="I1225" s="7" t="s">
        <v>25</v>
      </c>
      <c r="J1225" s="13" t="str">
        <f>HYPERLINK("https://www.airitibooks.com/Detail/Detail?PublicationID=P20190521010", "https://www.airitibooks.com/Detail/Detail?PublicationID=P20190521010")</f>
        <v>https://www.airitibooks.com/Detail/Detail?PublicationID=P20190521010</v>
      </c>
      <c r="K1225" s="13" t="str">
        <f>HYPERLINK("https://ntsu.idm.oclc.org/login?url=https://www.airitibooks.com/Detail/Detail?PublicationID=P20190521010", "https://ntsu.idm.oclc.org/login?url=https://www.airitibooks.com/Detail/Detail?PublicationID=P20190521010")</f>
        <v>https://ntsu.idm.oclc.org/login?url=https://www.airitibooks.com/Detail/Detail?PublicationID=P20190521010</v>
      </c>
    </row>
    <row r="1226" spans="1:11" ht="51" x14ac:dyDescent="0.4">
      <c r="A1226" s="10" t="s">
        <v>11427</v>
      </c>
      <c r="B1226" s="10" t="s">
        <v>11428</v>
      </c>
      <c r="C1226" s="10" t="s">
        <v>9828</v>
      </c>
      <c r="D1226" s="10" t="s">
        <v>11429</v>
      </c>
      <c r="E1226" s="10" t="s">
        <v>7391</v>
      </c>
      <c r="F1226" s="10" t="s">
        <v>11134</v>
      </c>
      <c r="G1226" s="10" t="s">
        <v>237</v>
      </c>
      <c r="H1226" s="7" t="s">
        <v>1031</v>
      </c>
      <c r="I1226" s="7" t="s">
        <v>25</v>
      </c>
      <c r="J1226" s="13" t="str">
        <f>HYPERLINK("https://www.airitibooks.com/Detail/Detail?PublicationID=P20190521016", "https://www.airitibooks.com/Detail/Detail?PublicationID=P20190521016")</f>
        <v>https://www.airitibooks.com/Detail/Detail?PublicationID=P20190521016</v>
      </c>
      <c r="K1226" s="13" t="str">
        <f>HYPERLINK("https://ntsu.idm.oclc.org/login?url=https://www.airitibooks.com/Detail/Detail?PublicationID=P20190521016", "https://ntsu.idm.oclc.org/login?url=https://www.airitibooks.com/Detail/Detail?PublicationID=P20190521016")</f>
        <v>https://ntsu.idm.oclc.org/login?url=https://www.airitibooks.com/Detail/Detail?PublicationID=P20190521016</v>
      </c>
    </row>
    <row r="1227" spans="1:11" ht="51" x14ac:dyDescent="0.4">
      <c r="A1227" s="10" t="s">
        <v>11430</v>
      </c>
      <c r="B1227" s="10" t="s">
        <v>11431</v>
      </c>
      <c r="C1227" s="10" t="s">
        <v>9828</v>
      </c>
      <c r="D1227" s="10" t="s">
        <v>11432</v>
      </c>
      <c r="E1227" s="10" t="s">
        <v>7391</v>
      </c>
      <c r="F1227" s="10" t="s">
        <v>960</v>
      </c>
      <c r="G1227" s="10" t="s">
        <v>237</v>
      </c>
      <c r="H1227" s="7" t="s">
        <v>1031</v>
      </c>
      <c r="I1227" s="7" t="s">
        <v>25</v>
      </c>
      <c r="J1227" s="13" t="str">
        <f>HYPERLINK("https://www.airitibooks.com/Detail/Detail?PublicationID=P20190521017", "https://www.airitibooks.com/Detail/Detail?PublicationID=P20190521017")</f>
        <v>https://www.airitibooks.com/Detail/Detail?PublicationID=P20190521017</v>
      </c>
      <c r="K1227" s="13" t="str">
        <f>HYPERLINK("https://ntsu.idm.oclc.org/login?url=https://www.airitibooks.com/Detail/Detail?PublicationID=P20190521017", "https://ntsu.idm.oclc.org/login?url=https://www.airitibooks.com/Detail/Detail?PublicationID=P20190521017")</f>
        <v>https://ntsu.idm.oclc.org/login?url=https://www.airitibooks.com/Detail/Detail?PublicationID=P20190521017</v>
      </c>
    </row>
    <row r="1228" spans="1:11" ht="51" x14ac:dyDescent="0.4">
      <c r="A1228" s="10" t="s">
        <v>11433</v>
      </c>
      <c r="B1228" s="10" t="s">
        <v>11434</v>
      </c>
      <c r="C1228" s="10" t="s">
        <v>9828</v>
      </c>
      <c r="D1228" s="10" t="s">
        <v>11435</v>
      </c>
      <c r="E1228" s="10" t="s">
        <v>7391</v>
      </c>
      <c r="F1228" s="10" t="s">
        <v>11436</v>
      </c>
      <c r="G1228" s="10" t="s">
        <v>237</v>
      </c>
      <c r="H1228" s="7" t="s">
        <v>1031</v>
      </c>
      <c r="I1228" s="7" t="s">
        <v>25</v>
      </c>
      <c r="J1228" s="13" t="str">
        <f>HYPERLINK("https://www.airitibooks.com/Detail/Detail?PublicationID=P20190521018", "https://www.airitibooks.com/Detail/Detail?PublicationID=P20190521018")</f>
        <v>https://www.airitibooks.com/Detail/Detail?PublicationID=P20190521018</v>
      </c>
      <c r="K1228" s="13" t="str">
        <f>HYPERLINK("https://ntsu.idm.oclc.org/login?url=https://www.airitibooks.com/Detail/Detail?PublicationID=P20190521018", "https://ntsu.idm.oclc.org/login?url=https://www.airitibooks.com/Detail/Detail?PublicationID=P20190521018")</f>
        <v>https://ntsu.idm.oclc.org/login?url=https://www.airitibooks.com/Detail/Detail?PublicationID=P20190521018</v>
      </c>
    </row>
    <row r="1229" spans="1:11" ht="51" x14ac:dyDescent="0.4">
      <c r="A1229" s="10" t="s">
        <v>11437</v>
      </c>
      <c r="B1229" s="10" t="s">
        <v>11438</v>
      </c>
      <c r="C1229" s="10" t="s">
        <v>9828</v>
      </c>
      <c r="D1229" s="10" t="s">
        <v>11439</v>
      </c>
      <c r="E1229" s="10" t="s">
        <v>7391</v>
      </c>
      <c r="F1229" s="10" t="s">
        <v>11436</v>
      </c>
      <c r="G1229" s="10" t="s">
        <v>237</v>
      </c>
      <c r="H1229" s="7" t="s">
        <v>1031</v>
      </c>
      <c r="I1229" s="7" t="s">
        <v>25</v>
      </c>
      <c r="J1229" s="13" t="str">
        <f>HYPERLINK("https://www.airitibooks.com/Detail/Detail?PublicationID=P20190521019", "https://www.airitibooks.com/Detail/Detail?PublicationID=P20190521019")</f>
        <v>https://www.airitibooks.com/Detail/Detail?PublicationID=P20190521019</v>
      </c>
      <c r="K1229" s="13" t="str">
        <f>HYPERLINK("https://ntsu.idm.oclc.org/login?url=https://www.airitibooks.com/Detail/Detail?PublicationID=P20190521019", "https://ntsu.idm.oclc.org/login?url=https://www.airitibooks.com/Detail/Detail?PublicationID=P20190521019")</f>
        <v>https://ntsu.idm.oclc.org/login?url=https://www.airitibooks.com/Detail/Detail?PublicationID=P20190521019</v>
      </c>
    </row>
    <row r="1230" spans="1:11" ht="51" x14ac:dyDescent="0.4">
      <c r="A1230" s="10" t="s">
        <v>11465</v>
      </c>
      <c r="B1230" s="10" t="s">
        <v>11466</v>
      </c>
      <c r="C1230" s="10" t="s">
        <v>9828</v>
      </c>
      <c r="D1230" s="10" t="s">
        <v>11467</v>
      </c>
      <c r="E1230" s="10" t="s">
        <v>7391</v>
      </c>
      <c r="F1230" s="10" t="s">
        <v>9907</v>
      </c>
      <c r="G1230" s="10" t="s">
        <v>237</v>
      </c>
      <c r="H1230" s="7" t="s">
        <v>1031</v>
      </c>
      <c r="I1230" s="7" t="s">
        <v>25</v>
      </c>
      <c r="J1230" s="13" t="str">
        <f>HYPERLINK("https://www.airitibooks.com/Detail/Detail?PublicationID=P20190521032", "https://www.airitibooks.com/Detail/Detail?PublicationID=P20190521032")</f>
        <v>https://www.airitibooks.com/Detail/Detail?PublicationID=P20190521032</v>
      </c>
      <c r="K1230" s="13" t="str">
        <f>HYPERLINK("https://ntsu.idm.oclc.org/login?url=https://www.airitibooks.com/Detail/Detail?PublicationID=P20190521032", "https://ntsu.idm.oclc.org/login?url=https://www.airitibooks.com/Detail/Detail?PublicationID=P20190521032")</f>
        <v>https://ntsu.idm.oclc.org/login?url=https://www.airitibooks.com/Detail/Detail?PublicationID=P20190521032</v>
      </c>
    </row>
    <row r="1231" spans="1:11" ht="51" x14ac:dyDescent="0.4">
      <c r="A1231" s="10" t="s">
        <v>11477</v>
      </c>
      <c r="B1231" s="10" t="s">
        <v>11478</v>
      </c>
      <c r="C1231" s="10" t="s">
        <v>9828</v>
      </c>
      <c r="D1231" s="10" t="s">
        <v>11479</v>
      </c>
      <c r="E1231" s="10" t="s">
        <v>7391</v>
      </c>
      <c r="F1231" s="10" t="s">
        <v>11480</v>
      </c>
      <c r="G1231" s="10" t="s">
        <v>237</v>
      </c>
      <c r="H1231" s="7" t="s">
        <v>1031</v>
      </c>
      <c r="I1231" s="7" t="s">
        <v>25</v>
      </c>
      <c r="J1231" s="13" t="str">
        <f>HYPERLINK("https://www.airitibooks.com/Detail/Detail?PublicationID=P20190521038", "https://www.airitibooks.com/Detail/Detail?PublicationID=P20190521038")</f>
        <v>https://www.airitibooks.com/Detail/Detail?PublicationID=P20190521038</v>
      </c>
      <c r="K1231" s="13" t="str">
        <f>HYPERLINK("https://ntsu.idm.oclc.org/login?url=https://www.airitibooks.com/Detail/Detail?PublicationID=P20190521038", "https://ntsu.idm.oclc.org/login?url=https://www.airitibooks.com/Detail/Detail?PublicationID=P20190521038")</f>
        <v>https://ntsu.idm.oclc.org/login?url=https://www.airitibooks.com/Detail/Detail?PublicationID=P20190521038</v>
      </c>
    </row>
    <row r="1232" spans="1:11" ht="51" x14ac:dyDescent="0.4">
      <c r="A1232" s="10" t="s">
        <v>11485</v>
      </c>
      <c r="B1232" s="10" t="s">
        <v>11486</v>
      </c>
      <c r="C1232" s="10" t="s">
        <v>9828</v>
      </c>
      <c r="D1232" s="10" t="s">
        <v>11487</v>
      </c>
      <c r="E1232" s="10" t="s">
        <v>7391</v>
      </c>
      <c r="F1232" s="10" t="s">
        <v>11488</v>
      </c>
      <c r="G1232" s="10" t="s">
        <v>237</v>
      </c>
      <c r="H1232" s="7" t="s">
        <v>1031</v>
      </c>
      <c r="I1232" s="7" t="s">
        <v>25</v>
      </c>
      <c r="J1232" s="13" t="str">
        <f>HYPERLINK("https://www.airitibooks.com/Detail/Detail?PublicationID=P20190521041", "https://www.airitibooks.com/Detail/Detail?PublicationID=P20190521041")</f>
        <v>https://www.airitibooks.com/Detail/Detail?PublicationID=P20190521041</v>
      </c>
      <c r="K1232" s="13" t="str">
        <f>HYPERLINK("https://ntsu.idm.oclc.org/login?url=https://www.airitibooks.com/Detail/Detail?PublicationID=P20190521041", "https://ntsu.idm.oclc.org/login?url=https://www.airitibooks.com/Detail/Detail?PublicationID=P20190521041")</f>
        <v>https://ntsu.idm.oclc.org/login?url=https://www.airitibooks.com/Detail/Detail?PublicationID=P20190521041</v>
      </c>
    </row>
    <row r="1233" spans="1:11" ht="51" x14ac:dyDescent="0.4">
      <c r="A1233" s="10" t="s">
        <v>11534</v>
      </c>
      <c r="B1233" s="10" t="s">
        <v>11535</v>
      </c>
      <c r="C1233" s="10" t="s">
        <v>11531</v>
      </c>
      <c r="D1233" s="10" t="s">
        <v>11536</v>
      </c>
      <c r="E1233" s="10" t="s">
        <v>7391</v>
      </c>
      <c r="F1233" s="10" t="s">
        <v>1683</v>
      </c>
      <c r="G1233" s="10" t="s">
        <v>237</v>
      </c>
      <c r="H1233" s="7" t="s">
        <v>24</v>
      </c>
      <c r="I1233" s="7" t="s">
        <v>25</v>
      </c>
      <c r="J1233" s="13" t="str">
        <f>HYPERLINK("https://www.airitibooks.com/Detail/Detail?PublicationID=P20190531008", "https://www.airitibooks.com/Detail/Detail?PublicationID=P20190531008")</f>
        <v>https://www.airitibooks.com/Detail/Detail?PublicationID=P20190531008</v>
      </c>
      <c r="K1233" s="13" t="str">
        <f>HYPERLINK("https://ntsu.idm.oclc.org/login?url=https://www.airitibooks.com/Detail/Detail?PublicationID=P20190531008", "https://ntsu.idm.oclc.org/login?url=https://www.airitibooks.com/Detail/Detail?PublicationID=P20190531008")</f>
        <v>https://ntsu.idm.oclc.org/login?url=https://www.airitibooks.com/Detail/Detail?PublicationID=P20190531008</v>
      </c>
    </row>
    <row r="1234" spans="1:11" ht="51" x14ac:dyDescent="0.4">
      <c r="A1234" s="10" t="s">
        <v>11537</v>
      </c>
      <c r="B1234" s="10" t="s">
        <v>11538</v>
      </c>
      <c r="C1234" s="10" t="s">
        <v>544</v>
      </c>
      <c r="D1234" s="10" t="s">
        <v>11539</v>
      </c>
      <c r="E1234" s="10" t="s">
        <v>7391</v>
      </c>
      <c r="F1234" s="10" t="s">
        <v>1539</v>
      </c>
      <c r="G1234" s="10" t="s">
        <v>237</v>
      </c>
      <c r="H1234" s="7" t="s">
        <v>24</v>
      </c>
      <c r="I1234" s="7" t="s">
        <v>25</v>
      </c>
      <c r="J1234" s="13" t="str">
        <f>HYPERLINK("https://www.airitibooks.com/Detail/Detail?PublicationID=P20190531009", "https://www.airitibooks.com/Detail/Detail?PublicationID=P20190531009")</f>
        <v>https://www.airitibooks.com/Detail/Detail?PublicationID=P20190531009</v>
      </c>
      <c r="K1234" s="13" t="str">
        <f>HYPERLINK("https://ntsu.idm.oclc.org/login?url=https://www.airitibooks.com/Detail/Detail?PublicationID=P20190531009", "https://ntsu.idm.oclc.org/login?url=https://www.airitibooks.com/Detail/Detail?PublicationID=P20190531009")</f>
        <v>https://ntsu.idm.oclc.org/login?url=https://www.airitibooks.com/Detail/Detail?PublicationID=P20190531009</v>
      </c>
    </row>
    <row r="1235" spans="1:11" ht="68" x14ac:dyDescent="0.4">
      <c r="A1235" s="10" t="s">
        <v>11634</v>
      </c>
      <c r="B1235" s="10" t="s">
        <v>11635</v>
      </c>
      <c r="C1235" s="10" t="s">
        <v>3705</v>
      </c>
      <c r="D1235" s="10" t="s">
        <v>11636</v>
      </c>
      <c r="E1235" s="10" t="s">
        <v>7391</v>
      </c>
      <c r="F1235" s="10" t="s">
        <v>1679</v>
      </c>
      <c r="G1235" s="10" t="s">
        <v>237</v>
      </c>
      <c r="H1235" s="7" t="s">
        <v>24</v>
      </c>
      <c r="I1235" s="7" t="s">
        <v>25</v>
      </c>
      <c r="J1235" s="13" t="str">
        <f>HYPERLINK("https://www.airitibooks.com/Detail/Detail?PublicationID=P20190606184", "https://www.airitibooks.com/Detail/Detail?PublicationID=P20190606184")</f>
        <v>https://www.airitibooks.com/Detail/Detail?PublicationID=P20190606184</v>
      </c>
      <c r="K1235" s="13" t="str">
        <f>HYPERLINK("https://ntsu.idm.oclc.org/login?url=https://www.airitibooks.com/Detail/Detail?PublicationID=P20190606184", "https://ntsu.idm.oclc.org/login?url=https://www.airitibooks.com/Detail/Detail?PublicationID=P20190606184")</f>
        <v>https://ntsu.idm.oclc.org/login?url=https://www.airitibooks.com/Detail/Detail?PublicationID=P20190606184</v>
      </c>
    </row>
    <row r="1236" spans="1:11" ht="51" x14ac:dyDescent="0.4">
      <c r="A1236" s="10" t="s">
        <v>11726</v>
      </c>
      <c r="B1236" s="10" t="s">
        <v>11727</v>
      </c>
      <c r="C1236" s="10" t="s">
        <v>544</v>
      </c>
      <c r="D1236" s="10" t="s">
        <v>11728</v>
      </c>
      <c r="E1236" s="10" t="s">
        <v>7391</v>
      </c>
      <c r="F1236" s="10" t="s">
        <v>11729</v>
      </c>
      <c r="G1236" s="10" t="s">
        <v>237</v>
      </c>
      <c r="H1236" s="7" t="s">
        <v>24</v>
      </c>
      <c r="I1236" s="7" t="s">
        <v>25</v>
      </c>
      <c r="J1236" s="13" t="str">
        <f>HYPERLINK("https://www.airitibooks.com/Detail/Detail?PublicationID=P20190620007", "https://www.airitibooks.com/Detail/Detail?PublicationID=P20190620007")</f>
        <v>https://www.airitibooks.com/Detail/Detail?PublicationID=P20190620007</v>
      </c>
      <c r="K1236" s="13" t="str">
        <f>HYPERLINK("https://ntsu.idm.oclc.org/login?url=https://www.airitibooks.com/Detail/Detail?PublicationID=P20190620007", "https://ntsu.idm.oclc.org/login?url=https://www.airitibooks.com/Detail/Detail?PublicationID=P20190620007")</f>
        <v>https://ntsu.idm.oclc.org/login?url=https://www.airitibooks.com/Detail/Detail?PublicationID=P20190620007</v>
      </c>
    </row>
    <row r="1237" spans="1:11" ht="51" x14ac:dyDescent="0.4">
      <c r="A1237" s="10" t="s">
        <v>11734</v>
      </c>
      <c r="B1237" s="10" t="s">
        <v>11735</v>
      </c>
      <c r="C1237" s="10" t="s">
        <v>544</v>
      </c>
      <c r="D1237" s="10" t="s">
        <v>11736</v>
      </c>
      <c r="E1237" s="10" t="s">
        <v>7391</v>
      </c>
      <c r="F1237" s="10" t="s">
        <v>11737</v>
      </c>
      <c r="G1237" s="10" t="s">
        <v>237</v>
      </c>
      <c r="H1237" s="7" t="s">
        <v>24</v>
      </c>
      <c r="I1237" s="7" t="s">
        <v>25</v>
      </c>
      <c r="J1237" s="13" t="str">
        <f>HYPERLINK("https://www.airitibooks.com/Detail/Detail?PublicationID=P20190620011", "https://www.airitibooks.com/Detail/Detail?PublicationID=P20190620011")</f>
        <v>https://www.airitibooks.com/Detail/Detail?PublicationID=P20190620011</v>
      </c>
      <c r="K1237" s="13" t="str">
        <f>HYPERLINK("https://ntsu.idm.oclc.org/login?url=https://www.airitibooks.com/Detail/Detail?PublicationID=P20190620011", "https://ntsu.idm.oclc.org/login?url=https://www.airitibooks.com/Detail/Detail?PublicationID=P20190620011")</f>
        <v>https://ntsu.idm.oclc.org/login?url=https://www.airitibooks.com/Detail/Detail?PublicationID=P20190620011</v>
      </c>
    </row>
    <row r="1238" spans="1:11" ht="119" x14ac:dyDescent="0.4">
      <c r="A1238" s="10" t="s">
        <v>12408</v>
      </c>
      <c r="B1238" s="10" t="s">
        <v>12409</v>
      </c>
      <c r="C1238" s="10" t="s">
        <v>10384</v>
      </c>
      <c r="D1238" s="10" t="s">
        <v>12410</v>
      </c>
      <c r="E1238" s="10" t="s">
        <v>7391</v>
      </c>
      <c r="F1238" s="10" t="s">
        <v>7038</v>
      </c>
      <c r="G1238" s="10" t="s">
        <v>237</v>
      </c>
      <c r="H1238" s="7" t="s">
        <v>24</v>
      </c>
      <c r="I1238" s="7" t="s">
        <v>25</v>
      </c>
      <c r="J1238" s="13" t="str">
        <f>HYPERLINK("https://www.airitibooks.com/Detail/Detail?PublicationID=P20190927246", "https://www.airitibooks.com/Detail/Detail?PublicationID=P20190927246")</f>
        <v>https://www.airitibooks.com/Detail/Detail?PublicationID=P20190927246</v>
      </c>
      <c r="K1238" s="13" t="str">
        <f>HYPERLINK("https://ntsu.idm.oclc.org/login?url=https://www.airitibooks.com/Detail/Detail?PublicationID=P20190927246", "https://ntsu.idm.oclc.org/login?url=https://www.airitibooks.com/Detail/Detail?PublicationID=P20190927246")</f>
        <v>https://ntsu.idm.oclc.org/login?url=https://www.airitibooks.com/Detail/Detail?PublicationID=P20190927246</v>
      </c>
    </row>
    <row r="1239" spans="1:11" ht="102" x14ac:dyDescent="0.4">
      <c r="A1239" s="10" t="s">
        <v>12411</v>
      </c>
      <c r="B1239" s="10" t="s">
        <v>12412</v>
      </c>
      <c r="C1239" s="10" t="s">
        <v>10384</v>
      </c>
      <c r="D1239" s="10" t="s">
        <v>12410</v>
      </c>
      <c r="E1239" s="10" t="s">
        <v>7391</v>
      </c>
      <c r="F1239" s="10" t="s">
        <v>7038</v>
      </c>
      <c r="G1239" s="10" t="s">
        <v>237</v>
      </c>
      <c r="H1239" s="7" t="s">
        <v>24</v>
      </c>
      <c r="I1239" s="7" t="s">
        <v>25</v>
      </c>
      <c r="J1239" s="13" t="str">
        <f>HYPERLINK("https://www.airitibooks.com/Detail/Detail?PublicationID=P20190927247", "https://www.airitibooks.com/Detail/Detail?PublicationID=P20190927247")</f>
        <v>https://www.airitibooks.com/Detail/Detail?PublicationID=P20190927247</v>
      </c>
      <c r="K1239" s="13" t="str">
        <f>HYPERLINK("https://ntsu.idm.oclc.org/login?url=https://www.airitibooks.com/Detail/Detail?PublicationID=P20190927247", "https://ntsu.idm.oclc.org/login?url=https://www.airitibooks.com/Detail/Detail?PublicationID=P20190927247")</f>
        <v>https://ntsu.idm.oclc.org/login?url=https://www.airitibooks.com/Detail/Detail?PublicationID=P20190927247</v>
      </c>
    </row>
    <row r="1240" spans="1:11" ht="51" x14ac:dyDescent="0.4">
      <c r="A1240" s="10" t="s">
        <v>12417</v>
      </c>
      <c r="B1240" s="10" t="s">
        <v>12418</v>
      </c>
      <c r="C1240" s="10" t="s">
        <v>10384</v>
      </c>
      <c r="D1240" s="10" t="s">
        <v>12419</v>
      </c>
      <c r="E1240" s="10" t="s">
        <v>7391</v>
      </c>
      <c r="F1240" s="10" t="s">
        <v>1539</v>
      </c>
      <c r="G1240" s="10" t="s">
        <v>237</v>
      </c>
      <c r="H1240" s="7" t="s">
        <v>24</v>
      </c>
      <c r="I1240" s="7" t="s">
        <v>25</v>
      </c>
      <c r="J1240" s="13" t="str">
        <f>HYPERLINK("https://www.airitibooks.com/Detail/Detail?PublicationID=P20190927250", "https://www.airitibooks.com/Detail/Detail?PublicationID=P20190927250")</f>
        <v>https://www.airitibooks.com/Detail/Detail?PublicationID=P20190927250</v>
      </c>
      <c r="K1240" s="13" t="str">
        <f>HYPERLINK("https://ntsu.idm.oclc.org/login?url=https://www.airitibooks.com/Detail/Detail?PublicationID=P20190927250", "https://ntsu.idm.oclc.org/login?url=https://www.airitibooks.com/Detail/Detail?PublicationID=P20190927250")</f>
        <v>https://ntsu.idm.oclc.org/login?url=https://www.airitibooks.com/Detail/Detail?PublicationID=P20190927250</v>
      </c>
    </row>
    <row r="1241" spans="1:11" ht="51" x14ac:dyDescent="0.4">
      <c r="A1241" s="10" t="s">
        <v>12536</v>
      </c>
      <c r="B1241" s="10" t="s">
        <v>12537</v>
      </c>
      <c r="C1241" s="10" t="s">
        <v>12510</v>
      </c>
      <c r="D1241" s="10" t="s">
        <v>12538</v>
      </c>
      <c r="E1241" s="10" t="s">
        <v>7391</v>
      </c>
      <c r="F1241" s="10" t="s">
        <v>7038</v>
      </c>
      <c r="G1241" s="10" t="s">
        <v>237</v>
      </c>
      <c r="H1241" s="7" t="s">
        <v>1031</v>
      </c>
      <c r="I1241" s="7" t="s">
        <v>25</v>
      </c>
      <c r="J1241" s="13" t="str">
        <f>HYPERLINK("https://www.airitibooks.com/Detail/Detail?PublicationID=P20191005214", "https://www.airitibooks.com/Detail/Detail?PublicationID=P20191005214")</f>
        <v>https://www.airitibooks.com/Detail/Detail?PublicationID=P20191005214</v>
      </c>
      <c r="K1241" s="13" t="str">
        <f>HYPERLINK("https://ntsu.idm.oclc.org/login?url=https://www.airitibooks.com/Detail/Detail?PublicationID=P20191005214", "https://ntsu.idm.oclc.org/login?url=https://www.airitibooks.com/Detail/Detail?PublicationID=P20191005214")</f>
        <v>https://ntsu.idm.oclc.org/login?url=https://www.airitibooks.com/Detail/Detail?PublicationID=P20191005214</v>
      </c>
    </row>
    <row r="1242" spans="1:11" ht="51" x14ac:dyDescent="0.4">
      <c r="A1242" s="10" t="s">
        <v>12611</v>
      </c>
      <c r="B1242" s="10" t="s">
        <v>12612</v>
      </c>
      <c r="C1242" s="10" t="s">
        <v>12510</v>
      </c>
      <c r="D1242" s="10" t="s">
        <v>12613</v>
      </c>
      <c r="E1242" s="10" t="s">
        <v>7391</v>
      </c>
      <c r="F1242" s="10" t="s">
        <v>960</v>
      </c>
      <c r="G1242" s="10" t="s">
        <v>237</v>
      </c>
      <c r="H1242" s="7" t="s">
        <v>1031</v>
      </c>
      <c r="I1242" s="7" t="s">
        <v>25</v>
      </c>
      <c r="J1242" s="13" t="str">
        <f>HYPERLINK("https://www.airitibooks.com/Detail/Detail?PublicationID=P20191009173", "https://www.airitibooks.com/Detail/Detail?PublicationID=P20191009173")</f>
        <v>https://www.airitibooks.com/Detail/Detail?PublicationID=P20191009173</v>
      </c>
      <c r="K1242" s="13" t="str">
        <f>HYPERLINK("https://ntsu.idm.oclc.org/login?url=https://www.airitibooks.com/Detail/Detail?PublicationID=P20191009173", "https://ntsu.idm.oclc.org/login?url=https://www.airitibooks.com/Detail/Detail?PublicationID=P20191009173")</f>
        <v>https://ntsu.idm.oclc.org/login?url=https://www.airitibooks.com/Detail/Detail?PublicationID=P20191009173</v>
      </c>
    </row>
    <row r="1243" spans="1:11" ht="68" x14ac:dyDescent="0.4">
      <c r="A1243" s="10" t="s">
        <v>12694</v>
      </c>
      <c r="B1243" s="10" t="s">
        <v>12695</v>
      </c>
      <c r="C1243" s="10" t="s">
        <v>4873</v>
      </c>
      <c r="D1243" s="10" t="s">
        <v>12696</v>
      </c>
      <c r="E1243" s="10" t="s">
        <v>7391</v>
      </c>
      <c r="F1243" s="10" t="s">
        <v>12697</v>
      </c>
      <c r="G1243" s="10" t="s">
        <v>237</v>
      </c>
      <c r="H1243" s="7" t="s">
        <v>24</v>
      </c>
      <c r="I1243" s="7" t="s">
        <v>25</v>
      </c>
      <c r="J1243" s="13" t="str">
        <f>HYPERLINK("https://www.airitibooks.com/Detail/Detail?PublicationID=P20191023054", "https://www.airitibooks.com/Detail/Detail?PublicationID=P20191023054")</f>
        <v>https://www.airitibooks.com/Detail/Detail?PublicationID=P20191023054</v>
      </c>
      <c r="K1243" s="13" t="str">
        <f>HYPERLINK("https://ntsu.idm.oclc.org/login?url=https://www.airitibooks.com/Detail/Detail?PublicationID=P20191023054", "https://ntsu.idm.oclc.org/login?url=https://www.airitibooks.com/Detail/Detail?PublicationID=P20191023054")</f>
        <v>https://ntsu.idm.oclc.org/login?url=https://www.airitibooks.com/Detail/Detail?PublicationID=P20191023054</v>
      </c>
    </row>
    <row r="1244" spans="1:11" ht="51" x14ac:dyDescent="0.4">
      <c r="A1244" s="10" t="s">
        <v>12859</v>
      </c>
      <c r="B1244" s="10" t="s">
        <v>12860</v>
      </c>
      <c r="C1244" s="10" t="s">
        <v>9828</v>
      </c>
      <c r="D1244" s="10" t="s">
        <v>12861</v>
      </c>
      <c r="E1244" s="10" t="s">
        <v>7391</v>
      </c>
      <c r="F1244" s="10" t="s">
        <v>12862</v>
      </c>
      <c r="G1244" s="10" t="s">
        <v>237</v>
      </c>
      <c r="H1244" s="7" t="s">
        <v>1031</v>
      </c>
      <c r="I1244" s="7" t="s">
        <v>25</v>
      </c>
      <c r="J1244" s="13" t="str">
        <f>HYPERLINK("https://www.airitibooks.com/Detail/Detail?PublicationID=P20191104040", "https://www.airitibooks.com/Detail/Detail?PublicationID=P20191104040")</f>
        <v>https://www.airitibooks.com/Detail/Detail?PublicationID=P20191104040</v>
      </c>
      <c r="K1244" s="13" t="str">
        <f>HYPERLINK("https://ntsu.idm.oclc.org/login?url=https://www.airitibooks.com/Detail/Detail?PublicationID=P20191104040", "https://ntsu.idm.oclc.org/login?url=https://www.airitibooks.com/Detail/Detail?PublicationID=P20191104040")</f>
        <v>https://ntsu.idm.oclc.org/login?url=https://www.airitibooks.com/Detail/Detail?PublicationID=P20191104040</v>
      </c>
    </row>
    <row r="1245" spans="1:11" ht="51" x14ac:dyDescent="0.4">
      <c r="A1245" s="10" t="s">
        <v>12869</v>
      </c>
      <c r="B1245" s="10" t="s">
        <v>12870</v>
      </c>
      <c r="C1245" s="10" t="s">
        <v>9828</v>
      </c>
      <c r="D1245" s="10" t="s">
        <v>12871</v>
      </c>
      <c r="E1245" s="10" t="s">
        <v>7391</v>
      </c>
      <c r="F1245" s="10" t="s">
        <v>12872</v>
      </c>
      <c r="G1245" s="10" t="s">
        <v>237</v>
      </c>
      <c r="H1245" s="7" t="s">
        <v>1031</v>
      </c>
      <c r="I1245" s="7" t="s">
        <v>25</v>
      </c>
      <c r="J1245" s="13" t="str">
        <f>HYPERLINK("https://www.airitibooks.com/Detail/Detail?PublicationID=P20191104043", "https://www.airitibooks.com/Detail/Detail?PublicationID=P20191104043")</f>
        <v>https://www.airitibooks.com/Detail/Detail?PublicationID=P20191104043</v>
      </c>
      <c r="K1245" s="13" t="str">
        <f>HYPERLINK("https://ntsu.idm.oclc.org/login?url=https://www.airitibooks.com/Detail/Detail?PublicationID=P20191104043", "https://ntsu.idm.oclc.org/login?url=https://www.airitibooks.com/Detail/Detail?PublicationID=P20191104043")</f>
        <v>https://ntsu.idm.oclc.org/login?url=https://www.airitibooks.com/Detail/Detail?PublicationID=P20191104043</v>
      </c>
    </row>
    <row r="1246" spans="1:11" ht="51" x14ac:dyDescent="0.4">
      <c r="A1246" s="10" t="s">
        <v>12873</v>
      </c>
      <c r="B1246" s="10" t="s">
        <v>12874</v>
      </c>
      <c r="C1246" s="10" t="s">
        <v>9828</v>
      </c>
      <c r="D1246" s="10" t="s">
        <v>12875</v>
      </c>
      <c r="E1246" s="10" t="s">
        <v>7391</v>
      </c>
      <c r="F1246" s="10" t="s">
        <v>12876</v>
      </c>
      <c r="G1246" s="10" t="s">
        <v>237</v>
      </c>
      <c r="H1246" s="7" t="s">
        <v>1031</v>
      </c>
      <c r="I1246" s="7" t="s">
        <v>25</v>
      </c>
      <c r="J1246" s="13" t="str">
        <f>HYPERLINK("https://www.airitibooks.com/Detail/Detail?PublicationID=P20191104044", "https://www.airitibooks.com/Detail/Detail?PublicationID=P20191104044")</f>
        <v>https://www.airitibooks.com/Detail/Detail?PublicationID=P20191104044</v>
      </c>
      <c r="K1246" s="13" t="str">
        <f>HYPERLINK("https://ntsu.idm.oclc.org/login?url=https://www.airitibooks.com/Detail/Detail?PublicationID=P20191104044", "https://ntsu.idm.oclc.org/login?url=https://www.airitibooks.com/Detail/Detail?PublicationID=P20191104044")</f>
        <v>https://ntsu.idm.oclc.org/login?url=https://www.airitibooks.com/Detail/Detail?PublicationID=P20191104044</v>
      </c>
    </row>
    <row r="1247" spans="1:11" ht="51" x14ac:dyDescent="0.4">
      <c r="A1247" s="10" t="s">
        <v>12877</v>
      </c>
      <c r="B1247" s="10" t="s">
        <v>12878</v>
      </c>
      <c r="C1247" s="10" t="s">
        <v>9828</v>
      </c>
      <c r="D1247" s="10" t="s">
        <v>12879</v>
      </c>
      <c r="E1247" s="10" t="s">
        <v>7391</v>
      </c>
      <c r="F1247" s="10" t="s">
        <v>12880</v>
      </c>
      <c r="G1247" s="10" t="s">
        <v>237</v>
      </c>
      <c r="H1247" s="7" t="s">
        <v>1031</v>
      </c>
      <c r="I1247" s="7" t="s">
        <v>25</v>
      </c>
      <c r="J1247" s="13" t="str">
        <f>HYPERLINK("https://www.airitibooks.com/Detail/Detail?PublicationID=P20191104045", "https://www.airitibooks.com/Detail/Detail?PublicationID=P20191104045")</f>
        <v>https://www.airitibooks.com/Detail/Detail?PublicationID=P20191104045</v>
      </c>
      <c r="K1247" s="13" t="str">
        <f>HYPERLINK("https://ntsu.idm.oclc.org/login?url=https://www.airitibooks.com/Detail/Detail?PublicationID=P20191104045", "https://ntsu.idm.oclc.org/login?url=https://www.airitibooks.com/Detail/Detail?PublicationID=P20191104045")</f>
        <v>https://ntsu.idm.oclc.org/login?url=https://www.airitibooks.com/Detail/Detail?PublicationID=P20191104045</v>
      </c>
    </row>
    <row r="1248" spans="1:11" ht="51" x14ac:dyDescent="0.4">
      <c r="A1248" s="10" t="s">
        <v>12881</v>
      </c>
      <c r="B1248" s="10" t="s">
        <v>12882</v>
      </c>
      <c r="C1248" s="10" t="s">
        <v>9828</v>
      </c>
      <c r="D1248" s="10" t="s">
        <v>12883</v>
      </c>
      <c r="E1248" s="10" t="s">
        <v>7391</v>
      </c>
      <c r="F1248" s="10" t="s">
        <v>12884</v>
      </c>
      <c r="G1248" s="10" t="s">
        <v>237</v>
      </c>
      <c r="H1248" s="7" t="s">
        <v>1031</v>
      </c>
      <c r="I1248" s="7" t="s">
        <v>25</v>
      </c>
      <c r="J1248" s="13" t="str">
        <f>HYPERLINK("https://www.airitibooks.com/Detail/Detail?PublicationID=P20191104046", "https://www.airitibooks.com/Detail/Detail?PublicationID=P20191104046")</f>
        <v>https://www.airitibooks.com/Detail/Detail?PublicationID=P20191104046</v>
      </c>
      <c r="K1248" s="13" t="str">
        <f>HYPERLINK("https://ntsu.idm.oclc.org/login?url=https://www.airitibooks.com/Detail/Detail?PublicationID=P20191104046", "https://ntsu.idm.oclc.org/login?url=https://www.airitibooks.com/Detail/Detail?PublicationID=P20191104046")</f>
        <v>https://ntsu.idm.oclc.org/login?url=https://www.airitibooks.com/Detail/Detail?PublicationID=P20191104046</v>
      </c>
    </row>
    <row r="1249" spans="1:11" ht="51" x14ac:dyDescent="0.4">
      <c r="A1249" s="10" t="s">
        <v>12885</v>
      </c>
      <c r="B1249" s="10" t="s">
        <v>12886</v>
      </c>
      <c r="C1249" s="10" t="s">
        <v>9828</v>
      </c>
      <c r="D1249" s="10" t="s">
        <v>12887</v>
      </c>
      <c r="E1249" s="10" t="s">
        <v>7391</v>
      </c>
      <c r="F1249" s="10" t="s">
        <v>7395</v>
      </c>
      <c r="G1249" s="10" t="s">
        <v>237</v>
      </c>
      <c r="H1249" s="7" t="s">
        <v>1031</v>
      </c>
      <c r="I1249" s="7" t="s">
        <v>25</v>
      </c>
      <c r="J1249" s="13" t="str">
        <f>HYPERLINK("https://www.airitibooks.com/Detail/Detail?PublicationID=P20191104047", "https://www.airitibooks.com/Detail/Detail?PublicationID=P20191104047")</f>
        <v>https://www.airitibooks.com/Detail/Detail?PublicationID=P20191104047</v>
      </c>
      <c r="K1249" s="13" t="str">
        <f>HYPERLINK("https://ntsu.idm.oclc.org/login?url=https://www.airitibooks.com/Detail/Detail?PublicationID=P20191104047", "https://ntsu.idm.oclc.org/login?url=https://www.airitibooks.com/Detail/Detail?PublicationID=P20191104047")</f>
        <v>https://ntsu.idm.oclc.org/login?url=https://www.airitibooks.com/Detail/Detail?PublicationID=P20191104047</v>
      </c>
    </row>
    <row r="1250" spans="1:11" ht="51" x14ac:dyDescent="0.4">
      <c r="A1250" s="10" t="s">
        <v>12891</v>
      </c>
      <c r="B1250" s="10" t="s">
        <v>12892</v>
      </c>
      <c r="C1250" s="10" t="s">
        <v>9828</v>
      </c>
      <c r="D1250" s="10" t="s">
        <v>12893</v>
      </c>
      <c r="E1250" s="10" t="s">
        <v>7391</v>
      </c>
      <c r="F1250" s="10" t="s">
        <v>12842</v>
      </c>
      <c r="G1250" s="10" t="s">
        <v>237</v>
      </c>
      <c r="H1250" s="7" t="s">
        <v>1031</v>
      </c>
      <c r="I1250" s="7" t="s">
        <v>25</v>
      </c>
      <c r="J1250" s="13" t="str">
        <f>HYPERLINK("https://www.airitibooks.com/Detail/Detail?PublicationID=P20191104049", "https://www.airitibooks.com/Detail/Detail?PublicationID=P20191104049")</f>
        <v>https://www.airitibooks.com/Detail/Detail?PublicationID=P20191104049</v>
      </c>
      <c r="K1250" s="13" t="str">
        <f>HYPERLINK("https://ntsu.idm.oclc.org/login?url=https://www.airitibooks.com/Detail/Detail?PublicationID=P20191104049", "https://ntsu.idm.oclc.org/login?url=https://www.airitibooks.com/Detail/Detail?PublicationID=P20191104049")</f>
        <v>https://ntsu.idm.oclc.org/login?url=https://www.airitibooks.com/Detail/Detail?PublicationID=P20191104049</v>
      </c>
    </row>
    <row r="1251" spans="1:11" ht="51" x14ac:dyDescent="0.4">
      <c r="A1251" s="10" t="s">
        <v>12894</v>
      </c>
      <c r="B1251" s="10" t="s">
        <v>12895</v>
      </c>
      <c r="C1251" s="10" t="s">
        <v>9828</v>
      </c>
      <c r="D1251" s="10" t="s">
        <v>12896</v>
      </c>
      <c r="E1251" s="10" t="s">
        <v>7391</v>
      </c>
      <c r="F1251" s="10" t="s">
        <v>12876</v>
      </c>
      <c r="G1251" s="10" t="s">
        <v>237</v>
      </c>
      <c r="H1251" s="7" t="s">
        <v>1031</v>
      </c>
      <c r="I1251" s="7" t="s">
        <v>25</v>
      </c>
      <c r="J1251" s="13" t="str">
        <f>HYPERLINK("https://www.airitibooks.com/Detail/Detail?PublicationID=P20191104050", "https://www.airitibooks.com/Detail/Detail?PublicationID=P20191104050")</f>
        <v>https://www.airitibooks.com/Detail/Detail?PublicationID=P20191104050</v>
      </c>
      <c r="K1251" s="13" t="str">
        <f>HYPERLINK("https://ntsu.idm.oclc.org/login?url=https://www.airitibooks.com/Detail/Detail?PublicationID=P20191104050", "https://ntsu.idm.oclc.org/login?url=https://www.airitibooks.com/Detail/Detail?PublicationID=P20191104050")</f>
        <v>https://ntsu.idm.oclc.org/login?url=https://www.airitibooks.com/Detail/Detail?PublicationID=P20191104050</v>
      </c>
    </row>
    <row r="1252" spans="1:11" ht="51" x14ac:dyDescent="0.4">
      <c r="A1252" s="10" t="s">
        <v>12897</v>
      </c>
      <c r="B1252" s="10" t="s">
        <v>12898</v>
      </c>
      <c r="C1252" s="10" t="s">
        <v>9828</v>
      </c>
      <c r="D1252" s="10" t="s">
        <v>12899</v>
      </c>
      <c r="E1252" s="10" t="s">
        <v>7391</v>
      </c>
      <c r="F1252" s="10" t="s">
        <v>12900</v>
      </c>
      <c r="G1252" s="10" t="s">
        <v>237</v>
      </c>
      <c r="H1252" s="7" t="s">
        <v>1031</v>
      </c>
      <c r="I1252" s="7" t="s">
        <v>25</v>
      </c>
      <c r="J1252" s="13" t="str">
        <f>HYPERLINK("https://www.airitibooks.com/Detail/Detail?PublicationID=P20191104051", "https://www.airitibooks.com/Detail/Detail?PublicationID=P20191104051")</f>
        <v>https://www.airitibooks.com/Detail/Detail?PublicationID=P20191104051</v>
      </c>
      <c r="K1252" s="13" t="str">
        <f>HYPERLINK("https://ntsu.idm.oclc.org/login?url=https://www.airitibooks.com/Detail/Detail?PublicationID=P20191104051", "https://ntsu.idm.oclc.org/login?url=https://www.airitibooks.com/Detail/Detail?PublicationID=P20191104051")</f>
        <v>https://ntsu.idm.oclc.org/login?url=https://www.airitibooks.com/Detail/Detail?PublicationID=P20191104051</v>
      </c>
    </row>
    <row r="1253" spans="1:11" ht="51" x14ac:dyDescent="0.4">
      <c r="A1253" s="10" t="s">
        <v>12901</v>
      </c>
      <c r="B1253" s="10" t="s">
        <v>12902</v>
      </c>
      <c r="C1253" s="10" t="s">
        <v>9828</v>
      </c>
      <c r="D1253" s="10" t="s">
        <v>12903</v>
      </c>
      <c r="E1253" s="10" t="s">
        <v>7391</v>
      </c>
      <c r="F1253" s="10" t="s">
        <v>12876</v>
      </c>
      <c r="G1253" s="10" t="s">
        <v>237</v>
      </c>
      <c r="H1253" s="7" t="s">
        <v>1031</v>
      </c>
      <c r="I1253" s="7" t="s">
        <v>25</v>
      </c>
      <c r="J1253" s="13" t="str">
        <f>HYPERLINK("https://www.airitibooks.com/Detail/Detail?PublicationID=P20191104052", "https://www.airitibooks.com/Detail/Detail?PublicationID=P20191104052")</f>
        <v>https://www.airitibooks.com/Detail/Detail?PublicationID=P20191104052</v>
      </c>
      <c r="K1253" s="13" t="str">
        <f>HYPERLINK("https://ntsu.idm.oclc.org/login?url=https://www.airitibooks.com/Detail/Detail?PublicationID=P20191104052", "https://ntsu.idm.oclc.org/login?url=https://www.airitibooks.com/Detail/Detail?PublicationID=P20191104052")</f>
        <v>https://ntsu.idm.oclc.org/login?url=https://www.airitibooks.com/Detail/Detail?PublicationID=P20191104052</v>
      </c>
    </row>
    <row r="1254" spans="1:11" ht="51" x14ac:dyDescent="0.4">
      <c r="A1254" s="10" t="s">
        <v>12904</v>
      </c>
      <c r="B1254" s="10" t="s">
        <v>12905</v>
      </c>
      <c r="C1254" s="10" t="s">
        <v>9828</v>
      </c>
      <c r="D1254" s="10" t="s">
        <v>12906</v>
      </c>
      <c r="E1254" s="10" t="s">
        <v>7391</v>
      </c>
      <c r="F1254" s="10" t="s">
        <v>6465</v>
      </c>
      <c r="G1254" s="10" t="s">
        <v>237</v>
      </c>
      <c r="H1254" s="7" t="s">
        <v>1031</v>
      </c>
      <c r="I1254" s="7" t="s">
        <v>25</v>
      </c>
      <c r="J1254" s="13" t="str">
        <f>HYPERLINK("https://www.airitibooks.com/Detail/Detail?PublicationID=P20191104053", "https://www.airitibooks.com/Detail/Detail?PublicationID=P20191104053")</f>
        <v>https://www.airitibooks.com/Detail/Detail?PublicationID=P20191104053</v>
      </c>
      <c r="K1254" s="13" t="str">
        <f>HYPERLINK("https://ntsu.idm.oclc.org/login?url=https://www.airitibooks.com/Detail/Detail?PublicationID=P20191104053", "https://ntsu.idm.oclc.org/login?url=https://www.airitibooks.com/Detail/Detail?PublicationID=P20191104053")</f>
        <v>https://ntsu.idm.oclc.org/login?url=https://www.airitibooks.com/Detail/Detail?PublicationID=P20191104053</v>
      </c>
    </row>
    <row r="1255" spans="1:11" ht="51" x14ac:dyDescent="0.4">
      <c r="A1255" s="10" t="s">
        <v>12916</v>
      </c>
      <c r="B1255" s="10" t="s">
        <v>12917</v>
      </c>
      <c r="C1255" s="10" t="s">
        <v>9828</v>
      </c>
      <c r="D1255" s="10" t="s">
        <v>12918</v>
      </c>
      <c r="E1255" s="10" t="s">
        <v>7391</v>
      </c>
      <c r="F1255" s="10" t="s">
        <v>12919</v>
      </c>
      <c r="G1255" s="10" t="s">
        <v>237</v>
      </c>
      <c r="H1255" s="7" t="s">
        <v>1031</v>
      </c>
      <c r="I1255" s="7" t="s">
        <v>25</v>
      </c>
      <c r="J1255" s="13" t="str">
        <f>HYPERLINK("https://www.airitibooks.com/Detail/Detail?PublicationID=P20191104057", "https://www.airitibooks.com/Detail/Detail?PublicationID=P20191104057")</f>
        <v>https://www.airitibooks.com/Detail/Detail?PublicationID=P20191104057</v>
      </c>
      <c r="K1255" s="13" t="str">
        <f>HYPERLINK("https://ntsu.idm.oclc.org/login?url=https://www.airitibooks.com/Detail/Detail?PublicationID=P20191104057", "https://ntsu.idm.oclc.org/login?url=https://www.airitibooks.com/Detail/Detail?PublicationID=P20191104057")</f>
        <v>https://ntsu.idm.oclc.org/login?url=https://www.airitibooks.com/Detail/Detail?PublicationID=P20191104057</v>
      </c>
    </row>
    <row r="1256" spans="1:11" ht="51" x14ac:dyDescent="0.4">
      <c r="A1256" s="10" t="s">
        <v>12920</v>
      </c>
      <c r="B1256" s="10" t="s">
        <v>12921</v>
      </c>
      <c r="C1256" s="10" t="s">
        <v>9828</v>
      </c>
      <c r="D1256" s="10" t="s">
        <v>12922</v>
      </c>
      <c r="E1256" s="10" t="s">
        <v>7391</v>
      </c>
      <c r="F1256" s="10" t="s">
        <v>12900</v>
      </c>
      <c r="G1256" s="10" t="s">
        <v>237</v>
      </c>
      <c r="H1256" s="7" t="s">
        <v>1031</v>
      </c>
      <c r="I1256" s="7" t="s">
        <v>25</v>
      </c>
      <c r="J1256" s="13" t="str">
        <f>HYPERLINK("https://www.airitibooks.com/Detail/Detail?PublicationID=P20191104058", "https://www.airitibooks.com/Detail/Detail?PublicationID=P20191104058")</f>
        <v>https://www.airitibooks.com/Detail/Detail?PublicationID=P20191104058</v>
      </c>
      <c r="K1256" s="13" t="str">
        <f>HYPERLINK("https://ntsu.idm.oclc.org/login?url=https://www.airitibooks.com/Detail/Detail?PublicationID=P20191104058", "https://ntsu.idm.oclc.org/login?url=https://www.airitibooks.com/Detail/Detail?PublicationID=P20191104058")</f>
        <v>https://ntsu.idm.oclc.org/login?url=https://www.airitibooks.com/Detail/Detail?PublicationID=P20191104058</v>
      </c>
    </row>
    <row r="1257" spans="1:11" ht="51" x14ac:dyDescent="0.4">
      <c r="A1257" s="10" t="s">
        <v>12923</v>
      </c>
      <c r="B1257" s="10" t="s">
        <v>12924</v>
      </c>
      <c r="C1257" s="10" t="s">
        <v>9828</v>
      </c>
      <c r="D1257" s="10" t="s">
        <v>12925</v>
      </c>
      <c r="E1257" s="10" t="s">
        <v>7391</v>
      </c>
      <c r="F1257" s="10" t="s">
        <v>8658</v>
      </c>
      <c r="G1257" s="10" t="s">
        <v>237</v>
      </c>
      <c r="H1257" s="7" t="s">
        <v>1031</v>
      </c>
      <c r="I1257" s="7" t="s">
        <v>25</v>
      </c>
      <c r="J1257" s="13" t="str">
        <f>HYPERLINK("https://www.airitibooks.com/Detail/Detail?PublicationID=P20191104059", "https://www.airitibooks.com/Detail/Detail?PublicationID=P20191104059")</f>
        <v>https://www.airitibooks.com/Detail/Detail?PublicationID=P20191104059</v>
      </c>
      <c r="K1257" s="13" t="str">
        <f>HYPERLINK("https://ntsu.idm.oclc.org/login?url=https://www.airitibooks.com/Detail/Detail?PublicationID=P20191104059", "https://ntsu.idm.oclc.org/login?url=https://www.airitibooks.com/Detail/Detail?PublicationID=P20191104059")</f>
        <v>https://ntsu.idm.oclc.org/login?url=https://www.airitibooks.com/Detail/Detail?PublicationID=P20191104059</v>
      </c>
    </row>
    <row r="1258" spans="1:11" ht="51" x14ac:dyDescent="0.4">
      <c r="A1258" s="10" t="s">
        <v>12929</v>
      </c>
      <c r="B1258" s="10" t="s">
        <v>12930</v>
      </c>
      <c r="C1258" s="10" t="s">
        <v>9828</v>
      </c>
      <c r="D1258" s="10" t="s">
        <v>12931</v>
      </c>
      <c r="E1258" s="10" t="s">
        <v>7391</v>
      </c>
      <c r="F1258" s="10" t="s">
        <v>8658</v>
      </c>
      <c r="G1258" s="10" t="s">
        <v>237</v>
      </c>
      <c r="H1258" s="7" t="s">
        <v>1031</v>
      </c>
      <c r="I1258" s="7" t="s">
        <v>25</v>
      </c>
      <c r="J1258" s="13" t="str">
        <f>HYPERLINK("https://www.airitibooks.com/Detail/Detail?PublicationID=P20191104061", "https://www.airitibooks.com/Detail/Detail?PublicationID=P20191104061")</f>
        <v>https://www.airitibooks.com/Detail/Detail?PublicationID=P20191104061</v>
      </c>
      <c r="K1258" s="13" t="str">
        <f>HYPERLINK("https://ntsu.idm.oclc.org/login?url=https://www.airitibooks.com/Detail/Detail?PublicationID=P20191104061", "https://ntsu.idm.oclc.org/login?url=https://www.airitibooks.com/Detail/Detail?PublicationID=P20191104061")</f>
        <v>https://ntsu.idm.oclc.org/login?url=https://www.airitibooks.com/Detail/Detail?PublicationID=P20191104061</v>
      </c>
    </row>
    <row r="1259" spans="1:11" ht="51" x14ac:dyDescent="0.4">
      <c r="A1259" s="10" t="s">
        <v>12966</v>
      </c>
      <c r="B1259" s="10" t="s">
        <v>12967</v>
      </c>
      <c r="C1259" s="10" t="s">
        <v>510</v>
      </c>
      <c r="D1259" s="10" t="s">
        <v>12968</v>
      </c>
      <c r="E1259" s="10" t="s">
        <v>7391</v>
      </c>
      <c r="F1259" s="10" t="s">
        <v>12969</v>
      </c>
      <c r="G1259" s="10" t="s">
        <v>237</v>
      </c>
      <c r="H1259" s="7" t="s">
        <v>24</v>
      </c>
      <c r="I1259" s="7" t="s">
        <v>25</v>
      </c>
      <c r="J1259" s="13" t="str">
        <f>HYPERLINK("https://www.airitibooks.com/Detail/Detail?PublicationID=P20191115069", "https://www.airitibooks.com/Detail/Detail?PublicationID=P20191115069")</f>
        <v>https://www.airitibooks.com/Detail/Detail?PublicationID=P20191115069</v>
      </c>
      <c r="K1259" s="13" t="str">
        <f>HYPERLINK("https://ntsu.idm.oclc.org/login?url=https://www.airitibooks.com/Detail/Detail?PublicationID=P20191115069", "https://ntsu.idm.oclc.org/login?url=https://www.airitibooks.com/Detail/Detail?PublicationID=P20191115069")</f>
        <v>https://ntsu.idm.oclc.org/login?url=https://www.airitibooks.com/Detail/Detail?PublicationID=P20191115069</v>
      </c>
    </row>
    <row r="1260" spans="1:11" ht="51" x14ac:dyDescent="0.4">
      <c r="A1260" s="10" t="s">
        <v>12970</v>
      </c>
      <c r="B1260" s="10" t="s">
        <v>12971</v>
      </c>
      <c r="C1260" s="10" t="s">
        <v>510</v>
      </c>
      <c r="D1260" s="10" t="s">
        <v>12972</v>
      </c>
      <c r="E1260" s="10" t="s">
        <v>7391</v>
      </c>
      <c r="F1260" s="10" t="s">
        <v>12973</v>
      </c>
      <c r="G1260" s="10" t="s">
        <v>237</v>
      </c>
      <c r="H1260" s="7" t="s">
        <v>24</v>
      </c>
      <c r="I1260" s="7" t="s">
        <v>25</v>
      </c>
      <c r="J1260" s="13" t="str">
        <f>HYPERLINK("https://www.airitibooks.com/Detail/Detail?PublicationID=P20191115070", "https://www.airitibooks.com/Detail/Detail?PublicationID=P20191115070")</f>
        <v>https://www.airitibooks.com/Detail/Detail?PublicationID=P20191115070</v>
      </c>
      <c r="K1260" s="13" t="str">
        <f>HYPERLINK("https://ntsu.idm.oclc.org/login?url=https://www.airitibooks.com/Detail/Detail?PublicationID=P20191115070", "https://ntsu.idm.oclc.org/login?url=https://www.airitibooks.com/Detail/Detail?PublicationID=P20191115070")</f>
        <v>https://ntsu.idm.oclc.org/login?url=https://www.airitibooks.com/Detail/Detail?PublicationID=P20191115070</v>
      </c>
    </row>
    <row r="1261" spans="1:11" ht="51" x14ac:dyDescent="0.4">
      <c r="A1261" s="10" t="s">
        <v>12974</v>
      </c>
      <c r="B1261" s="10" t="s">
        <v>12975</v>
      </c>
      <c r="C1261" s="10" t="s">
        <v>510</v>
      </c>
      <c r="D1261" s="10" t="s">
        <v>12976</v>
      </c>
      <c r="E1261" s="10" t="s">
        <v>7391</v>
      </c>
      <c r="F1261" s="10" t="s">
        <v>11677</v>
      </c>
      <c r="G1261" s="10" t="s">
        <v>237</v>
      </c>
      <c r="H1261" s="7" t="s">
        <v>24</v>
      </c>
      <c r="I1261" s="7" t="s">
        <v>25</v>
      </c>
      <c r="J1261" s="13" t="str">
        <f>HYPERLINK("https://www.airitibooks.com/Detail/Detail?PublicationID=P20191115071", "https://www.airitibooks.com/Detail/Detail?PublicationID=P20191115071")</f>
        <v>https://www.airitibooks.com/Detail/Detail?PublicationID=P20191115071</v>
      </c>
      <c r="K1261" s="13" t="str">
        <f>HYPERLINK("https://ntsu.idm.oclc.org/login?url=https://www.airitibooks.com/Detail/Detail?PublicationID=P20191115071", "https://ntsu.idm.oclc.org/login?url=https://www.airitibooks.com/Detail/Detail?PublicationID=P20191115071")</f>
        <v>https://ntsu.idm.oclc.org/login?url=https://www.airitibooks.com/Detail/Detail?PublicationID=P20191115071</v>
      </c>
    </row>
    <row r="1262" spans="1:11" ht="51" x14ac:dyDescent="0.4">
      <c r="A1262" s="10" t="s">
        <v>13202</v>
      </c>
      <c r="B1262" s="10" t="s">
        <v>13203</v>
      </c>
      <c r="C1262" s="10" t="s">
        <v>9828</v>
      </c>
      <c r="D1262" s="10" t="s">
        <v>13204</v>
      </c>
      <c r="E1262" s="10" t="s">
        <v>7391</v>
      </c>
      <c r="F1262" s="10" t="s">
        <v>393</v>
      </c>
      <c r="G1262" s="10" t="s">
        <v>237</v>
      </c>
      <c r="H1262" s="7" t="s">
        <v>1031</v>
      </c>
      <c r="I1262" s="7" t="s">
        <v>25</v>
      </c>
      <c r="J1262" s="13" t="str">
        <f>HYPERLINK("https://www.airitibooks.com/Detail/Detail?PublicationID=P20191226064", "https://www.airitibooks.com/Detail/Detail?PublicationID=P20191226064")</f>
        <v>https://www.airitibooks.com/Detail/Detail?PublicationID=P20191226064</v>
      </c>
      <c r="K1262" s="13" t="str">
        <f>HYPERLINK("https://ntsu.idm.oclc.org/login?url=https://www.airitibooks.com/Detail/Detail?PublicationID=P20191226064", "https://ntsu.idm.oclc.org/login?url=https://www.airitibooks.com/Detail/Detail?PublicationID=P20191226064")</f>
        <v>https://ntsu.idm.oclc.org/login?url=https://www.airitibooks.com/Detail/Detail?PublicationID=P20191226064</v>
      </c>
    </row>
    <row r="1263" spans="1:11" ht="51" x14ac:dyDescent="0.4">
      <c r="A1263" s="10" t="s">
        <v>13212</v>
      </c>
      <c r="B1263" s="10" t="s">
        <v>13213</v>
      </c>
      <c r="C1263" s="10" t="s">
        <v>9828</v>
      </c>
      <c r="D1263" s="10" t="s">
        <v>13214</v>
      </c>
      <c r="E1263" s="10" t="s">
        <v>7391</v>
      </c>
      <c r="F1263" s="10" t="s">
        <v>10191</v>
      </c>
      <c r="G1263" s="10" t="s">
        <v>237</v>
      </c>
      <c r="H1263" s="7" t="s">
        <v>1031</v>
      </c>
      <c r="I1263" s="7" t="s">
        <v>25</v>
      </c>
      <c r="J1263" s="13" t="str">
        <f>HYPERLINK("https://www.airitibooks.com/Detail/Detail?PublicationID=P20191226075", "https://www.airitibooks.com/Detail/Detail?PublicationID=P20191226075")</f>
        <v>https://www.airitibooks.com/Detail/Detail?PublicationID=P20191226075</v>
      </c>
      <c r="K1263" s="13" t="str">
        <f>HYPERLINK("https://ntsu.idm.oclc.org/login?url=https://www.airitibooks.com/Detail/Detail?PublicationID=P20191226075", "https://ntsu.idm.oclc.org/login?url=https://www.airitibooks.com/Detail/Detail?PublicationID=P20191226075")</f>
        <v>https://ntsu.idm.oclc.org/login?url=https://www.airitibooks.com/Detail/Detail?PublicationID=P20191226075</v>
      </c>
    </row>
    <row r="1264" spans="1:11" ht="51" x14ac:dyDescent="0.4">
      <c r="A1264" s="10" t="s">
        <v>13218</v>
      </c>
      <c r="B1264" s="10" t="s">
        <v>13219</v>
      </c>
      <c r="C1264" s="10" t="s">
        <v>9828</v>
      </c>
      <c r="D1264" s="10" t="s">
        <v>13220</v>
      </c>
      <c r="E1264" s="10" t="s">
        <v>7391</v>
      </c>
      <c r="F1264" s="10" t="s">
        <v>1313</v>
      </c>
      <c r="G1264" s="10" t="s">
        <v>237</v>
      </c>
      <c r="H1264" s="7" t="s">
        <v>1031</v>
      </c>
      <c r="I1264" s="7" t="s">
        <v>25</v>
      </c>
      <c r="J1264" s="13" t="str">
        <f>HYPERLINK("https://www.airitibooks.com/Detail/Detail?PublicationID=P20191226085", "https://www.airitibooks.com/Detail/Detail?PublicationID=P20191226085")</f>
        <v>https://www.airitibooks.com/Detail/Detail?PublicationID=P20191226085</v>
      </c>
      <c r="K1264" s="13" t="str">
        <f>HYPERLINK("https://ntsu.idm.oclc.org/login?url=https://www.airitibooks.com/Detail/Detail?PublicationID=P20191226085", "https://ntsu.idm.oclc.org/login?url=https://www.airitibooks.com/Detail/Detail?PublicationID=P20191226085")</f>
        <v>https://ntsu.idm.oclc.org/login?url=https://www.airitibooks.com/Detail/Detail?PublicationID=P20191226085</v>
      </c>
    </row>
    <row r="1265" spans="1:11" ht="51" x14ac:dyDescent="0.4">
      <c r="A1265" s="10" t="s">
        <v>13293</v>
      </c>
      <c r="B1265" s="10" t="s">
        <v>13294</v>
      </c>
      <c r="C1265" s="10" t="s">
        <v>13295</v>
      </c>
      <c r="D1265" s="10" t="s">
        <v>13296</v>
      </c>
      <c r="E1265" s="10" t="s">
        <v>7391</v>
      </c>
      <c r="F1265" s="10" t="s">
        <v>788</v>
      </c>
      <c r="G1265" s="10" t="s">
        <v>237</v>
      </c>
      <c r="H1265" s="7" t="s">
        <v>24</v>
      </c>
      <c r="I1265" s="7" t="s">
        <v>25</v>
      </c>
      <c r="J1265" s="13" t="str">
        <f>HYPERLINK("https://www.airitibooks.com/Detail/Detail?PublicationID=P20200110153", "https://www.airitibooks.com/Detail/Detail?PublicationID=P20200110153")</f>
        <v>https://www.airitibooks.com/Detail/Detail?PublicationID=P20200110153</v>
      </c>
      <c r="K1265" s="13" t="str">
        <f>HYPERLINK("https://ntsu.idm.oclc.org/login?url=https://www.airitibooks.com/Detail/Detail?PublicationID=P20200110153", "https://ntsu.idm.oclc.org/login?url=https://www.airitibooks.com/Detail/Detail?PublicationID=P20200110153")</f>
        <v>https://ntsu.idm.oclc.org/login?url=https://www.airitibooks.com/Detail/Detail?PublicationID=P20200110153</v>
      </c>
    </row>
    <row r="1266" spans="1:11" ht="51" x14ac:dyDescent="0.4">
      <c r="A1266" s="10" t="s">
        <v>13587</v>
      </c>
      <c r="B1266" s="10" t="s">
        <v>13588</v>
      </c>
      <c r="C1266" s="10" t="s">
        <v>13589</v>
      </c>
      <c r="D1266" s="10" t="s">
        <v>13590</v>
      </c>
      <c r="E1266" s="10" t="s">
        <v>7391</v>
      </c>
      <c r="F1266" s="10" t="s">
        <v>13591</v>
      </c>
      <c r="G1266" s="10" t="s">
        <v>237</v>
      </c>
      <c r="H1266" s="7" t="s">
        <v>24</v>
      </c>
      <c r="I1266" s="7" t="s">
        <v>25</v>
      </c>
      <c r="J1266" s="13" t="str">
        <f>HYPERLINK("https://www.airitibooks.com/Detail/Detail?PublicationID=P20200307034", "https://www.airitibooks.com/Detail/Detail?PublicationID=P20200307034")</f>
        <v>https://www.airitibooks.com/Detail/Detail?PublicationID=P20200307034</v>
      </c>
      <c r="K1266" s="13" t="str">
        <f>HYPERLINK("https://ntsu.idm.oclc.org/login?url=https://www.airitibooks.com/Detail/Detail?PublicationID=P20200307034", "https://ntsu.idm.oclc.org/login?url=https://www.airitibooks.com/Detail/Detail?PublicationID=P20200307034")</f>
        <v>https://ntsu.idm.oclc.org/login?url=https://www.airitibooks.com/Detail/Detail?PublicationID=P20200307034</v>
      </c>
    </row>
    <row r="1267" spans="1:11" ht="51" x14ac:dyDescent="0.4">
      <c r="A1267" s="10" t="s">
        <v>13650</v>
      </c>
      <c r="B1267" s="10" t="s">
        <v>13651</v>
      </c>
      <c r="C1267" s="10" t="s">
        <v>544</v>
      </c>
      <c r="D1267" s="10" t="s">
        <v>13652</v>
      </c>
      <c r="E1267" s="10" t="s">
        <v>7391</v>
      </c>
      <c r="F1267" s="10" t="s">
        <v>13653</v>
      </c>
      <c r="G1267" s="10" t="s">
        <v>237</v>
      </c>
      <c r="H1267" s="7" t="s">
        <v>24</v>
      </c>
      <c r="I1267" s="7" t="s">
        <v>25</v>
      </c>
      <c r="J1267" s="13" t="str">
        <f>HYPERLINK("https://www.airitibooks.com/Detail/Detail?PublicationID=P20200321040", "https://www.airitibooks.com/Detail/Detail?PublicationID=P20200321040")</f>
        <v>https://www.airitibooks.com/Detail/Detail?PublicationID=P20200321040</v>
      </c>
      <c r="K1267" s="13" t="str">
        <f>HYPERLINK("https://ntsu.idm.oclc.org/login?url=https://www.airitibooks.com/Detail/Detail?PublicationID=P20200321040", "https://ntsu.idm.oclc.org/login?url=https://www.airitibooks.com/Detail/Detail?PublicationID=P20200321040")</f>
        <v>https://ntsu.idm.oclc.org/login?url=https://www.airitibooks.com/Detail/Detail?PublicationID=P20200321040</v>
      </c>
    </row>
    <row r="1268" spans="1:11" ht="51" x14ac:dyDescent="0.4">
      <c r="A1268" s="10" t="s">
        <v>14352</v>
      </c>
      <c r="B1268" s="10" t="s">
        <v>14353</v>
      </c>
      <c r="C1268" s="10" t="s">
        <v>14330</v>
      </c>
      <c r="D1268" s="10" t="s">
        <v>14354</v>
      </c>
      <c r="E1268" s="10" t="s">
        <v>7391</v>
      </c>
      <c r="F1268" s="10" t="s">
        <v>393</v>
      </c>
      <c r="G1268" s="10" t="s">
        <v>237</v>
      </c>
      <c r="H1268" s="7" t="s">
        <v>1031</v>
      </c>
      <c r="I1268" s="7" t="s">
        <v>25</v>
      </c>
      <c r="J1268" s="13" t="str">
        <f>HYPERLINK("https://www.airitibooks.com/Detail/Detail?PublicationID=P20200612287", "https://www.airitibooks.com/Detail/Detail?PublicationID=P20200612287")</f>
        <v>https://www.airitibooks.com/Detail/Detail?PublicationID=P20200612287</v>
      </c>
      <c r="K1268" s="13" t="str">
        <f>HYPERLINK("https://ntsu.idm.oclc.org/login?url=https://www.airitibooks.com/Detail/Detail?PublicationID=P20200612287", "https://ntsu.idm.oclc.org/login?url=https://www.airitibooks.com/Detail/Detail?PublicationID=P20200612287")</f>
        <v>https://ntsu.idm.oclc.org/login?url=https://www.airitibooks.com/Detail/Detail?PublicationID=P20200612287</v>
      </c>
    </row>
    <row r="1269" spans="1:11" ht="51" x14ac:dyDescent="0.4">
      <c r="A1269" s="10" t="s">
        <v>14470</v>
      </c>
      <c r="B1269" s="10" t="s">
        <v>14471</v>
      </c>
      <c r="C1269" s="10" t="s">
        <v>14330</v>
      </c>
      <c r="D1269" s="10" t="s">
        <v>14472</v>
      </c>
      <c r="E1269" s="10" t="s">
        <v>7391</v>
      </c>
      <c r="F1269" s="10" t="s">
        <v>9949</v>
      </c>
      <c r="G1269" s="10" t="s">
        <v>237</v>
      </c>
      <c r="H1269" s="7" t="s">
        <v>1031</v>
      </c>
      <c r="I1269" s="7" t="s">
        <v>25</v>
      </c>
      <c r="J1269" s="13" t="str">
        <f>HYPERLINK("https://www.airitibooks.com/Detail/Detail?PublicationID=P20200709291", "https://www.airitibooks.com/Detail/Detail?PublicationID=P20200709291")</f>
        <v>https://www.airitibooks.com/Detail/Detail?PublicationID=P20200709291</v>
      </c>
      <c r="K1269" s="13" t="str">
        <f>HYPERLINK("https://ntsu.idm.oclc.org/login?url=https://www.airitibooks.com/Detail/Detail?PublicationID=P20200709291", "https://ntsu.idm.oclc.org/login?url=https://www.airitibooks.com/Detail/Detail?PublicationID=P20200709291")</f>
        <v>https://ntsu.idm.oclc.org/login?url=https://www.airitibooks.com/Detail/Detail?PublicationID=P20200709291</v>
      </c>
    </row>
    <row r="1270" spans="1:11" ht="51" x14ac:dyDescent="0.4">
      <c r="A1270" s="10" t="s">
        <v>15107</v>
      </c>
      <c r="B1270" s="10" t="s">
        <v>15108</v>
      </c>
      <c r="C1270" s="10" t="s">
        <v>2616</v>
      </c>
      <c r="D1270" s="10" t="s">
        <v>15109</v>
      </c>
      <c r="E1270" s="10" t="s">
        <v>7391</v>
      </c>
      <c r="F1270" s="10" t="s">
        <v>788</v>
      </c>
      <c r="G1270" s="10" t="s">
        <v>237</v>
      </c>
      <c r="H1270" s="7" t="s">
        <v>24</v>
      </c>
      <c r="I1270" s="7" t="s">
        <v>25</v>
      </c>
      <c r="J1270" s="13" t="str">
        <f>HYPERLINK("https://www.airitibooks.com/Detail/Detail?PublicationID=P20201211042", "https://www.airitibooks.com/Detail/Detail?PublicationID=P20201211042")</f>
        <v>https://www.airitibooks.com/Detail/Detail?PublicationID=P20201211042</v>
      </c>
      <c r="K1270" s="13" t="str">
        <f>HYPERLINK("https://ntsu.idm.oclc.org/login?url=https://www.airitibooks.com/Detail/Detail?PublicationID=P20201211042", "https://ntsu.idm.oclc.org/login?url=https://www.airitibooks.com/Detail/Detail?PublicationID=P20201211042")</f>
        <v>https://ntsu.idm.oclc.org/login?url=https://www.airitibooks.com/Detail/Detail?PublicationID=P20201211042</v>
      </c>
    </row>
    <row r="1271" spans="1:11" ht="51" x14ac:dyDescent="0.4">
      <c r="A1271" s="10" t="s">
        <v>8884</v>
      </c>
      <c r="B1271" s="10" t="s">
        <v>8885</v>
      </c>
      <c r="C1271" s="10" t="s">
        <v>2367</v>
      </c>
      <c r="D1271" s="10" t="s">
        <v>8886</v>
      </c>
      <c r="E1271" s="10" t="s">
        <v>7391</v>
      </c>
      <c r="F1271" s="10" t="s">
        <v>3888</v>
      </c>
      <c r="G1271" s="10" t="s">
        <v>209</v>
      </c>
      <c r="H1271" s="7" t="s">
        <v>24</v>
      </c>
      <c r="I1271" s="7" t="s">
        <v>25</v>
      </c>
      <c r="J1271" s="13" t="str">
        <f>HYPERLINK("https://www.airitibooks.com/Detail/Detail?PublicationID=P20180413009", "https://www.airitibooks.com/Detail/Detail?PublicationID=P20180413009")</f>
        <v>https://www.airitibooks.com/Detail/Detail?PublicationID=P20180413009</v>
      </c>
      <c r="K1271" s="13" t="str">
        <f>HYPERLINK("https://ntsu.idm.oclc.org/login?url=https://www.airitibooks.com/Detail/Detail?PublicationID=P20180413009", "https://ntsu.idm.oclc.org/login?url=https://www.airitibooks.com/Detail/Detail?PublicationID=P20180413009")</f>
        <v>https://ntsu.idm.oclc.org/login?url=https://www.airitibooks.com/Detail/Detail?PublicationID=P20180413009</v>
      </c>
    </row>
    <row r="1272" spans="1:11" ht="51" x14ac:dyDescent="0.4">
      <c r="A1272" s="10" t="s">
        <v>9005</v>
      </c>
      <c r="B1272" s="10" t="s">
        <v>9006</v>
      </c>
      <c r="C1272" s="10" t="s">
        <v>428</v>
      </c>
      <c r="D1272" s="10" t="s">
        <v>9007</v>
      </c>
      <c r="E1272" s="10" t="s">
        <v>7391</v>
      </c>
      <c r="F1272" s="10" t="s">
        <v>208</v>
      </c>
      <c r="G1272" s="10" t="s">
        <v>209</v>
      </c>
      <c r="H1272" s="7" t="s">
        <v>24</v>
      </c>
      <c r="I1272" s="7" t="s">
        <v>25</v>
      </c>
      <c r="J1272" s="13" t="str">
        <f>HYPERLINK("https://www.airitibooks.com/Detail/Detail?PublicationID=P20180413095", "https://www.airitibooks.com/Detail/Detail?PublicationID=P20180413095")</f>
        <v>https://www.airitibooks.com/Detail/Detail?PublicationID=P20180413095</v>
      </c>
      <c r="K1272" s="13" t="str">
        <f>HYPERLINK("https://ntsu.idm.oclc.org/login?url=https://www.airitibooks.com/Detail/Detail?PublicationID=P20180413095", "https://ntsu.idm.oclc.org/login?url=https://www.airitibooks.com/Detail/Detail?PublicationID=P20180413095")</f>
        <v>https://ntsu.idm.oclc.org/login?url=https://www.airitibooks.com/Detail/Detail?PublicationID=P20180413095</v>
      </c>
    </row>
    <row r="1273" spans="1:11" ht="68" x14ac:dyDescent="0.4">
      <c r="A1273" s="10" t="s">
        <v>9136</v>
      </c>
      <c r="B1273" s="10" t="s">
        <v>9137</v>
      </c>
      <c r="C1273" s="10" t="s">
        <v>3863</v>
      </c>
      <c r="D1273" s="10" t="s">
        <v>9138</v>
      </c>
      <c r="E1273" s="10" t="s">
        <v>7391</v>
      </c>
      <c r="F1273" s="10" t="s">
        <v>208</v>
      </c>
      <c r="G1273" s="10" t="s">
        <v>209</v>
      </c>
      <c r="H1273" s="7" t="s">
        <v>24</v>
      </c>
      <c r="I1273" s="7" t="s">
        <v>25</v>
      </c>
      <c r="J1273" s="13" t="str">
        <f>HYPERLINK("https://www.airitibooks.com/Detail/Detail?PublicationID=P20180427081", "https://www.airitibooks.com/Detail/Detail?PublicationID=P20180427081")</f>
        <v>https://www.airitibooks.com/Detail/Detail?PublicationID=P20180427081</v>
      </c>
      <c r="K1273" s="13" t="str">
        <f>HYPERLINK("https://ntsu.idm.oclc.org/login?url=https://www.airitibooks.com/Detail/Detail?PublicationID=P20180427081", "https://ntsu.idm.oclc.org/login?url=https://www.airitibooks.com/Detail/Detail?PublicationID=P20180427081")</f>
        <v>https://ntsu.idm.oclc.org/login?url=https://www.airitibooks.com/Detail/Detail?PublicationID=P20180427081</v>
      </c>
    </row>
    <row r="1274" spans="1:11" ht="51" x14ac:dyDescent="0.4">
      <c r="A1274" s="10" t="s">
        <v>9285</v>
      </c>
      <c r="B1274" s="10" t="s">
        <v>9286</v>
      </c>
      <c r="C1274" s="10" t="s">
        <v>1028</v>
      </c>
      <c r="D1274" s="10" t="s">
        <v>2655</v>
      </c>
      <c r="E1274" s="10" t="s">
        <v>7391</v>
      </c>
      <c r="F1274" s="10" t="s">
        <v>9287</v>
      </c>
      <c r="G1274" s="10" t="s">
        <v>209</v>
      </c>
      <c r="H1274" s="7" t="s">
        <v>1031</v>
      </c>
      <c r="I1274" s="7" t="s">
        <v>25</v>
      </c>
      <c r="J1274" s="13" t="str">
        <f>HYPERLINK("https://www.airitibooks.com/Detail/Detail?PublicationID=P20180525037", "https://www.airitibooks.com/Detail/Detail?PublicationID=P20180525037")</f>
        <v>https://www.airitibooks.com/Detail/Detail?PublicationID=P20180525037</v>
      </c>
      <c r="K1274" s="13" t="str">
        <f>HYPERLINK("https://ntsu.idm.oclc.org/login?url=https://www.airitibooks.com/Detail/Detail?PublicationID=P20180525037", "https://ntsu.idm.oclc.org/login?url=https://www.airitibooks.com/Detail/Detail?PublicationID=P20180525037")</f>
        <v>https://ntsu.idm.oclc.org/login?url=https://www.airitibooks.com/Detail/Detail?PublicationID=P20180525037</v>
      </c>
    </row>
    <row r="1275" spans="1:11" ht="51" x14ac:dyDescent="0.4">
      <c r="A1275" s="10" t="s">
        <v>9328</v>
      </c>
      <c r="B1275" s="10" t="s">
        <v>9329</v>
      </c>
      <c r="C1275" s="10" t="s">
        <v>3359</v>
      </c>
      <c r="D1275" s="10" t="s">
        <v>9330</v>
      </c>
      <c r="E1275" s="10" t="s">
        <v>7391</v>
      </c>
      <c r="F1275" s="10" t="s">
        <v>9331</v>
      </c>
      <c r="G1275" s="10" t="s">
        <v>209</v>
      </c>
      <c r="H1275" s="7" t="s">
        <v>24</v>
      </c>
      <c r="I1275" s="7" t="s">
        <v>25</v>
      </c>
      <c r="J1275" s="13" t="str">
        <f>HYPERLINK("https://www.airitibooks.com/Detail/Detail?PublicationID=P20180531001", "https://www.airitibooks.com/Detail/Detail?PublicationID=P20180531001")</f>
        <v>https://www.airitibooks.com/Detail/Detail?PublicationID=P20180531001</v>
      </c>
      <c r="K1275" s="13" t="str">
        <f>HYPERLINK("https://ntsu.idm.oclc.org/login?url=https://www.airitibooks.com/Detail/Detail?PublicationID=P20180531001", "https://ntsu.idm.oclc.org/login?url=https://www.airitibooks.com/Detail/Detail?PublicationID=P20180531001")</f>
        <v>https://ntsu.idm.oclc.org/login?url=https://www.airitibooks.com/Detail/Detail?PublicationID=P20180531001</v>
      </c>
    </row>
    <row r="1276" spans="1:11" ht="51" x14ac:dyDescent="0.4">
      <c r="A1276" s="10" t="s">
        <v>10840</v>
      </c>
      <c r="B1276" s="10" t="s">
        <v>10841</v>
      </c>
      <c r="C1276" s="10" t="s">
        <v>6289</v>
      </c>
      <c r="D1276" s="10" t="s">
        <v>10842</v>
      </c>
      <c r="E1276" s="10" t="s">
        <v>7391</v>
      </c>
      <c r="F1276" s="10" t="s">
        <v>10843</v>
      </c>
      <c r="G1276" s="10" t="s">
        <v>209</v>
      </c>
      <c r="H1276" s="7" t="s">
        <v>24</v>
      </c>
      <c r="I1276" s="7" t="s">
        <v>25</v>
      </c>
      <c r="J1276" s="13" t="str">
        <f>HYPERLINK("https://www.airitibooks.com/Detail/Detail?PublicationID=P20190220075", "https://www.airitibooks.com/Detail/Detail?PublicationID=P20190220075")</f>
        <v>https://www.airitibooks.com/Detail/Detail?PublicationID=P20190220075</v>
      </c>
      <c r="K1276" s="13" t="str">
        <f>HYPERLINK("https://ntsu.idm.oclc.org/login?url=https://www.airitibooks.com/Detail/Detail?PublicationID=P20190220075", "https://ntsu.idm.oclc.org/login?url=https://www.airitibooks.com/Detail/Detail?PublicationID=P20190220075")</f>
        <v>https://ntsu.idm.oclc.org/login?url=https://www.airitibooks.com/Detail/Detail?PublicationID=P20190220075</v>
      </c>
    </row>
    <row r="1277" spans="1:11" ht="51" x14ac:dyDescent="0.4">
      <c r="A1277" s="10" t="s">
        <v>12426</v>
      </c>
      <c r="B1277" s="10" t="s">
        <v>12427</v>
      </c>
      <c r="C1277" s="10" t="s">
        <v>12428</v>
      </c>
      <c r="D1277" s="10" t="s">
        <v>12429</v>
      </c>
      <c r="E1277" s="10" t="s">
        <v>7391</v>
      </c>
      <c r="F1277" s="10" t="s">
        <v>1259</v>
      </c>
      <c r="G1277" s="10" t="s">
        <v>209</v>
      </c>
      <c r="H1277" s="7" t="s">
        <v>24</v>
      </c>
      <c r="I1277" s="7" t="s">
        <v>25</v>
      </c>
      <c r="J1277" s="13" t="str">
        <f>HYPERLINK("https://www.airitibooks.com/Detail/Detail?PublicationID=P20190927266", "https://www.airitibooks.com/Detail/Detail?PublicationID=P20190927266")</f>
        <v>https://www.airitibooks.com/Detail/Detail?PublicationID=P20190927266</v>
      </c>
      <c r="K1277" s="13" t="str">
        <f>HYPERLINK("https://ntsu.idm.oclc.org/login?url=https://www.airitibooks.com/Detail/Detail?PublicationID=P20190927266", "https://ntsu.idm.oclc.org/login?url=https://www.airitibooks.com/Detail/Detail?PublicationID=P20190927266")</f>
        <v>https://ntsu.idm.oclc.org/login?url=https://www.airitibooks.com/Detail/Detail?PublicationID=P20190927266</v>
      </c>
    </row>
    <row r="1278" spans="1:11" ht="51" x14ac:dyDescent="0.4">
      <c r="A1278" s="10" t="s">
        <v>12430</v>
      </c>
      <c r="B1278" s="10" t="s">
        <v>12431</v>
      </c>
      <c r="C1278" s="10" t="s">
        <v>12428</v>
      </c>
      <c r="D1278" s="10" t="s">
        <v>12429</v>
      </c>
      <c r="E1278" s="10" t="s">
        <v>7391</v>
      </c>
      <c r="F1278" s="10" t="s">
        <v>1259</v>
      </c>
      <c r="G1278" s="10" t="s">
        <v>209</v>
      </c>
      <c r="H1278" s="7" t="s">
        <v>24</v>
      </c>
      <c r="I1278" s="7" t="s">
        <v>25</v>
      </c>
      <c r="J1278" s="13" t="str">
        <f>HYPERLINK("https://www.airitibooks.com/Detail/Detail?PublicationID=P20190927267", "https://www.airitibooks.com/Detail/Detail?PublicationID=P20190927267")</f>
        <v>https://www.airitibooks.com/Detail/Detail?PublicationID=P20190927267</v>
      </c>
      <c r="K1278" s="13" t="str">
        <f>HYPERLINK("https://ntsu.idm.oclc.org/login?url=https://www.airitibooks.com/Detail/Detail?PublicationID=P20190927267", "https://ntsu.idm.oclc.org/login?url=https://www.airitibooks.com/Detail/Detail?PublicationID=P20190927267")</f>
        <v>https://ntsu.idm.oclc.org/login?url=https://www.airitibooks.com/Detail/Detail?PublicationID=P20190927267</v>
      </c>
    </row>
    <row r="1279" spans="1:11" ht="51" x14ac:dyDescent="0.4">
      <c r="A1279" s="10" t="s">
        <v>12432</v>
      </c>
      <c r="B1279" s="10" t="s">
        <v>12433</v>
      </c>
      <c r="C1279" s="10" t="s">
        <v>1296</v>
      </c>
      <c r="D1279" s="10" t="s">
        <v>12434</v>
      </c>
      <c r="E1279" s="10" t="s">
        <v>7391</v>
      </c>
      <c r="F1279" s="10" t="s">
        <v>12435</v>
      </c>
      <c r="G1279" s="10" t="s">
        <v>209</v>
      </c>
      <c r="H1279" s="7" t="s">
        <v>24</v>
      </c>
      <c r="I1279" s="7" t="s">
        <v>25</v>
      </c>
      <c r="J1279" s="13" t="str">
        <f>HYPERLINK("https://www.airitibooks.com/Detail/Detail?PublicationID=P20190927268", "https://www.airitibooks.com/Detail/Detail?PublicationID=P20190927268")</f>
        <v>https://www.airitibooks.com/Detail/Detail?PublicationID=P20190927268</v>
      </c>
      <c r="K1279" s="13" t="str">
        <f>HYPERLINK("https://ntsu.idm.oclc.org/login?url=https://www.airitibooks.com/Detail/Detail?PublicationID=P20190927268", "https://ntsu.idm.oclc.org/login?url=https://www.airitibooks.com/Detail/Detail?PublicationID=P20190927268")</f>
        <v>https://ntsu.idm.oclc.org/login?url=https://www.airitibooks.com/Detail/Detail?PublicationID=P20190927268</v>
      </c>
    </row>
    <row r="1280" spans="1:11" ht="51" x14ac:dyDescent="0.4">
      <c r="A1280" s="10" t="s">
        <v>12436</v>
      </c>
      <c r="B1280" s="10" t="s">
        <v>12437</v>
      </c>
      <c r="C1280" s="10" t="s">
        <v>1296</v>
      </c>
      <c r="D1280" s="10" t="s">
        <v>12434</v>
      </c>
      <c r="E1280" s="10" t="s">
        <v>7391</v>
      </c>
      <c r="F1280" s="10" t="s">
        <v>12438</v>
      </c>
      <c r="G1280" s="10" t="s">
        <v>209</v>
      </c>
      <c r="H1280" s="7" t="s">
        <v>24</v>
      </c>
      <c r="I1280" s="7" t="s">
        <v>25</v>
      </c>
      <c r="J1280" s="13" t="str">
        <f>HYPERLINK("https://www.airitibooks.com/Detail/Detail?PublicationID=P20190927269", "https://www.airitibooks.com/Detail/Detail?PublicationID=P20190927269")</f>
        <v>https://www.airitibooks.com/Detail/Detail?PublicationID=P20190927269</v>
      </c>
      <c r="K1280" s="13" t="str">
        <f>HYPERLINK("https://ntsu.idm.oclc.org/login?url=https://www.airitibooks.com/Detail/Detail?PublicationID=P20190927269", "https://ntsu.idm.oclc.org/login?url=https://www.airitibooks.com/Detail/Detail?PublicationID=P20190927269")</f>
        <v>https://ntsu.idm.oclc.org/login?url=https://www.airitibooks.com/Detail/Detail?PublicationID=P20190927269</v>
      </c>
    </row>
    <row r="1281" spans="1:11" ht="51" x14ac:dyDescent="0.4">
      <c r="A1281" s="10" t="s">
        <v>8190</v>
      </c>
      <c r="B1281" s="10" t="s">
        <v>8191</v>
      </c>
      <c r="C1281" s="10" t="s">
        <v>7822</v>
      </c>
      <c r="D1281" s="10" t="s">
        <v>8192</v>
      </c>
      <c r="E1281" s="10" t="s">
        <v>7391</v>
      </c>
      <c r="F1281" s="10" t="s">
        <v>8194</v>
      </c>
      <c r="G1281" s="10" t="s">
        <v>76</v>
      </c>
      <c r="H1281" s="7" t="s">
        <v>24</v>
      </c>
      <c r="I1281" s="7" t="s">
        <v>25</v>
      </c>
      <c r="J1281" s="13" t="str">
        <f>HYPERLINK("https://www.airitibooks.com/Detail/Detail?PublicationID=P20180119037", "https://www.airitibooks.com/Detail/Detail?PublicationID=P20180119037")</f>
        <v>https://www.airitibooks.com/Detail/Detail?PublicationID=P20180119037</v>
      </c>
      <c r="K1281" s="13" t="str">
        <f>HYPERLINK("https://ntsu.idm.oclc.org/login?url=https://www.airitibooks.com/Detail/Detail?PublicationID=P20180119037", "https://ntsu.idm.oclc.org/login?url=https://www.airitibooks.com/Detail/Detail?PublicationID=P20180119037")</f>
        <v>https://ntsu.idm.oclc.org/login?url=https://www.airitibooks.com/Detail/Detail?PublicationID=P20180119037</v>
      </c>
    </row>
    <row r="1282" spans="1:11" ht="51" x14ac:dyDescent="0.4">
      <c r="A1282" s="10" t="s">
        <v>8207</v>
      </c>
      <c r="B1282" s="10" t="s">
        <v>8208</v>
      </c>
      <c r="C1282" s="10" t="s">
        <v>7164</v>
      </c>
      <c r="D1282" s="10" t="s">
        <v>8209</v>
      </c>
      <c r="E1282" s="10" t="s">
        <v>7391</v>
      </c>
      <c r="F1282" s="10" t="s">
        <v>1078</v>
      </c>
      <c r="G1282" s="10" t="s">
        <v>76</v>
      </c>
      <c r="H1282" s="7" t="s">
        <v>24</v>
      </c>
      <c r="I1282" s="7" t="s">
        <v>25</v>
      </c>
      <c r="J1282" s="13" t="str">
        <f>HYPERLINK("https://www.airitibooks.com/Detail/Detail?PublicationID=P20180119065", "https://www.airitibooks.com/Detail/Detail?PublicationID=P20180119065")</f>
        <v>https://www.airitibooks.com/Detail/Detail?PublicationID=P20180119065</v>
      </c>
      <c r="K1282" s="13" t="str">
        <f>HYPERLINK("https://ntsu.idm.oclc.org/login?url=https://www.airitibooks.com/Detail/Detail?PublicationID=P20180119065", "https://ntsu.idm.oclc.org/login?url=https://www.airitibooks.com/Detail/Detail?PublicationID=P20180119065")</f>
        <v>https://ntsu.idm.oclc.org/login?url=https://www.airitibooks.com/Detail/Detail?PublicationID=P20180119065</v>
      </c>
    </row>
    <row r="1283" spans="1:11" ht="51" x14ac:dyDescent="0.4">
      <c r="A1283" s="10" t="s">
        <v>8213</v>
      </c>
      <c r="B1283" s="10" t="s">
        <v>8214</v>
      </c>
      <c r="C1283" s="10" t="s">
        <v>7164</v>
      </c>
      <c r="D1283" s="10" t="s">
        <v>8215</v>
      </c>
      <c r="E1283" s="10" t="s">
        <v>7391</v>
      </c>
      <c r="F1283" s="10" t="s">
        <v>1078</v>
      </c>
      <c r="G1283" s="10" t="s">
        <v>76</v>
      </c>
      <c r="H1283" s="7" t="s">
        <v>24</v>
      </c>
      <c r="I1283" s="7" t="s">
        <v>25</v>
      </c>
      <c r="J1283" s="13" t="str">
        <f>HYPERLINK("https://www.airitibooks.com/Detail/Detail?PublicationID=P20180119069", "https://www.airitibooks.com/Detail/Detail?PublicationID=P20180119069")</f>
        <v>https://www.airitibooks.com/Detail/Detail?PublicationID=P20180119069</v>
      </c>
      <c r="K1283" s="13" t="str">
        <f>HYPERLINK("https://ntsu.idm.oclc.org/login?url=https://www.airitibooks.com/Detail/Detail?PublicationID=P20180119069", "https://ntsu.idm.oclc.org/login?url=https://www.airitibooks.com/Detail/Detail?PublicationID=P20180119069")</f>
        <v>https://ntsu.idm.oclc.org/login?url=https://www.airitibooks.com/Detail/Detail?PublicationID=P20180119069</v>
      </c>
    </row>
    <row r="1284" spans="1:11" ht="68" x14ac:dyDescent="0.4">
      <c r="A1284" s="10" t="s">
        <v>8216</v>
      </c>
      <c r="B1284" s="10" t="s">
        <v>8217</v>
      </c>
      <c r="C1284" s="10" t="s">
        <v>7164</v>
      </c>
      <c r="D1284" s="10" t="s">
        <v>8218</v>
      </c>
      <c r="E1284" s="10" t="s">
        <v>7391</v>
      </c>
      <c r="F1284" s="10" t="s">
        <v>1078</v>
      </c>
      <c r="G1284" s="10" t="s">
        <v>76</v>
      </c>
      <c r="H1284" s="7" t="s">
        <v>24</v>
      </c>
      <c r="I1284" s="7" t="s">
        <v>25</v>
      </c>
      <c r="J1284" s="13" t="str">
        <f>HYPERLINK("https://www.airitibooks.com/Detail/Detail?PublicationID=P20180119070", "https://www.airitibooks.com/Detail/Detail?PublicationID=P20180119070")</f>
        <v>https://www.airitibooks.com/Detail/Detail?PublicationID=P20180119070</v>
      </c>
      <c r="K1284" s="13" t="str">
        <f>HYPERLINK("https://ntsu.idm.oclc.org/login?url=https://www.airitibooks.com/Detail/Detail?PublicationID=P20180119070", "https://ntsu.idm.oclc.org/login?url=https://www.airitibooks.com/Detail/Detail?PublicationID=P20180119070")</f>
        <v>https://ntsu.idm.oclc.org/login?url=https://www.airitibooks.com/Detail/Detail?PublicationID=P20180119070</v>
      </c>
    </row>
    <row r="1285" spans="1:11" ht="68" x14ac:dyDescent="0.4">
      <c r="A1285" s="10" t="s">
        <v>8219</v>
      </c>
      <c r="B1285" s="10" t="s">
        <v>8220</v>
      </c>
      <c r="C1285" s="10" t="s">
        <v>7164</v>
      </c>
      <c r="D1285" s="10" t="s">
        <v>8218</v>
      </c>
      <c r="E1285" s="10" t="s">
        <v>7391</v>
      </c>
      <c r="F1285" s="10" t="s">
        <v>1078</v>
      </c>
      <c r="G1285" s="10" t="s">
        <v>76</v>
      </c>
      <c r="H1285" s="7" t="s">
        <v>24</v>
      </c>
      <c r="I1285" s="7" t="s">
        <v>25</v>
      </c>
      <c r="J1285" s="13" t="str">
        <f>HYPERLINK("https://www.airitibooks.com/Detail/Detail?PublicationID=P20180119071", "https://www.airitibooks.com/Detail/Detail?PublicationID=P20180119071")</f>
        <v>https://www.airitibooks.com/Detail/Detail?PublicationID=P20180119071</v>
      </c>
      <c r="K1285" s="13" t="str">
        <f>HYPERLINK("https://ntsu.idm.oclc.org/login?url=https://www.airitibooks.com/Detail/Detail?PublicationID=P20180119071", "https://ntsu.idm.oclc.org/login?url=https://www.airitibooks.com/Detail/Detail?PublicationID=P20180119071")</f>
        <v>https://ntsu.idm.oclc.org/login?url=https://www.airitibooks.com/Detail/Detail?PublicationID=P20180119071</v>
      </c>
    </row>
    <row r="1286" spans="1:11" ht="51" x14ac:dyDescent="0.4">
      <c r="A1286" s="10" t="s">
        <v>8232</v>
      </c>
      <c r="B1286" s="10" t="s">
        <v>8233</v>
      </c>
      <c r="C1286" s="10" t="s">
        <v>7164</v>
      </c>
      <c r="D1286" s="10" t="s">
        <v>8234</v>
      </c>
      <c r="E1286" s="10" t="s">
        <v>7391</v>
      </c>
      <c r="F1286" s="10" t="s">
        <v>104</v>
      </c>
      <c r="G1286" s="10" t="s">
        <v>76</v>
      </c>
      <c r="H1286" s="7" t="s">
        <v>24</v>
      </c>
      <c r="I1286" s="7" t="s">
        <v>25</v>
      </c>
      <c r="J1286" s="13" t="str">
        <f>HYPERLINK("https://www.airitibooks.com/Detail/Detail?PublicationID=P20180119094", "https://www.airitibooks.com/Detail/Detail?PublicationID=P20180119094")</f>
        <v>https://www.airitibooks.com/Detail/Detail?PublicationID=P20180119094</v>
      </c>
      <c r="K1286" s="13" t="str">
        <f>HYPERLINK("https://ntsu.idm.oclc.org/login?url=https://www.airitibooks.com/Detail/Detail?PublicationID=P20180119094", "https://ntsu.idm.oclc.org/login?url=https://www.airitibooks.com/Detail/Detail?PublicationID=P20180119094")</f>
        <v>https://ntsu.idm.oclc.org/login?url=https://www.airitibooks.com/Detail/Detail?PublicationID=P20180119094</v>
      </c>
    </row>
    <row r="1287" spans="1:11" ht="51" x14ac:dyDescent="0.4">
      <c r="A1287" s="10" t="s">
        <v>8241</v>
      </c>
      <c r="B1287" s="10" t="s">
        <v>8242</v>
      </c>
      <c r="C1287" s="10" t="s">
        <v>7164</v>
      </c>
      <c r="D1287" s="10" t="s">
        <v>8243</v>
      </c>
      <c r="E1287" s="10" t="s">
        <v>7391</v>
      </c>
      <c r="F1287" s="10" t="s">
        <v>774</v>
      </c>
      <c r="G1287" s="10" t="s">
        <v>76</v>
      </c>
      <c r="H1287" s="7" t="s">
        <v>24</v>
      </c>
      <c r="I1287" s="7" t="s">
        <v>25</v>
      </c>
      <c r="J1287" s="13" t="str">
        <f>HYPERLINK("https://www.airitibooks.com/Detail/Detail?PublicationID=P20180119098", "https://www.airitibooks.com/Detail/Detail?PublicationID=P20180119098")</f>
        <v>https://www.airitibooks.com/Detail/Detail?PublicationID=P20180119098</v>
      </c>
      <c r="K1287" s="13" t="str">
        <f>HYPERLINK("https://ntsu.idm.oclc.org/login?url=https://www.airitibooks.com/Detail/Detail?PublicationID=P20180119098", "https://ntsu.idm.oclc.org/login?url=https://www.airitibooks.com/Detail/Detail?PublicationID=P20180119098")</f>
        <v>https://ntsu.idm.oclc.org/login?url=https://www.airitibooks.com/Detail/Detail?PublicationID=P20180119098</v>
      </c>
    </row>
    <row r="1288" spans="1:11" ht="51" x14ac:dyDescent="0.4">
      <c r="A1288" s="10" t="s">
        <v>8244</v>
      </c>
      <c r="B1288" s="10" t="s">
        <v>8245</v>
      </c>
      <c r="C1288" s="10" t="s">
        <v>7164</v>
      </c>
      <c r="D1288" s="10" t="s">
        <v>8246</v>
      </c>
      <c r="E1288" s="10" t="s">
        <v>7391</v>
      </c>
      <c r="F1288" s="10" t="s">
        <v>7331</v>
      </c>
      <c r="G1288" s="10" t="s">
        <v>76</v>
      </c>
      <c r="H1288" s="7" t="s">
        <v>24</v>
      </c>
      <c r="I1288" s="7" t="s">
        <v>25</v>
      </c>
      <c r="J1288" s="13" t="str">
        <f>HYPERLINK("https://www.airitibooks.com/Detail/Detail?PublicationID=P20180119100", "https://www.airitibooks.com/Detail/Detail?PublicationID=P20180119100")</f>
        <v>https://www.airitibooks.com/Detail/Detail?PublicationID=P20180119100</v>
      </c>
      <c r="K1288" s="13" t="str">
        <f>HYPERLINK("https://ntsu.idm.oclc.org/login?url=https://www.airitibooks.com/Detail/Detail?PublicationID=P20180119100", "https://ntsu.idm.oclc.org/login?url=https://www.airitibooks.com/Detail/Detail?PublicationID=P20180119100")</f>
        <v>https://ntsu.idm.oclc.org/login?url=https://www.airitibooks.com/Detail/Detail?PublicationID=P20180119100</v>
      </c>
    </row>
    <row r="1289" spans="1:11" ht="51" x14ac:dyDescent="0.4">
      <c r="A1289" s="10" t="s">
        <v>8261</v>
      </c>
      <c r="B1289" s="10" t="s">
        <v>8262</v>
      </c>
      <c r="C1289" s="10" t="s">
        <v>7164</v>
      </c>
      <c r="D1289" s="10" t="s">
        <v>8263</v>
      </c>
      <c r="E1289" s="10" t="s">
        <v>7391</v>
      </c>
      <c r="F1289" s="10" t="s">
        <v>1078</v>
      </c>
      <c r="G1289" s="10" t="s">
        <v>76</v>
      </c>
      <c r="H1289" s="7" t="s">
        <v>24</v>
      </c>
      <c r="I1289" s="7" t="s">
        <v>25</v>
      </c>
      <c r="J1289" s="13" t="str">
        <f>HYPERLINK("https://www.airitibooks.com/Detail/Detail?PublicationID=P20180119106", "https://www.airitibooks.com/Detail/Detail?PublicationID=P20180119106")</f>
        <v>https://www.airitibooks.com/Detail/Detail?PublicationID=P20180119106</v>
      </c>
      <c r="K1289" s="13" t="str">
        <f>HYPERLINK("https://ntsu.idm.oclc.org/login?url=https://www.airitibooks.com/Detail/Detail?PublicationID=P20180119106", "https://ntsu.idm.oclc.org/login?url=https://www.airitibooks.com/Detail/Detail?PublicationID=P20180119106")</f>
        <v>https://ntsu.idm.oclc.org/login?url=https://www.airitibooks.com/Detail/Detail?PublicationID=P20180119106</v>
      </c>
    </row>
    <row r="1290" spans="1:11" ht="51" x14ac:dyDescent="0.4">
      <c r="A1290" s="10" t="s">
        <v>8264</v>
      </c>
      <c r="B1290" s="10" t="s">
        <v>8265</v>
      </c>
      <c r="C1290" s="10" t="s">
        <v>7164</v>
      </c>
      <c r="D1290" s="10" t="s">
        <v>8266</v>
      </c>
      <c r="E1290" s="10" t="s">
        <v>7391</v>
      </c>
      <c r="F1290" s="10" t="s">
        <v>7422</v>
      </c>
      <c r="G1290" s="10" t="s">
        <v>76</v>
      </c>
      <c r="H1290" s="7" t="s">
        <v>24</v>
      </c>
      <c r="I1290" s="7" t="s">
        <v>25</v>
      </c>
      <c r="J1290" s="13" t="str">
        <f>HYPERLINK("https://www.airitibooks.com/Detail/Detail?PublicationID=P20180119107", "https://www.airitibooks.com/Detail/Detail?PublicationID=P20180119107")</f>
        <v>https://www.airitibooks.com/Detail/Detail?PublicationID=P20180119107</v>
      </c>
      <c r="K1290" s="13" t="str">
        <f>HYPERLINK("https://ntsu.idm.oclc.org/login?url=https://www.airitibooks.com/Detail/Detail?PublicationID=P20180119107", "https://ntsu.idm.oclc.org/login?url=https://www.airitibooks.com/Detail/Detail?PublicationID=P20180119107")</f>
        <v>https://ntsu.idm.oclc.org/login?url=https://www.airitibooks.com/Detail/Detail?PublicationID=P20180119107</v>
      </c>
    </row>
    <row r="1291" spans="1:11" ht="51" x14ac:dyDescent="0.4">
      <c r="A1291" s="10" t="s">
        <v>8461</v>
      </c>
      <c r="B1291" s="10" t="s">
        <v>8462</v>
      </c>
      <c r="C1291" s="10" t="s">
        <v>7164</v>
      </c>
      <c r="D1291" s="10" t="s">
        <v>8463</v>
      </c>
      <c r="E1291" s="10" t="s">
        <v>7391</v>
      </c>
      <c r="F1291" s="10" t="s">
        <v>65</v>
      </c>
      <c r="G1291" s="10" t="s">
        <v>76</v>
      </c>
      <c r="H1291" s="7" t="s">
        <v>24</v>
      </c>
      <c r="I1291" s="7" t="s">
        <v>25</v>
      </c>
      <c r="J1291" s="13" t="str">
        <f>HYPERLINK("https://www.airitibooks.com/Detail/Detail?PublicationID=P20180208176", "https://www.airitibooks.com/Detail/Detail?PublicationID=P20180208176")</f>
        <v>https://www.airitibooks.com/Detail/Detail?PublicationID=P20180208176</v>
      </c>
      <c r="K1291" s="13" t="str">
        <f>HYPERLINK("https://ntsu.idm.oclc.org/login?url=https://www.airitibooks.com/Detail/Detail?PublicationID=P20180208176", "https://ntsu.idm.oclc.org/login?url=https://www.airitibooks.com/Detail/Detail?PublicationID=P20180208176")</f>
        <v>https://ntsu.idm.oclc.org/login?url=https://www.airitibooks.com/Detail/Detail?PublicationID=P20180208176</v>
      </c>
    </row>
    <row r="1292" spans="1:11" ht="51" x14ac:dyDescent="0.4">
      <c r="A1292" s="10" t="s">
        <v>8479</v>
      </c>
      <c r="B1292" s="10" t="s">
        <v>8480</v>
      </c>
      <c r="C1292" s="10" t="s">
        <v>7164</v>
      </c>
      <c r="D1292" s="10" t="s">
        <v>8481</v>
      </c>
      <c r="E1292" s="10" t="s">
        <v>7391</v>
      </c>
      <c r="F1292" s="10" t="s">
        <v>2313</v>
      </c>
      <c r="G1292" s="10" t="s">
        <v>76</v>
      </c>
      <c r="H1292" s="7" t="s">
        <v>24</v>
      </c>
      <c r="I1292" s="7" t="s">
        <v>25</v>
      </c>
      <c r="J1292" s="13" t="str">
        <f>HYPERLINK("https://www.airitibooks.com/Detail/Detail?PublicationID=P20180208189", "https://www.airitibooks.com/Detail/Detail?PublicationID=P20180208189")</f>
        <v>https://www.airitibooks.com/Detail/Detail?PublicationID=P20180208189</v>
      </c>
      <c r="K1292" s="13" t="str">
        <f>HYPERLINK("https://ntsu.idm.oclc.org/login?url=https://www.airitibooks.com/Detail/Detail?PublicationID=P20180208189", "https://ntsu.idm.oclc.org/login?url=https://www.airitibooks.com/Detail/Detail?PublicationID=P20180208189")</f>
        <v>https://ntsu.idm.oclc.org/login?url=https://www.airitibooks.com/Detail/Detail?PublicationID=P20180208189</v>
      </c>
    </row>
    <row r="1293" spans="1:11" ht="51" x14ac:dyDescent="0.4">
      <c r="A1293" s="10" t="s">
        <v>8482</v>
      </c>
      <c r="B1293" s="10" t="s">
        <v>8483</v>
      </c>
      <c r="C1293" s="10" t="s">
        <v>7164</v>
      </c>
      <c r="D1293" s="10" t="s">
        <v>8484</v>
      </c>
      <c r="E1293" s="10" t="s">
        <v>7391</v>
      </c>
      <c r="F1293" s="10" t="s">
        <v>65</v>
      </c>
      <c r="G1293" s="10" t="s">
        <v>76</v>
      </c>
      <c r="H1293" s="7" t="s">
        <v>24</v>
      </c>
      <c r="I1293" s="7" t="s">
        <v>25</v>
      </c>
      <c r="J1293" s="13" t="str">
        <f>HYPERLINK("https://www.airitibooks.com/Detail/Detail?PublicationID=P20180208194", "https://www.airitibooks.com/Detail/Detail?PublicationID=P20180208194")</f>
        <v>https://www.airitibooks.com/Detail/Detail?PublicationID=P20180208194</v>
      </c>
      <c r="K1293" s="13" t="str">
        <f>HYPERLINK("https://ntsu.idm.oclc.org/login?url=https://www.airitibooks.com/Detail/Detail?PublicationID=P20180208194", "https://ntsu.idm.oclc.org/login?url=https://www.airitibooks.com/Detail/Detail?PublicationID=P20180208194")</f>
        <v>https://ntsu.idm.oclc.org/login?url=https://www.airitibooks.com/Detail/Detail?PublicationID=P20180208194</v>
      </c>
    </row>
    <row r="1294" spans="1:11" ht="51" x14ac:dyDescent="0.4">
      <c r="A1294" s="10" t="s">
        <v>8491</v>
      </c>
      <c r="B1294" s="10" t="s">
        <v>8492</v>
      </c>
      <c r="C1294" s="10" t="s">
        <v>7164</v>
      </c>
      <c r="D1294" s="10" t="s">
        <v>8493</v>
      </c>
      <c r="E1294" s="10" t="s">
        <v>7391</v>
      </c>
      <c r="F1294" s="10" t="s">
        <v>2871</v>
      </c>
      <c r="G1294" s="10" t="s">
        <v>76</v>
      </c>
      <c r="H1294" s="7" t="s">
        <v>24</v>
      </c>
      <c r="I1294" s="7" t="s">
        <v>25</v>
      </c>
      <c r="J1294" s="13" t="str">
        <f>HYPERLINK("https://www.airitibooks.com/Detail/Detail?PublicationID=P20180208203", "https://www.airitibooks.com/Detail/Detail?PublicationID=P20180208203")</f>
        <v>https://www.airitibooks.com/Detail/Detail?PublicationID=P20180208203</v>
      </c>
      <c r="K1294" s="13" t="str">
        <f>HYPERLINK("https://ntsu.idm.oclc.org/login?url=https://www.airitibooks.com/Detail/Detail?PublicationID=P20180208203", "https://ntsu.idm.oclc.org/login?url=https://www.airitibooks.com/Detail/Detail?PublicationID=P20180208203")</f>
        <v>https://ntsu.idm.oclc.org/login?url=https://www.airitibooks.com/Detail/Detail?PublicationID=P20180208203</v>
      </c>
    </row>
    <row r="1295" spans="1:11" ht="51" x14ac:dyDescent="0.4">
      <c r="A1295" s="10" t="s">
        <v>8503</v>
      </c>
      <c r="B1295" s="10" t="s">
        <v>8504</v>
      </c>
      <c r="C1295" s="10" t="s">
        <v>7164</v>
      </c>
      <c r="D1295" s="10" t="s">
        <v>8505</v>
      </c>
      <c r="E1295" s="10" t="s">
        <v>7391</v>
      </c>
      <c r="F1295" s="10" t="s">
        <v>104</v>
      </c>
      <c r="G1295" s="10" t="s">
        <v>76</v>
      </c>
      <c r="H1295" s="7" t="s">
        <v>24</v>
      </c>
      <c r="I1295" s="7" t="s">
        <v>25</v>
      </c>
      <c r="J1295" s="13" t="str">
        <f>HYPERLINK("https://www.airitibooks.com/Detail/Detail?PublicationID=P20180208208", "https://www.airitibooks.com/Detail/Detail?PublicationID=P20180208208")</f>
        <v>https://www.airitibooks.com/Detail/Detail?PublicationID=P20180208208</v>
      </c>
      <c r="K1295" s="13" t="str">
        <f>HYPERLINK("https://ntsu.idm.oclc.org/login?url=https://www.airitibooks.com/Detail/Detail?PublicationID=P20180208208", "https://ntsu.idm.oclc.org/login?url=https://www.airitibooks.com/Detail/Detail?PublicationID=P20180208208")</f>
        <v>https://ntsu.idm.oclc.org/login?url=https://www.airitibooks.com/Detail/Detail?PublicationID=P20180208208</v>
      </c>
    </row>
    <row r="1296" spans="1:11" ht="51" x14ac:dyDescent="0.4">
      <c r="A1296" s="10" t="s">
        <v>8518</v>
      </c>
      <c r="B1296" s="10" t="s">
        <v>8519</v>
      </c>
      <c r="C1296" s="10" t="s">
        <v>7164</v>
      </c>
      <c r="D1296" s="10" t="s">
        <v>8520</v>
      </c>
      <c r="E1296" s="10" t="s">
        <v>7391</v>
      </c>
      <c r="F1296" s="10" t="s">
        <v>104</v>
      </c>
      <c r="G1296" s="10" t="s">
        <v>76</v>
      </c>
      <c r="H1296" s="7" t="s">
        <v>24</v>
      </c>
      <c r="I1296" s="7" t="s">
        <v>25</v>
      </c>
      <c r="J1296" s="13" t="str">
        <f>HYPERLINK("https://www.airitibooks.com/Detail/Detail?PublicationID=P20180208271", "https://www.airitibooks.com/Detail/Detail?PublicationID=P20180208271")</f>
        <v>https://www.airitibooks.com/Detail/Detail?PublicationID=P20180208271</v>
      </c>
      <c r="K1296" s="13" t="str">
        <f>HYPERLINK("https://ntsu.idm.oclc.org/login?url=https://www.airitibooks.com/Detail/Detail?PublicationID=P20180208271", "https://ntsu.idm.oclc.org/login?url=https://www.airitibooks.com/Detail/Detail?PublicationID=P20180208271")</f>
        <v>https://ntsu.idm.oclc.org/login?url=https://www.airitibooks.com/Detail/Detail?PublicationID=P20180208271</v>
      </c>
    </row>
    <row r="1297" spans="1:11" ht="51" x14ac:dyDescent="0.4">
      <c r="A1297" s="10" t="s">
        <v>8571</v>
      </c>
      <c r="B1297" s="10" t="s">
        <v>8572</v>
      </c>
      <c r="C1297" s="10" t="s">
        <v>7164</v>
      </c>
      <c r="D1297" s="10" t="s">
        <v>8573</v>
      </c>
      <c r="E1297" s="10" t="s">
        <v>7391</v>
      </c>
      <c r="F1297" s="10" t="s">
        <v>8574</v>
      </c>
      <c r="G1297" s="10" t="s">
        <v>76</v>
      </c>
      <c r="H1297" s="7" t="s">
        <v>24</v>
      </c>
      <c r="I1297" s="7" t="s">
        <v>25</v>
      </c>
      <c r="J1297" s="13" t="str">
        <f>HYPERLINK("https://www.airitibooks.com/Detail/Detail?PublicationID=P20180208914", "https://www.airitibooks.com/Detail/Detail?PublicationID=P20180208914")</f>
        <v>https://www.airitibooks.com/Detail/Detail?PublicationID=P20180208914</v>
      </c>
      <c r="K1297" s="13" t="str">
        <f>HYPERLINK("https://ntsu.idm.oclc.org/login?url=https://www.airitibooks.com/Detail/Detail?PublicationID=P20180208914", "https://ntsu.idm.oclc.org/login?url=https://www.airitibooks.com/Detail/Detail?PublicationID=P20180208914")</f>
        <v>https://ntsu.idm.oclc.org/login?url=https://www.airitibooks.com/Detail/Detail?PublicationID=P20180208914</v>
      </c>
    </row>
    <row r="1298" spans="1:11" ht="51" x14ac:dyDescent="0.4">
      <c r="A1298" s="10" t="s">
        <v>8596</v>
      </c>
      <c r="B1298" s="10" t="s">
        <v>8597</v>
      </c>
      <c r="C1298" s="10" t="s">
        <v>7164</v>
      </c>
      <c r="D1298" s="10" t="s">
        <v>8598</v>
      </c>
      <c r="E1298" s="10" t="s">
        <v>7391</v>
      </c>
      <c r="F1298" s="10" t="s">
        <v>7331</v>
      </c>
      <c r="G1298" s="10" t="s">
        <v>76</v>
      </c>
      <c r="H1298" s="7" t="s">
        <v>24</v>
      </c>
      <c r="I1298" s="7" t="s">
        <v>25</v>
      </c>
      <c r="J1298" s="13" t="str">
        <f>HYPERLINK("https://www.airitibooks.com/Detail/Detail?PublicationID=P20180208932", "https://www.airitibooks.com/Detail/Detail?PublicationID=P20180208932")</f>
        <v>https://www.airitibooks.com/Detail/Detail?PublicationID=P20180208932</v>
      </c>
      <c r="K1298" s="13" t="str">
        <f>HYPERLINK("https://ntsu.idm.oclc.org/login?url=https://www.airitibooks.com/Detail/Detail?PublicationID=P20180208932", "https://ntsu.idm.oclc.org/login?url=https://www.airitibooks.com/Detail/Detail?PublicationID=P20180208932")</f>
        <v>https://ntsu.idm.oclc.org/login?url=https://www.airitibooks.com/Detail/Detail?PublicationID=P20180208932</v>
      </c>
    </row>
    <row r="1299" spans="1:11" ht="51" x14ac:dyDescent="0.4">
      <c r="A1299" s="10" t="s">
        <v>8726</v>
      </c>
      <c r="B1299" s="10" t="s">
        <v>8727</v>
      </c>
      <c r="C1299" s="10" t="s">
        <v>4616</v>
      </c>
      <c r="D1299" s="10" t="s">
        <v>8728</v>
      </c>
      <c r="E1299" s="10" t="s">
        <v>7391</v>
      </c>
      <c r="F1299" s="10" t="s">
        <v>8729</v>
      </c>
      <c r="G1299" s="10" t="s">
        <v>76</v>
      </c>
      <c r="H1299" s="7" t="s">
        <v>24</v>
      </c>
      <c r="I1299" s="7" t="s">
        <v>25</v>
      </c>
      <c r="J1299" s="13" t="str">
        <f>HYPERLINK("https://www.airitibooks.com/Detail/Detail?PublicationID=P20180309085", "https://www.airitibooks.com/Detail/Detail?PublicationID=P20180309085")</f>
        <v>https://www.airitibooks.com/Detail/Detail?PublicationID=P20180309085</v>
      </c>
      <c r="K1299" s="13" t="str">
        <f>HYPERLINK("https://ntsu.idm.oclc.org/login?url=https://www.airitibooks.com/Detail/Detail?PublicationID=P20180309085", "https://ntsu.idm.oclc.org/login?url=https://www.airitibooks.com/Detail/Detail?PublicationID=P20180309085")</f>
        <v>https://ntsu.idm.oclc.org/login?url=https://www.airitibooks.com/Detail/Detail?PublicationID=P20180309085</v>
      </c>
    </row>
    <row r="1300" spans="1:11" ht="102" x14ac:dyDescent="0.4">
      <c r="A1300" s="10" t="s">
        <v>8738</v>
      </c>
      <c r="B1300" s="10" t="s">
        <v>8739</v>
      </c>
      <c r="C1300" s="10" t="s">
        <v>108</v>
      </c>
      <c r="D1300" s="10" t="s">
        <v>8740</v>
      </c>
      <c r="E1300" s="10" t="s">
        <v>7391</v>
      </c>
      <c r="F1300" s="10" t="s">
        <v>8741</v>
      </c>
      <c r="G1300" s="10" t="s">
        <v>76</v>
      </c>
      <c r="H1300" s="7" t="s">
        <v>24</v>
      </c>
      <c r="I1300" s="7" t="s">
        <v>25</v>
      </c>
      <c r="J1300" s="13" t="str">
        <f>HYPERLINK("https://www.airitibooks.com/Detail/Detail?PublicationID=P20180323001", "https://www.airitibooks.com/Detail/Detail?PublicationID=P20180323001")</f>
        <v>https://www.airitibooks.com/Detail/Detail?PublicationID=P20180323001</v>
      </c>
      <c r="K1300" s="13" t="str">
        <f>HYPERLINK("https://ntsu.idm.oclc.org/login?url=https://www.airitibooks.com/Detail/Detail?PublicationID=P20180323001", "https://ntsu.idm.oclc.org/login?url=https://www.airitibooks.com/Detail/Detail?PublicationID=P20180323001")</f>
        <v>https://ntsu.idm.oclc.org/login?url=https://www.airitibooks.com/Detail/Detail?PublicationID=P20180323001</v>
      </c>
    </row>
    <row r="1301" spans="1:11" ht="51" x14ac:dyDescent="0.4">
      <c r="A1301" s="10" t="s">
        <v>8903</v>
      </c>
      <c r="B1301" s="10" t="s">
        <v>8904</v>
      </c>
      <c r="C1301" s="10" t="s">
        <v>938</v>
      </c>
      <c r="D1301" s="10" t="s">
        <v>8905</v>
      </c>
      <c r="E1301" s="10" t="s">
        <v>7391</v>
      </c>
      <c r="F1301" s="10" t="s">
        <v>5854</v>
      </c>
      <c r="G1301" s="10" t="s">
        <v>76</v>
      </c>
      <c r="H1301" s="7" t="s">
        <v>24</v>
      </c>
      <c r="I1301" s="7" t="s">
        <v>25</v>
      </c>
      <c r="J1301" s="13" t="str">
        <f>HYPERLINK("https://www.airitibooks.com/Detail/Detail?PublicationID=P20180413030", "https://www.airitibooks.com/Detail/Detail?PublicationID=P20180413030")</f>
        <v>https://www.airitibooks.com/Detail/Detail?PublicationID=P20180413030</v>
      </c>
      <c r="K1301" s="13" t="str">
        <f>HYPERLINK("https://ntsu.idm.oclc.org/login?url=https://www.airitibooks.com/Detail/Detail?PublicationID=P20180413030", "https://ntsu.idm.oclc.org/login?url=https://www.airitibooks.com/Detail/Detail?PublicationID=P20180413030")</f>
        <v>https://ntsu.idm.oclc.org/login?url=https://www.airitibooks.com/Detail/Detail?PublicationID=P20180413030</v>
      </c>
    </row>
    <row r="1302" spans="1:11" ht="51" x14ac:dyDescent="0.4">
      <c r="A1302" s="10" t="s">
        <v>8906</v>
      </c>
      <c r="B1302" s="10" t="s">
        <v>8907</v>
      </c>
      <c r="C1302" s="10" t="s">
        <v>938</v>
      </c>
      <c r="D1302" s="10" t="s">
        <v>8908</v>
      </c>
      <c r="E1302" s="10" t="s">
        <v>7391</v>
      </c>
      <c r="F1302" s="10" t="s">
        <v>8909</v>
      </c>
      <c r="G1302" s="10" t="s">
        <v>76</v>
      </c>
      <c r="H1302" s="7" t="s">
        <v>24</v>
      </c>
      <c r="I1302" s="7" t="s">
        <v>25</v>
      </c>
      <c r="J1302" s="13" t="str">
        <f>HYPERLINK("https://www.airitibooks.com/Detail/Detail?PublicationID=P20180413031", "https://www.airitibooks.com/Detail/Detail?PublicationID=P20180413031")</f>
        <v>https://www.airitibooks.com/Detail/Detail?PublicationID=P20180413031</v>
      </c>
      <c r="K1302" s="13" t="str">
        <f>HYPERLINK("https://ntsu.idm.oclc.org/login?url=https://www.airitibooks.com/Detail/Detail?PublicationID=P20180413031", "https://ntsu.idm.oclc.org/login?url=https://www.airitibooks.com/Detail/Detail?PublicationID=P20180413031")</f>
        <v>https://ntsu.idm.oclc.org/login?url=https://www.airitibooks.com/Detail/Detail?PublicationID=P20180413031</v>
      </c>
    </row>
    <row r="1303" spans="1:11" ht="51" x14ac:dyDescent="0.4">
      <c r="A1303" s="10" t="s">
        <v>8921</v>
      </c>
      <c r="B1303" s="10" t="s">
        <v>8922</v>
      </c>
      <c r="C1303" s="10" t="s">
        <v>938</v>
      </c>
      <c r="D1303" s="10" t="s">
        <v>2867</v>
      </c>
      <c r="E1303" s="10" t="s">
        <v>7391</v>
      </c>
      <c r="F1303" s="10" t="s">
        <v>8923</v>
      </c>
      <c r="G1303" s="10" t="s">
        <v>76</v>
      </c>
      <c r="H1303" s="7" t="s">
        <v>24</v>
      </c>
      <c r="I1303" s="7" t="s">
        <v>25</v>
      </c>
      <c r="J1303" s="13" t="str">
        <f>HYPERLINK("https://www.airitibooks.com/Detail/Detail?PublicationID=P20180413039", "https://www.airitibooks.com/Detail/Detail?PublicationID=P20180413039")</f>
        <v>https://www.airitibooks.com/Detail/Detail?PublicationID=P20180413039</v>
      </c>
      <c r="K1303" s="13" t="str">
        <f>HYPERLINK("https://ntsu.idm.oclc.org/login?url=https://www.airitibooks.com/Detail/Detail?PublicationID=P20180413039", "https://ntsu.idm.oclc.org/login?url=https://www.airitibooks.com/Detail/Detail?PublicationID=P20180413039")</f>
        <v>https://ntsu.idm.oclc.org/login?url=https://www.airitibooks.com/Detail/Detail?PublicationID=P20180413039</v>
      </c>
    </row>
    <row r="1304" spans="1:11" ht="51" x14ac:dyDescent="0.4">
      <c r="A1304" s="10" t="s">
        <v>8924</v>
      </c>
      <c r="B1304" s="10" t="s">
        <v>8925</v>
      </c>
      <c r="C1304" s="10" t="s">
        <v>938</v>
      </c>
      <c r="D1304" s="10" t="s">
        <v>2487</v>
      </c>
      <c r="E1304" s="10" t="s">
        <v>7391</v>
      </c>
      <c r="F1304" s="10" t="s">
        <v>8926</v>
      </c>
      <c r="G1304" s="10" t="s">
        <v>76</v>
      </c>
      <c r="H1304" s="7" t="s">
        <v>24</v>
      </c>
      <c r="I1304" s="7" t="s">
        <v>25</v>
      </c>
      <c r="J1304" s="13" t="str">
        <f>HYPERLINK("https://www.airitibooks.com/Detail/Detail?PublicationID=P20180413040", "https://www.airitibooks.com/Detail/Detail?PublicationID=P20180413040")</f>
        <v>https://www.airitibooks.com/Detail/Detail?PublicationID=P20180413040</v>
      </c>
      <c r="K1304" s="13" t="str">
        <f>HYPERLINK("https://ntsu.idm.oclc.org/login?url=https://www.airitibooks.com/Detail/Detail?PublicationID=P20180413040", "https://ntsu.idm.oclc.org/login?url=https://www.airitibooks.com/Detail/Detail?PublicationID=P20180413040")</f>
        <v>https://ntsu.idm.oclc.org/login?url=https://www.airitibooks.com/Detail/Detail?PublicationID=P20180413040</v>
      </c>
    </row>
    <row r="1305" spans="1:11" ht="51" x14ac:dyDescent="0.4">
      <c r="A1305" s="10" t="s">
        <v>8927</v>
      </c>
      <c r="B1305" s="10" t="s">
        <v>8928</v>
      </c>
      <c r="C1305" s="10" t="s">
        <v>938</v>
      </c>
      <c r="D1305" s="10" t="s">
        <v>5357</v>
      </c>
      <c r="E1305" s="10" t="s">
        <v>7391</v>
      </c>
      <c r="F1305" s="10" t="s">
        <v>8929</v>
      </c>
      <c r="G1305" s="10" t="s">
        <v>76</v>
      </c>
      <c r="H1305" s="7" t="s">
        <v>24</v>
      </c>
      <c r="I1305" s="7" t="s">
        <v>25</v>
      </c>
      <c r="J1305" s="13" t="str">
        <f>HYPERLINK("https://www.airitibooks.com/Detail/Detail?PublicationID=P20180413041", "https://www.airitibooks.com/Detail/Detail?PublicationID=P20180413041")</f>
        <v>https://www.airitibooks.com/Detail/Detail?PublicationID=P20180413041</v>
      </c>
      <c r="K1305" s="13" t="str">
        <f>HYPERLINK("https://ntsu.idm.oclc.org/login?url=https://www.airitibooks.com/Detail/Detail?PublicationID=P20180413041", "https://ntsu.idm.oclc.org/login?url=https://www.airitibooks.com/Detail/Detail?PublicationID=P20180413041")</f>
        <v>https://ntsu.idm.oclc.org/login?url=https://www.airitibooks.com/Detail/Detail?PublicationID=P20180413041</v>
      </c>
    </row>
    <row r="1306" spans="1:11" ht="51" x14ac:dyDescent="0.4">
      <c r="A1306" s="10" t="s">
        <v>8934</v>
      </c>
      <c r="B1306" s="10" t="s">
        <v>8935</v>
      </c>
      <c r="C1306" s="10" t="s">
        <v>938</v>
      </c>
      <c r="D1306" s="10" t="s">
        <v>2487</v>
      </c>
      <c r="E1306" s="10" t="s">
        <v>7391</v>
      </c>
      <c r="F1306" s="10" t="s">
        <v>2871</v>
      </c>
      <c r="G1306" s="10" t="s">
        <v>76</v>
      </c>
      <c r="H1306" s="7" t="s">
        <v>24</v>
      </c>
      <c r="I1306" s="7" t="s">
        <v>25</v>
      </c>
      <c r="J1306" s="13" t="str">
        <f>HYPERLINK("https://www.airitibooks.com/Detail/Detail?PublicationID=P20180413044", "https://www.airitibooks.com/Detail/Detail?PublicationID=P20180413044")</f>
        <v>https://www.airitibooks.com/Detail/Detail?PublicationID=P20180413044</v>
      </c>
      <c r="K1306" s="13" t="str">
        <f>HYPERLINK("https://ntsu.idm.oclc.org/login?url=https://www.airitibooks.com/Detail/Detail?PublicationID=P20180413044", "https://ntsu.idm.oclc.org/login?url=https://www.airitibooks.com/Detail/Detail?PublicationID=P20180413044")</f>
        <v>https://ntsu.idm.oclc.org/login?url=https://www.airitibooks.com/Detail/Detail?PublicationID=P20180413044</v>
      </c>
    </row>
    <row r="1307" spans="1:11" ht="51" x14ac:dyDescent="0.4">
      <c r="A1307" s="10" t="s">
        <v>8936</v>
      </c>
      <c r="B1307" s="10" t="s">
        <v>8937</v>
      </c>
      <c r="C1307" s="10" t="s">
        <v>938</v>
      </c>
      <c r="D1307" s="10" t="s">
        <v>2880</v>
      </c>
      <c r="E1307" s="10" t="s">
        <v>7391</v>
      </c>
      <c r="F1307" s="10" t="s">
        <v>2881</v>
      </c>
      <c r="G1307" s="10" t="s">
        <v>76</v>
      </c>
      <c r="H1307" s="7" t="s">
        <v>24</v>
      </c>
      <c r="I1307" s="7" t="s">
        <v>25</v>
      </c>
      <c r="J1307" s="13" t="str">
        <f>HYPERLINK("https://www.airitibooks.com/Detail/Detail?PublicationID=P20180413045", "https://www.airitibooks.com/Detail/Detail?PublicationID=P20180413045")</f>
        <v>https://www.airitibooks.com/Detail/Detail?PublicationID=P20180413045</v>
      </c>
      <c r="K1307" s="13" t="str">
        <f>HYPERLINK("https://ntsu.idm.oclc.org/login?url=https://www.airitibooks.com/Detail/Detail?PublicationID=P20180413045", "https://ntsu.idm.oclc.org/login?url=https://www.airitibooks.com/Detail/Detail?PublicationID=P20180413045")</f>
        <v>https://ntsu.idm.oclc.org/login?url=https://www.airitibooks.com/Detail/Detail?PublicationID=P20180413045</v>
      </c>
    </row>
    <row r="1308" spans="1:11" ht="51" x14ac:dyDescent="0.4">
      <c r="A1308" s="10" t="s">
        <v>8938</v>
      </c>
      <c r="B1308" s="10" t="s">
        <v>8939</v>
      </c>
      <c r="C1308" s="10" t="s">
        <v>938</v>
      </c>
      <c r="D1308" s="10" t="s">
        <v>2884</v>
      </c>
      <c r="E1308" s="10" t="s">
        <v>7391</v>
      </c>
      <c r="F1308" s="10" t="s">
        <v>2885</v>
      </c>
      <c r="G1308" s="10" t="s">
        <v>76</v>
      </c>
      <c r="H1308" s="7" t="s">
        <v>24</v>
      </c>
      <c r="I1308" s="7" t="s">
        <v>25</v>
      </c>
      <c r="J1308" s="13" t="str">
        <f>HYPERLINK("https://www.airitibooks.com/Detail/Detail?PublicationID=P20180413046", "https://www.airitibooks.com/Detail/Detail?PublicationID=P20180413046")</f>
        <v>https://www.airitibooks.com/Detail/Detail?PublicationID=P20180413046</v>
      </c>
      <c r="K1308" s="13" t="str">
        <f>HYPERLINK("https://ntsu.idm.oclc.org/login?url=https://www.airitibooks.com/Detail/Detail?PublicationID=P20180413046", "https://ntsu.idm.oclc.org/login?url=https://www.airitibooks.com/Detail/Detail?PublicationID=P20180413046")</f>
        <v>https://ntsu.idm.oclc.org/login?url=https://www.airitibooks.com/Detail/Detail?PublicationID=P20180413046</v>
      </c>
    </row>
    <row r="1309" spans="1:11" ht="51" x14ac:dyDescent="0.4">
      <c r="A1309" s="10" t="s">
        <v>8944</v>
      </c>
      <c r="B1309" s="10" t="s">
        <v>8945</v>
      </c>
      <c r="C1309" s="10" t="s">
        <v>938</v>
      </c>
      <c r="D1309" s="10" t="s">
        <v>8946</v>
      </c>
      <c r="E1309" s="10" t="s">
        <v>7391</v>
      </c>
      <c r="F1309" s="10" t="s">
        <v>2007</v>
      </c>
      <c r="G1309" s="10" t="s">
        <v>76</v>
      </c>
      <c r="H1309" s="7" t="s">
        <v>24</v>
      </c>
      <c r="I1309" s="7" t="s">
        <v>25</v>
      </c>
      <c r="J1309" s="13" t="str">
        <f>HYPERLINK("https://www.airitibooks.com/Detail/Detail?PublicationID=P20180413052", "https://www.airitibooks.com/Detail/Detail?PublicationID=P20180413052")</f>
        <v>https://www.airitibooks.com/Detail/Detail?PublicationID=P20180413052</v>
      </c>
      <c r="K1309" s="13" t="str">
        <f>HYPERLINK("https://ntsu.idm.oclc.org/login?url=https://www.airitibooks.com/Detail/Detail?PublicationID=P20180413052", "https://ntsu.idm.oclc.org/login?url=https://www.airitibooks.com/Detail/Detail?PublicationID=P20180413052")</f>
        <v>https://ntsu.idm.oclc.org/login?url=https://www.airitibooks.com/Detail/Detail?PublicationID=P20180413052</v>
      </c>
    </row>
    <row r="1310" spans="1:11" ht="51" x14ac:dyDescent="0.4">
      <c r="A1310" s="10" t="s">
        <v>8947</v>
      </c>
      <c r="B1310" s="10" t="s">
        <v>8948</v>
      </c>
      <c r="C1310" s="10" t="s">
        <v>938</v>
      </c>
      <c r="D1310" s="10" t="s">
        <v>8949</v>
      </c>
      <c r="E1310" s="10" t="s">
        <v>7391</v>
      </c>
      <c r="F1310" s="10" t="s">
        <v>8950</v>
      </c>
      <c r="G1310" s="10" t="s">
        <v>76</v>
      </c>
      <c r="H1310" s="7" t="s">
        <v>24</v>
      </c>
      <c r="I1310" s="7" t="s">
        <v>25</v>
      </c>
      <c r="J1310" s="13" t="str">
        <f>HYPERLINK("https://www.airitibooks.com/Detail/Detail?PublicationID=P20180413056", "https://www.airitibooks.com/Detail/Detail?PublicationID=P20180413056")</f>
        <v>https://www.airitibooks.com/Detail/Detail?PublicationID=P20180413056</v>
      </c>
      <c r="K1310" s="13" t="str">
        <f>HYPERLINK("https://ntsu.idm.oclc.org/login?url=https://www.airitibooks.com/Detail/Detail?PublicationID=P20180413056", "https://ntsu.idm.oclc.org/login?url=https://www.airitibooks.com/Detail/Detail?PublicationID=P20180413056")</f>
        <v>https://ntsu.idm.oclc.org/login?url=https://www.airitibooks.com/Detail/Detail?PublicationID=P20180413056</v>
      </c>
    </row>
    <row r="1311" spans="1:11" ht="51" x14ac:dyDescent="0.4">
      <c r="A1311" s="10" t="s">
        <v>8957</v>
      </c>
      <c r="B1311" s="10" t="s">
        <v>8958</v>
      </c>
      <c r="C1311" s="10" t="s">
        <v>938</v>
      </c>
      <c r="D1311" s="10" t="s">
        <v>4025</v>
      </c>
      <c r="E1311" s="10" t="s">
        <v>7391</v>
      </c>
      <c r="F1311" s="10" t="s">
        <v>6226</v>
      </c>
      <c r="G1311" s="10" t="s">
        <v>76</v>
      </c>
      <c r="H1311" s="7" t="s">
        <v>24</v>
      </c>
      <c r="I1311" s="7" t="s">
        <v>25</v>
      </c>
      <c r="J1311" s="13" t="str">
        <f>HYPERLINK("https://www.airitibooks.com/Detail/Detail?PublicationID=P20180413062", "https://www.airitibooks.com/Detail/Detail?PublicationID=P20180413062")</f>
        <v>https://www.airitibooks.com/Detail/Detail?PublicationID=P20180413062</v>
      </c>
      <c r="K1311" s="13" t="str">
        <f>HYPERLINK("https://ntsu.idm.oclc.org/login?url=https://www.airitibooks.com/Detail/Detail?PublicationID=P20180413062", "https://ntsu.idm.oclc.org/login?url=https://www.airitibooks.com/Detail/Detail?PublicationID=P20180413062")</f>
        <v>https://ntsu.idm.oclc.org/login?url=https://www.airitibooks.com/Detail/Detail?PublicationID=P20180413062</v>
      </c>
    </row>
    <row r="1312" spans="1:11" ht="51" x14ac:dyDescent="0.4">
      <c r="A1312" s="10" t="s">
        <v>8959</v>
      </c>
      <c r="B1312" s="10" t="s">
        <v>8960</v>
      </c>
      <c r="C1312" s="10" t="s">
        <v>938</v>
      </c>
      <c r="D1312" s="10" t="s">
        <v>8961</v>
      </c>
      <c r="E1312" s="10" t="s">
        <v>7391</v>
      </c>
      <c r="F1312" s="10" t="s">
        <v>454</v>
      </c>
      <c r="G1312" s="10" t="s">
        <v>76</v>
      </c>
      <c r="H1312" s="7" t="s">
        <v>24</v>
      </c>
      <c r="I1312" s="7" t="s">
        <v>25</v>
      </c>
      <c r="J1312" s="13" t="str">
        <f>HYPERLINK("https://www.airitibooks.com/Detail/Detail?PublicationID=P20180413063", "https://www.airitibooks.com/Detail/Detail?PublicationID=P20180413063")</f>
        <v>https://www.airitibooks.com/Detail/Detail?PublicationID=P20180413063</v>
      </c>
      <c r="K1312" s="13" t="str">
        <f>HYPERLINK("https://ntsu.idm.oclc.org/login?url=https://www.airitibooks.com/Detail/Detail?PublicationID=P20180413063", "https://ntsu.idm.oclc.org/login?url=https://www.airitibooks.com/Detail/Detail?PublicationID=P20180413063")</f>
        <v>https://ntsu.idm.oclc.org/login?url=https://www.airitibooks.com/Detail/Detail?PublicationID=P20180413063</v>
      </c>
    </row>
    <row r="1313" spans="1:11" ht="51" x14ac:dyDescent="0.4">
      <c r="A1313" s="10" t="s">
        <v>8965</v>
      </c>
      <c r="B1313" s="10" t="s">
        <v>8966</v>
      </c>
      <c r="C1313" s="10" t="s">
        <v>2013</v>
      </c>
      <c r="D1313" s="10" t="s">
        <v>102</v>
      </c>
      <c r="E1313" s="10" t="s">
        <v>7391</v>
      </c>
      <c r="F1313" s="10" t="s">
        <v>8967</v>
      </c>
      <c r="G1313" s="10" t="s">
        <v>76</v>
      </c>
      <c r="H1313" s="7" t="s">
        <v>24</v>
      </c>
      <c r="I1313" s="7" t="s">
        <v>25</v>
      </c>
      <c r="J1313" s="13" t="str">
        <f>HYPERLINK("https://www.airitibooks.com/Detail/Detail?PublicationID=P20180413078", "https://www.airitibooks.com/Detail/Detail?PublicationID=P20180413078")</f>
        <v>https://www.airitibooks.com/Detail/Detail?PublicationID=P20180413078</v>
      </c>
      <c r="K1313" s="13" t="str">
        <f>HYPERLINK("https://ntsu.idm.oclc.org/login?url=https://www.airitibooks.com/Detail/Detail?PublicationID=P20180413078", "https://ntsu.idm.oclc.org/login?url=https://www.airitibooks.com/Detail/Detail?PublicationID=P20180413078")</f>
        <v>https://ntsu.idm.oclc.org/login?url=https://www.airitibooks.com/Detail/Detail?PublicationID=P20180413078</v>
      </c>
    </row>
    <row r="1314" spans="1:11" ht="85" x14ac:dyDescent="0.4">
      <c r="A1314" s="10" t="s">
        <v>8979</v>
      </c>
      <c r="B1314" s="10" t="s">
        <v>8980</v>
      </c>
      <c r="C1314" s="10" t="s">
        <v>791</v>
      </c>
      <c r="D1314" s="10" t="s">
        <v>8981</v>
      </c>
      <c r="E1314" s="10" t="s">
        <v>7391</v>
      </c>
      <c r="F1314" s="10" t="s">
        <v>294</v>
      </c>
      <c r="G1314" s="10" t="s">
        <v>76</v>
      </c>
      <c r="H1314" s="7" t="s">
        <v>24</v>
      </c>
      <c r="I1314" s="7" t="s">
        <v>25</v>
      </c>
      <c r="J1314" s="13" t="str">
        <f>HYPERLINK("https://www.airitibooks.com/Detail/Detail?PublicationID=P20180413084", "https://www.airitibooks.com/Detail/Detail?PublicationID=P20180413084")</f>
        <v>https://www.airitibooks.com/Detail/Detail?PublicationID=P20180413084</v>
      </c>
      <c r="K1314" s="13" t="str">
        <f>HYPERLINK("https://ntsu.idm.oclc.org/login?url=https://www.airitibooks.com/Detail/Detail?PublicationID=P20180413084", "https://ntsu.idm.oclc.org/login?url=https://www.airitibooks.com/Detail/Detail?PublicationID=P20180413084")</f>
        <v>https://ntsu.idm.oclc.org/login?url=https://www.airitibooks.com/Detail/Detail?PublicationID=P20180413084</v>
      </c>
    </row>
    <row r="1315" spans="1:11" ht="68" x14ac:dyDescent="0.4">
      <c r="A1315" s="10" t="s">
        <v>8987</v>
      </c>
      <c r="B1315" s="10" t="s">
        <v>8988</v>
      </c>
      <c r="C1315" s="10" t="s">
        <v>791</v>
      </c>
      <c r="D1315" s="10" t="s">
        <v>8989</v>
      </c>
      <c r="E1315" s="10" t="s">
        <v>7391</v>
      </c>
      <c r="F1315" s="10" t="s">
        <v>4913</v>
      </c>
      <c r="G1315" s="10" t="s">
        <v>76</v>
      </c>
      <c r="H1315" s="7" t="s">
        <v>24</v>
      </c>
      <c r="I1315" s="7" t="s">
        <v>25</v>
      </c>
      <c r="J1315" s="13" t="str">
        <f>HYPERLINK("https://www.airitibooks.com/Detail/Detail?PublicationID=P20180413087", "https://www.airitibooks.com/Detail/Detail?PublicationID=P20180413087")</f>
        <v>https://www.airitibooks.com/Detail/Detail?PublicationID=P20180413087</v>
      </c>
      <c r="K1315" s="13" t="str">
        <f>HYPERLINK("https://ntsu.idm.oclc.org/login?url=https://www.airitibooks.com/Detail/Detail?PublicationID=P20180413087", "https://ntsu.idm.oclc.org/login?url=https://www.airitibooks.com/Detail/Detail?PublicationID=P20180413087")</f>
        <v>https://ntsu.idm.oclc.org/login?url=https://www.airitibooks.com/Detail/Detail?PublicationID=P20180413087</v>
      </c>
    </row>
    <row r="1316" spans="1:11" ht="85" x14ac:dyDescent="0.4">
      <c r="A1316" s="10" t="s">
        <v>9073</v>
      </c>
      <c r="B1316" s="10" t="s">
        <v>9074</v>
      </c>
      <c r="C1316" s="10" t="s">
        <v>1484</v>
      </c>
      <c r="D1316" s="10" t="s">
        <v>9075</v>
      </c>
      <c r="E1316" s="10" t="s">
        <v>7391</v>
      </c>
      <c r="F1316" s="10" t="s">
        <v>9076</v>
      </c>
      <c r="G1316" s="10" t="s">
        <v>76</v>
      </c>
      <c r="H1316" s="7" t="s">
        <v>24</v>
      </c>
      <c r="I1316" s="7" t="s">
        <v>25</v>
      </c>
      <c r="J1316" s="13" t="str">
        <f>HYPERLINK("https://www.airitibooks.com/Detail/Detail?PublicationID=P20180413196", "https://www.airitibooks.com/Detail/Detail?PublicationID=P20180413196")</f>
        <v>https://www.airitibooks.com/Detail/Detail?PublicationID=P20180413196</v>
      </c>
      <c r="K1316" s="13" t="str">
        <f>HYPERLINK("https://ntsu.idm.oclc.org/login?url=https://www.airitibooks.com/Detail/Detail?PublicationID=P20180413196", "https://ntsu.idm.oclc.org/login?url=https://www.airitibooks.com/Detail/Detail?PublicationID=P20180413196")</f>
        <v>https://ntsu.idm.oclc.org/login?url=https://www.airitibooks.com/Detail/Detail?PublicationID=P20180413196</v>
      </c>
    </row>
    <row r="1317" spans="1:11" ht="68" x14ac:dyDescent="0.4">
      <c r="A1317" s="10" t="s">
        <v>9084</v>
      </c>
      <c r="B1317" s="10" t="s">
        <v>9085</v>
      </c>
      <c r="C1317" s="10" t="s">
        <v>4803</v>
      </c>
      <c r="D1317" s="10" t="s">
        <v>9086</v>
      </c>
      <c r="E1317" s="10" t="s">
        <v>7391</v>
      </c>
      <c r="F1317" s="10" t="s">
        <v>1111</v>
      </c>
      <c r="G1317" s="10" t="s">
        <v>76</v>
      </c>
      <c r="H1317" s="7" t="s">
        <v>24</v>
      </c>
      <c r="I1317" s="7" t="s">
        <v>25</v>
      </c>
      <c r="J1317" s="13" t="str">
        <f>HYPERLINK("https://www.airitibooks.com/Detail/Detail?PublicationID=P20180420033", "https://www.airitibooks.com/Detail/Detail?PublicationID=P20180420033")</f>
        <v>https://www.airitibooks.com/Detail/Detail?PublicationID=P20180420033</v>
      </c>
      <c r="K1317" s="13" t="str">
        <f>HYPERLINK("https://ntsu.idm.oclc.org/login?url=https://www.airitibooks.com/Detail/Detail?PublicationID=P20180420033", "https://ntsu.idm.oclc.org/login?url=https://www.airitibooks.com/Detail/Detail?PublicationID=P20180420033")</f>
        <v>https://ntsu.idm.oclc.org/login?url=https://www.airitibooks.com/Detail/Detail?PublicationID=P20180420033</v>
      </c>
    </row>
    <row r="1318" spans="1:11" ht="51" x14ac:dyDescent="0.4">
      <c r="A1318" s="10" t="s">
        <v>9087</v>
      </c>
      <c r="B1318" s="10" t="s">
        <v>9088</v>
      </c>
      <c r="C1318" s="10" t="s">
        <v>4803</v>
      </c>
      <c r="D1318" s="10" t="s">
        <v>9089</v>
      </c>
      <c r="E1318" s="10" t="s">
        <v>7391</v>
      </c>
      <c r="F1318" s="10" t="s">
        <v>1111</v>
      </c>
      <c r="G1318" s="10" t="s">
        <v>76</v>
      </c>
      <c r="H1318" s="7" t="s">
        <v>24</v>
      </c>
      <c r="I1318" s="7" t="s">
        <v>25</v>
      </c>
      <c r="J1318" s="13" t="str">
        <f>HYPERLINK("https://www.airitibooks.com/Detail/Detail?PublicationID=P20180420034", "https://www.airitibooks.com/Detail/Detail?PublicationID=P20180420034")</f>
        <v>https://www.airitibooks.com/Detail/Detail?PublicationID=P20180420034</v>
      </c>
      <c r="K1318" s="13" t="str">
        <f>HYPERLINK("https://ntsu.idm.oclc.org/login?url=https://www.airitibooks.com/Detail/Detail?PublicationID=P20180420034", "https://ntsu.idm.oclc.org/login?url=https://www.airitibooks.com/Detail/Detail?PublicationID=P20180420034")</f>
        <v>https://ntsu.idm.oclc.org/login?url=https://www.airitibooks.com/Detail/Detail?PublicationID=P20180420034</v>
      </c>
    </row>
    <row r="1319" spans="1:11" ht="85" x14ac:dyDescent="0.4">
      <c r="A1319" s="10" t="s">
        <v>9090</v>
      </c>
      <c r="B1319" s="10" t="s">
        <v>9091</v>
      </c>
      <c r="C1319" s="10" t="s">
        <v>4803</v>
      </c>
      <c r="D1319" s="10" t="s">
        <v>9092</v>
      </c>
      <c r="E1319" s="10" t="s">
        <v>7391</v>
      </c>
      <c r="F1319" s="10" t="s">
        <v>1111</v>
      </c>
      <c r="G1319" s="10" t="s">
        <v>76</v>
      </c>
      <c r="H1319" s="7" t="s">
        <v>24</v>
      </c>
      <c r="I1319" s="7" t="s">
        <v>25</v>
      </c>
      <c r="J1319" s="13" t="str">
        <f>HYPERLINK("https://www.airitibooks.com/Detail/Detail?PublicationID=P20180420035", "https://www.airitibooks.com/Detail/Detail?PublicationID=P20180420035")</f>
        <v>https://www.airitibooks.com/Detail/Detail?PublicationID=P20180420035</v>
      </c>
      <c r="K1319" s="13" t="str">
        <f>HYPERLINK("https://ntsu.idm.oclc.org/login?url=https://www.airitibooks.com/Detail/Detail?PublicationID=P20180420035", "https://ntsu.idm.oclc.org/login?url=https://www.airitibooks.com/Detail/Detail?PublicationID=P20180420035")</f>
        <v>https://ntsu.idm.oclc.org/login?url=https://www.airitibooks.com/Detail/Detail?PublicationID=P20180420035</v>
      </c>
    </row>
    <row r="1320" spans="1:11" ht="68" x14ac:dyDescent="0.4">
      <c r="A1320" s="10" t="s">
        <v>9093</v>
      </c>
      <c r="B1320" s="10" t="s">
        <v>9094</v>
      </c>
      <c r="C1320" s="10" t="s">
        <v>4803</v>
      </c>
      <c r="D1320" s="10" t="s">
        <v>9095</v>
      </c>
      <c r="E1320" s="10" t="s">
        <v>7391</v>
      </c>
      <c r="F1320" s="10" t="s">
        <v>1111</v>
      </c>
      <c r="G1320" s="10" t="s">
        <v>76</v>
      </c>
      <c r="H1320" s="7" t="s">
        <v>24</v>
      </c>
      <c r="I1320" s="7" t="s">
        <v>25</v>
      </c>
      <c r="J1320" s="13" t="str">
        <f>HYPERLINK("https://www.airitibooks.com/Detail/Detail?PublicationID=P20180420036", "https://www.airitibooks.com/Detail/Detail?PublicationID=P20180420036")</f>
        <v>https://www.airitibooks.com/Detail/Detail?PublicationID=P20180420036</v>
      </c>
      <c r="K1320" s="13" t="str">
        <f>HYPERLINK("https://ntsu.idm.oclc.org/login?url=https://www.airitibooks.com/Detail/Detail?PublicationID=P20180420036", "https://ntsu.idm.oclc.org/login?url=https://www.airitibooks.com/Detail/Detail?PublicationID=P20180420036")</f>
        <v>https://ntsu.idm.oclc.org/login?url=https://www.airitibooks.com/Detail/Detail?PublicationID=P20180420036</v>
      </c>
    </row>
    <row r="1321" spans="1:11" ht="51" x14ac:dyDescent="0.4">
      <c r="A1321" s="10" t="s">
        <v>9139</v>
      </c>
      <c r="B1321" s="10" t="s">
        <v>9140</v>
      </c>
      <c r="C1321" s="10" t="s">
        <v>1727</v>
      </c>
      <c r="D1321" s="10" t="s">
        <v>9141</v>
      </c>
      <c r="E1321" s="10" t="s">
        <v>7391</v>
      </c>
      <c r="F1321" s="10" t="s">
        <v>9142</v>
      </c>
      <c r="G1321" s="10" t="s">
        <v>76</v>
      </c>
      <c r="H1321" s="7" t="s">
        <v>24</v>
      </c>
      <c r="I1321" s="7" t="s">
        <v>25</v>
      </c>
      <c r="J1321" s="13" t="str">
        <f>HYPERLINK("https://www.airitibooks.com/Detail/Detail?PublicationID=P20180427083", "https://www.airitibooks.com/Detail/Detail?PublicationID=P20180427083")</f>
        <v>https://www.airitibooks.com/Detail/Detail?PublicationID=P20180427083</v>
      </c>
      <c r="K1321" s="13" t="str">
        <f>HYPERLINK("https://ntsu.idm.oclc.org/login?url=https://www.airitibooks.com/Detail/Detail?PublicationID=P20180427083", "https://ntsu.idm.oclc.org/login?url=https://www.airitibooks.com/Detail/Detail?PublicationID=P20180427083")</f>
        <v>https://ntsu.idm.oclc.org/login?url=https://www.airitibooks.com/Detail/Detail?PublicationID=P20180427083</v>
      </c>
    </row>
    <row r="1322" spans="1:11" ht="51" x14ac:dyDescent="0.4">
      <c r="A1322" s="10" t="s">
        <v>9208</v>
      </c>
      <c r="B1322" s="10" t="s">
        <v>9209</v>
      </c>
      <c r="C1322" s="10" t="s">
        <v>8363</v>
      </c>
      <c r="D1322" s="10" t="s">
        <v>9210</v>
      </c>
      <c r="E1322" s="10" t="s">
        <v>7391</v>
      </c>
      <c r="F1322" s="10" t="s">
        <v>9211</v>
      </c>
      <c r="G1322" s="10" t="s">
        <v>76</v>
      </c>
      <c r="H1322" s="7" t="s">
        <v>24</v>
      </c>
      <c r="I1322" s="7" t="s">
        <v>25</v>
      </c>
      <c r="J1322" s="13" t="str">
        <f>HYPERLINK("https://www.airitibooks.com/Detail/Detail?PublicationID=P20180511067", "https://www.airitibooks.com/Detail/Detail?PublicationID=P20180511067")</f>
        <v>https://www.airitibooks.com/Detail/Detail?PublicationID=P20180511067</v>
      </c>
      <c r="K1322" s="13" t="str">
        <f>HYPERLINK("https://ntsu.idm.oclc.org/login?url=https://www.airitibooks.com/Detail/Detail?PublicationID=P20180511067", "https://ntsu.idm.oclc.org/login?url=https://www.airitibooks.com/Detail/Detail?PublicationID=P20180511067")</f>
        <v>https://ntsu.idm.oclc.org/login?url=https://www.airitibooks.com/Detail/Detail?PublicationID=P20180511067</v>
      </c>
    </row>
    <row r="1323" spans="1:11" ht="85" x14ac:dyDescent="0.4">
      <c r="A1323" s="10" t="s">
        <v>9212</v>
      </c>
      <c r="B1323" s="10" t="s">
        <v>9213</v>
      </c>
      <c r="C1323" s="10" t="s">
        <v>8363</v>
      </c>
      <c r="D1323" s="10" t="s">
        <v>9214</v>
      </c>
      <c r="E1323" s="10" t="s">
        <v>7391</v>
      </c>
      <c r="F1323" s="10" t="s">
        <v>6446</v>
      </c>
      <c r="G1323" s="10" t="s">
        <v>76</v>
      </c>
      <c r="H1323" s="7" t="s">
        <v>24</v>
      </c>
      <c r="I1323" s="7" t="s">
        <v>25</v>
      </c>
      <c r="J1323" s="13" t="str">
        <f>HYPERLINK("https://www.airitibooks.com/Detail/Detail?PublicationID=P20180511069", "https://www.airitibooks.com/Detail/Detail?PublicationID=P20180511069")</f>
        <v>https://www.airitibooks.com/Detail/Detail?PublicationID=P20180511069</v>
      </c>
      <c r="K1323" s="13" t="str">
        <f>HYPERLINK("https://ntsu.idm.oclc.org/login?url=https://www.airitibooks.com/Detail/Detail?PublicationID=P20180511069", "https://ntsu.idm.oclc.org/login?url=https://www.airitibooks.com/Detail/Detail?PublicationID=P20180511069")</f>
        <v>https://ntsu.idm.oclc.org/login?url=https://www.airitibooks.com/Detail/Detail?PublicationID=P20180511069</v>
      </c>
    </row>
    <row r="1324" spans="1:11" ht="51" x14ac:dyDescent="0.4">
      <c r="A1324" s="10" t="s">
        <v>9274</v>
      </c>
      <c r="B1324" s="10" t="s">
        <v>9275</v>
      </c>
      <c r="C1324" s="10" t="s">
        <v>791</v>
      </c>
      <c r="D1324" s="10" t="s">
        <v>3197</v>
      </c>
      <c r="E1324" s="10" t="s">
        <v>7391</v>
      </c>
      <c r="F1324" s="10" t="s">
        <v>774</v>
      </c>
      <c r="G1324" s="10" t="s">
        <v>76</v>
      </c>
      <c r="H1324" s="7" t="s">
        <v>24</v>
      </c>
      <c r="I1324" s="7" t="s">
        <v>25</v>
      </c>
      <c r="J1324" s="13" t="str">
        <f>HYPERLINK("https://www.airitibooks.com/Detail/Detail?PublicationID=P20180525025", "https://www.airitibooks.com/Detail/Detail?PublicationID=P20180525025")</f>
        <v>https://www.airitibooks.com/Detail/Detail?PublicationID=P20180525025</v>
      </c>
      <c r="K1324" s="13" t="str">
        <f>HYPERLINK("https://ntsu.idm.oclc.org/login?url=https://www.airitibooks.com/Detail/Detail?PublicationID=P20180525025", "https://ntsu.idm.oclc.org/login?url=https://www.airitibooks.com/Detail/Detail?PublicationID=P20180525025")</f>
        <v>https://ntsu.idm.oclc.org/login?url=https://www.airitibooks.com/Detail/Detail?PublicationID=P20180525025</v>
      </c>
    </row>
    <row r="1325" spans="1:11" ht="136" x14ac:dyDescent="0.4">
      <c r="A1325" s="10" t="s">
        <v>9279</v>
      </c>
      <c r="B1325" s="10" t="s">
        <v>9280</v>
      </c>
      <c r="C1325" s="10" t="s">
        <v>3863</v>
      </c>
      <c r="D1325" s="10" t="s">
        <v>9281</v>
      </c>
      <c r="E1325" s="10" t="s">
        <v>7391</v>
      </c>
      <c r="F1325" s="10" t="s">
        <v>8729</v>
      </c>
      <c r="G1325" s="10" t="s">
        <v>76</v>
      </c>
      <c r="H1325" s="7" t="s">
        <v>24</v>
      </c>
      <c r="I1325" s="7" t="s">
        <v>25</v>
      </c>
      <c r="J1325" s="13" t="str">
        <f>HYPERLINK("https://www.airitibooks.com/Detail/Detail?PublicationID=P20180525032", "https://www.airitibooks.com/Detail/Detail?PublicationID=P20180525032")</f>
        <v>https://www.airitibooks.com/Detail/Detail?PublicationID=P20180525032</v>
      </c>
      <c r="K1325" s="13" t="str">
        <f>HYPERLINK("https://ntsu.idm.oclc.org/login?url=https://www.airitibooks.com/Detail/Detail?PublicationID=P20180525032", "https://ntsu.idm.oclc.org/login?url=https://www.airitibooks.com/Detail/Detail?PublicationID=P20180525032")</f>
        <v>https://ntsu.idm.oclc.org/login?url=https://www.airitibooks.com/Detail/Detail?PublicationID=P20180525032</v>
      </c>
    </row>
    <row r="1326" spans="1:11" ht="51" x14ac:dyDescent="0.4">
      <c r="A1326" s="10" t="s">
        <v>9309</v>
      </c>
      <c r="B1326" s="10" t="s">
        <v>9310</v>
      </c>
      <c r="C1326" s="10" t="s">
        <v>661</v>
      </c>
      <c r="D1326" s="10" t="s">
        <v>9311</v>
      </c>
      <c r="E1326" s="10" t="s">
        <v>7391</v>
      </c>
      <c r="F1326" s="10" t="s">
        <v>9312</v>
      </c>
      <c r="G1326" s="10" t="s">
        <v>76</v>
      </c>
      <c r="H1326" s="7" t="s">
        <v>24</v>
      </c>
      <c r="I1326" s="7" t="s">
        <v>25</v>
      </c>
      <c r="J1326" s="13" t="str">
        <f>HYPERLINK("https://www.airitibooks.com/Detail/Detail?PublicationID=P20180528022", "https://www.airitibooks.com/Detail/Detail?PublicationID=P20180528022")</f>
        <v>https://www.airitibooks.com/Detail/Detail?PublicationID=P20180528022</v>
      </c>
      <c r="K1326" s="13" t="str">
        <f>HYPERLINK("https://ntsu.idm.oclc.org/login?url=https://www.airitibooks.com/Detail/Detail?PublicationID=P20180528022", "https://ntsu.idm.oclc.org/login?url=https://www.airitibooks.com/Detail/Detail?PublicationID=P20180528022")</f>
        <v>https://ntsu.idm.oclc.org/login?url=https://www.airitibooks.com/Detail/Detail?PublicationID=P20180528022</v>
      </c>
    </row>
    <row r="1327" spans="1:11" ht="68" x14ac:dyDescent="0.4">
      <c r="A1327" s="10" t="s">
        <v>9350</v>
      </c>
      <c r="B1327" s="10" t="s">
        <v>9351</v>
      </c>
      <c r="C1327" s="10" t="s">
        <v>938</v>
      </c>
      <c r="D1327" s="10" t="s">
        <v>5442</v>
      </c>
      <c r="E1327" s="10" t="s">
        <v>7391</v>
      </c>
      <c r="F1327" s="10" t="s">
        <v>5443</v>
      </c>
      <c r="G1327" s="10" t="s">
        <v>76</v>
      </c>
      <c r="H1327" s="7" t="s">
        <v>24</v>
      </c>
      <c r="I1327" s="7" t="s">
        <v>25</v>
      </c>
      <c r="J1327" s="13" t="str">
        <f>HYPERLINK("https://www.airitibooks.com/Detail/Detail?PublicationID=P20180604003", "https://www.airitibooks.com/Detail/Detail?PublicationID=P20180604003")</f>
        <v>https://www.airitibooks.com/Detail/Detail?PublicationID=P20180604003</v>
      </c>
      <c r="K1327" s="13" t="str">
        <f>HYPERLINK("https://ntsu.idm.oclc.org/login?url=https://www.airitibooks.com/Detail/Detail?PublicationID=P20180604003", "https://ntsu.idm.oclc.org/login?url=https://www.airitibooks.com/Detail/Detail?PublicationID=P20180604003")</f>
        <v>https://ntsu.idm.oclc.org/login?url=https://www.airitibooks.com/Detail/Detail?PublicationID=P20180604003</v>
      </c>
    </row>
    <row r="1328" spans="1:11" ht="68" x14ac:dyDescent="0.4">
      <c r="A1328" s="10" t="s">
        <v>9352</v>
      </c>
      <c r="B1328" s="10" t="s">
        <v>9353</v>
      </c>
      <c r="C1328" s="10" t="s">
        <v>938</v>
      </c>
      <c r="D1328" s="10" t="s">
        <v>5442</v>
      </c>
      <c r="E1328" s="10" t="s">
        <v>7391</v>
      </c>
      <c r="F1328" s="10" t="s">
        <v>5443</v>
      </c>
      <c r="G1328" s="10" t="s">
        <v>76</v>
      </c>
      <c r="H1328" s="7" t="s">
        <v>24</v>
      </c>
      <c r="I1328" s="7" t="s">
        <v>25</v>
      </c>
      <c r="J1328" s="13" t="str">
        <f>HYPERLINK("https://www.airitibooks.com/Detail/Detail?PublicationID=P20180604004", "https://www.airitibooks.com/Detail/Detail?PublicationID=P20180604004")</f>
        <v>https://www.airitibooks.com/Detail/Detail?PublicationID=P20180604004</v>
      </c>
      <c r="K1328" s="13" t="str">
        <f>HYPERLINK("https://ntsu.idm.oclc.org/login?url=https://www.airitibooks.com/Detail/Detail?PublicationID=P20180604004", "https://ntsu.idm.oclc.org/login?url=https://www.airitibooks.com/Detail/Detail?PublicationID=P20180604004")</f>
        <v>https://ntsu.idm.oclc.org/login?url=https://www.airitibooks.com/Detail/Detail?PublicationID=P20180604004</v>
      </c>
    </row>
    <row r="1329" spans="1:11" ht="51" x14ac:dyDescent="0.4">
      <c r="A1329" s="10" t="s">
        <v>9354</v>
      </c>
      <c r="B1329" s="10" t="s">
        <v>9355</v>
      </c>
      <c r="C1329" s="10" t="s">
        <v>938</v>
      </c>
      <c r="D1329" s="10" t="s">
        <v>9356</v>
      </c>
      <c r="E1329" s="10" t="s">
        <v>7391</v>
      </c>
      <c r="F1329" s="10" t="s">
        <v>154</v>
      </c>
      <c r="G1329" s="10" t="s">
        <v>76</v>
      </c>
      <c r="H1329" s="7" t="s">
        <v>24</v>
      </c>
      <c r="I1329" s="7" t="s">
        <v>25</v>
      </c>
      <c r="J1329" s="13" t="str">
        <f>HYPERLINK("https://www.airitibooks.com/Detail/Detail?PublicationID=P20180604005", "https://www.airitibooks.com/Detail/Detail?PublicationID=P20180604005")</f>
        <v>https://www.airitibooks.com/Detail/Detail?PublicationID=P20180604005</v>
      </c>
      <c r="K1329" s="13" t="str">
        <f>HYPERLINK("https://ntsu.idm.oclc.org/login?url=https://www.airitibooks.com/Detail/Detail?PublicationID=P20180604005", "https://ntsu.idm.oclc.org/login?url=https://www.airitibooks.com/Detail/Detail?PublicationID=P20180604005")</f>
        <v>https://ntsu.idm.oclc.org/login?url=https://www.airitibooks.com/Detail/Detail?PublicationID=P20180604005</v>
      </c>
    </row>
    <row r="1330" spans="1:11" ht="68" x14ac:dyDescent="0.4">
      <c r="A1330" s="10" t="s">
        <v>9357</v>
      </c>
      <c r="B1330" s="10" t="s">
        <v>9358</v>
      </c>
      <c r="C1330" s="10" t="s">
        <v>938</v>
      </c>
      <c r="D1330" s="10" t="s">
        <v>9359</v>
      </c>
      <c r="E1330" s="10" t="s">
        <v>7391</v>
      </c>
      <c r="F1330" s="10" t="s">
        <v>2888</v>
      </c>
      <c r="G1330" s="10" t="s">
        <v>76</v>
      </c>
      <c r="H1330" s="7" t="s">
        <v>24</v>
      </c>
      <c r="I1330" s="7" t="s">
        <v>25</v>
      </c>
      <c r="J1330" s="13" t="str">
        <f>HYPERLINK("https://www.airitibooks.com/Detail/Detail?PublicationID=P20180604010", "https://www.airitibooks.com/Detail/Detail?PublicationID=P20180604010")</f>
        <v>https://www.airitibooks.com/Detail/Detail?PublicationID=P20180604010</v>
      </c>
      <c r="K1330" s="13" t="str">
        <f>HYPERLINK("https://ntsu.idm.oclc.org/login?url=https://www.airitibooks.com/Detail/Detail?PublicationID=P20180604010", "https://ntsu.idm.oclc.org/login?url=https://www.airitibooks.com/Detail/Detail?PublicationID=P20180604010")</f>
        <v>https://ntsu.idm.oclc.org/login?url=https://www.airitibooks.com/Detail/Detail?PublicationID=P20180604010</v>
      </c>
    </row>
    <row r="1331" spans="1:11" ht="51" x14ac:dyDescent="0.4">
      <c r="A1331" s="10" t="s">
        <v>9362</v>
      </c>
      <c r="B1331" s="10" t="s">
        <v>9363</v>
      </c>
      <c r="C1331" s="10" t="s">
        <v>938</v>
      </c>
      <c r="D1331" s="10" t="s">
        <v>5282</v>
      </c>
      <c r="E1331" s="10" t="s">
        <v>7391</v>
      </c>
      <c r="F1331" s="10" t="s">
        <v>2888</v>
      </c>
      <c r="G1331" s="10" t="s">
        <v>76</v>
      </c>
      <c r="H1331" s="7" t="s">
        <v>24</v>
      </c>
      <c r="I1331" s="7" t="s">
        <v>25</v>
      </c>
      <c r="J1331" s="13" t="str">
        <f>HYPERLINK("https://www.airitibooks.com/Detail/Detail?PublicationID=P20180604012", "https://www.airitibooks.com/Detail/Detail?PublicationID=P20180604012")</f>
        <v>https://www.airitibooks.com/Detail/Detail?PublicationID=P20180604012</v>
      </c>
      <c r="K1331" s="13" t="str">
        <f>HYPERLINK("https://ntsu.idm.oclc.org/login?url=https://www.airitibooks.com/Detail/Detail?PublicationID=P20180604012", "https://ntsu.idm.oclc.org/login?url=https://www.airitibooks.com/Detail/Detail?PublicationID=P20180604012")</f>
        <v>https://ntsu.idm.oclc.org/login?url=https://www.airitibooks.com/Detail/Detail?PublicationID=P20180604012</v>
      </c>
    </row>
    <row r="1332" spans="1:11" ht="51" x14ac:dyDescent="0.4">
      <c r="A1332" s="10" t="s">
        <v>9364</v>
      </c>
      <c r="B1332" s="10" t="s">
        <v>9365</v>
      </c>
      <c r="C1332" s="10" t="s">
        <v>938</v>
      </c>
      <c r="D1332" s="10" t="s">
        <v>6561</v>
      </c>
      <c r="E1332" s="10" t="s">
        <v>7391</v>
      </c>
      <c r="F1332" s="10" t="s">
        <v>2888</v>
      </c>
      <c r="G1332" s="10" t="s">
        <v>76</v>
      </c>
      <c r="H1332" s="7" t="s">
        <v>24</v>
      </c>
      <c r="I1332" s="7" t="s">
        <v>25</v>
      </c>
      <c r="J1332" s="13" t="str">
        <f>HYPERLINK("https://www.airitibooks.com/Detail/Detail?PublicationID=P20180604013", "https://www.airitibooks.com/Detail/Detail?PublicationID=P20180604013")</f>
        <v>https://www.airitibooks.com/Detail/Detail?PublicationID=P20180604013</v>
      </c>
      <c r="K1332" s="13" t="str">
        <f>HYPERLINK("https://ntsu.idm.oclc.org/login?url=https://www.airitibooks.com/Detail/Detail?PublicationID=P20180604013", "https://ntsu.idm.oclc.org/login?url=https://www.airitibooks.com/Detail/Detail?PublicationID=P20180604013")</f>
        <v>https://ntsu.idm.oclc.org/login?url=https://www.airitibooks.com/Detail/Detail?PublicationID=P20180604013</v>
      </c>
    </row>
    <row r="1333" spans="1:11" ht="51" x14ac:dyDescent="0.4">
      <c r="A1333" s="10" t="s">
        <v>9368</v>
      </c>
      <c r="B1333" s="10" t="s">
        <v>9369</v>
      </c>
      <c r="C1333" s="10" t="s">
        <v>938</v>
      </c>
      <c r="D1333" s="10" t="s">
        <v>6561</v>
      </c>
      <c r="E1333" s="10" t="s">
        <v>7391</v>
      </c>
      <c r="F1333" s="10" t="s">
        <v>2888</v>
      </c>
      <c r="G1333" s="10" t="s">
        <v>76</v>
      </c>
      <c r="H1333" s="7" t="s">
        <v>24</v>
      </c>
      <c r="I1333" s="7" t="s">
        <v>25</v>
      </c>
      <c r="J1333" s="13" t="str">
        <f>HYPERLINK("https://www.airitibooks.com/Detail/Detail?PublicationID=P20180604015", "https://www.airitibooks.com/Detail/Detail?PublicationID=P20180604015")</f>
        <v>https://www.airitibooks.com/Detail/Detail?PublicationID=P20180604015</v>
      </c>
      <c r="K1333" s="13" t="str">
        <f>HYPERLINK("https://ntsu.idm.oclc.org/login?url=https://www.airitibooks.com/Detail/Detail?PublicationID=P20180604015", "https://ntsu.idm.oclc.org/login?url=https://www.airitibooks.com/Detail/Detail?PublicationID=P20180604015")</f>
        <v>https://ntsu.idm.oclc.org/login?url=https://www.airitibooks.com/Detail/Detail?PublicationID=P20180604015</v>
      </c>
    </row>
    <row r="1334" spans="1:11" ht="85" x14ac:dyDescent="0.4">
      <c r="A1334" s="10" t="s">
        <v>9423</v>
      </c>
      <c r="B1334" s="10" t="s">
        <v>9424</v>
      </c>
      <c r="C1334" s="10" t="s">
        <v>568</v>
      </c>
      <c r="D1334" s="10" t="s">
        <v>9425</v>
      </c>
      <c r="E1334" s="10" t="s">
        <v>7391</v>
      </c>
      <c r="F1334" s="10" t="s">
        <v>224</v>
      </c>
      <c r="G1334" s="10" t="s">
        <v>76</v>
      </c>
      <c r="H1334" s="7" t="s">
        <v>24</v>
      </c>
      <c r="I1334" s="7" t="s">
        <v>25</v>
      </c>
      <c r="J1334" s="13" t="str">
        <f>HYPERLINK("https://www.airitibooks.com/Detail/Detail?PublicationID=P20180615001", "https://www.airitibooks.com/Detail/Detail?PublicationID=P20180615001")</f>
        <v>https://www.airitibooks.com/Detail/Detail?PublicationID=P20180615001</v>
      </c>
      <c r="K1334" s="13" t="str">
        <f>HYPERLINK("https://ntsu.idm.oclc.org/login?url=https://www.airitibooks.com/Detail/Detail?PublicationID=P20180615001", "https://ntsu.idm.oclc.org/login?url=https://www.airitibooks.com/Detail/Detail?PublicationID=P20180615001")</f>
        <v>https://ntsu.idm.oclc.org/login?url=https://www.airitibooks.com/Detail/Detail?PublicationID=P20180615001</v>
      </c>
    </row>
    <row r="1335" spans="1:11" ht="68" x14ac:dyDescent="0.4">
      <c r="A1335" s="10" t="s">
        <v>9426</v>
      </c>
      <c r="B1335" s="10" t="s">
        <v>9427</v>
      </c>
      <c r="C1335" s="10" t="s">
        <v>568</v>
      </c>
      <c r="D1335" s="10" t="s">
        <v>9428</v>
      </c>
      <c r="E1335" s="10" t="s">
        <v>7391</v>
      </c>
      <c r="F1335" s="10" t="s">
        <v>4147</v>
      </c>
      <c r="G1335" s="10" t="s">
        <v>76</v>
      </c>
      <c r="H1335" s="7" t="s">
        <v>24</v>
      </c>
      <c r="I1335" s="7" t="s">
        <v>25</v>
      </c>
      <c r="J1335" s="13" t="str">
        <f>HYPERLINK("https://www.airitibooks.com/Detail/Detail?PublicationID=P20180615002", "https://www.airitibooks.com/Detail/Detail?PublicationID=P20180615002")</f>
        <v>https://www.airitibooks.com/Detail/Detail?PublicationID=P20180615002</v>
      </c>
      <c r="K1335" s="13" t="str">
        <f>HYPERLINK("https://ntsu.idm.oclc.org/login?url=https://www.airitibooks.com/Detail/Detail?PublicationID=P20180615002", "https://ntsu.idm.oclc.org/login?url=https://www.airitibooks.com/Detail/Detail?PublicationID=P20180615002")</f>
        <v>https://ntsu.idm.oclc.org/login?url=https://www.airitibooks.com/Detail/Detail?PublicationID=P20180615002</v>
      </c>
    </row>
    <row r="1336" spans="1:11" ht="51" x14ac:dyDescent="0.4">
      <c r="A1336" s="10" t="s">
        <v>9562</v>
      </c>
      <c r="B1336" s="10" t="s">
        <v>9563</v>
      </c>
      <c r="C1336" s="10" t="s">
        <v>222</v>
      </c>
      <c r="D1336" s="10" t="s">
        <v>9564</v>
      </c>
      <c r="E1336" s="10" t="s">
        <v>7391</v>
      </c>
      <c r="F1336" s="10" t="s">
        <v>9565</v>
      </c>
      <c r="G1336" s="10" t="s">
        <v>76</v>
      </c>
      <c r="H1336" s="7" t="s">
        <v>24</v>
      </c>
      <c r="I1336" s="7" t="s">
        <v>25</v>
      </c>
      <c r="J1336" s="13" t="str">
        <f>HYPERLINK("https://www.airitibooks.com/Detail/Detail?PublicationID=P20180806073", "https://www.airitibooks.com/Detail/Detail?PublicationID=P20180806073")</f>
        <v>https://www.airitibooks.com/Detail/Detail?PublicationID=P20180806073</v>
      </c>
      <c r="K1336" s="13" t="str">
        <f>HYPERLINK("https://ntsu.idm.oclc.org/login?url=https://www.airitibooks.com/Detail/Detail?PublicationID=P20180806073", "https://ntsu.idm.oclc.org/login?url=https://www.airitibooks.com/Detail/Detail?PublicationID=P20180806073")</f>
        <v>https://ntsu.idm.oclc.org/login?url=https://www.airitibooks.com/Detail/Detail?PublicationID=P20180806073</v>
      </c>
    </row>
    <row r="1337" spans="1:11" ht="51" x14ac:dyDescent="0.4">
      <c r="A1337" s="10" t="s">
        <v>9577</v>
      </c>
      <c r="B1337" s="10" t="s">
        <v>9578</v>
      </c>
      <c r="C1337" s="10" t="s">
        <v>2146</v>
      </c>
      <c r="D1337" s="10" t="s">
        <v>9579</v>
      </c>
      <c r="E1337" s="10" t="s">
        <v>7391</v>
      </c>
      <c r="F1337" s="10" t="s">
        <v>5854</v>
      </c>
      <c r="G1337" s="10" t="s">
        <v>76</v>
      </c>
      <c r="H1337" s="7" t="s">
        <v>24</v>
      </c>
      <c r="I1337" s="7" t="s">
        <v>25</v>
      </c>
      <c r="J1337" s="13" t="str">
        <f>HYPERLINK("https://www.airitibooks.com/Detail/Detail?PublicationID=P20180807051", "https://www.airitibooks.com/Detail/Detail?PublicationID=P20180807051")</f>
        <v>https://www.airitibooks.com/Detail/Detail?PublicationID=P20180807051</v>
      </c>
      <c r="K1337" s="13" t="str">
        <f>HYPERLINK("https://ntsu.idm.oclc.org/login?url=https://www.airitibooks.com/Detail/Detail?PublicationID=P20180807051", "https://ntsu.idm.oclc.org/login?url=https://www.airitibooks.com/Detail/Detail?PublicationID=P20180807051")</f>
        <v>https://ntsu.idm.oclc.org/login?url=https://www.airitibooks.com/Detail/Detail?PublicationID=P20180807051</v>
      </c>
    </row>
    <row r="1338" spans="1:11" ht="51" x14ac:dyDescent="0.4">
      <c r="A1338" s="10" t="s">
        <v>9580</v>
      </c>
      <c r="B1338" s="10" t="s">
        <v>9581</v>
      </c>
      <c r="C1338" s="10" t="s">
        <v>2146</v>
      </c>
      <c r="D1338" s="10" t="s">
        <v>9582</v>
      </c>
      <c r="E1338" s="10" t="s">
        <v>7391</v>
      </c>
      <c r="F1338" s="10" t="s">
        <v>5854</v>
      </c>
      <c r="G1338" s="10" t="s">
        <v>76</v>
      </c>
      <c r="H1338" s="7" t="s">
        <v>24</v>
      </c>
      <c r="I1338" s="7" t="s">
        <v>25</v>
      </c>
      <c r="J1338" s="13" t="str">
        <f>HYPERLINK("https://www.airitibooks.com/Detail/Detail?PublicationID=P20180807052", "https://www.airitibooks.com/Detail/Detail?PublicationID=P20180807052")</f>
        <v>https://www.airitibooks.com/Detail/Detail?PublicationID=P20180807052</v>
      </c>
      <c r="K1338" s="13" t="str">
        <f>HYPERLINK("https://ntsu.idm.oclc.org/login?url=https://www.airitibooks.com/Detail/Detail?PublicationID=P20180807052", "https://ntsu.idm.oclc.org/login?url=https://www.airitibooks.com/Detail/Detail?PublicationID=P20180807052")</f>
        <v>https://ntsu.idm.oclc.org/login?url=https://www.airitibooks.com/Detail/Detail?PublicationID=P20180807052</v>
      </c>
    </row>
    <row r="1339" spans="1:11" ht="51" x14ac:dyDescent="0.4">
      <c r="A1339" s="10" t="s">
        <v>9583</v>
      </c>
      <c r="B1339" s="10" t="s">
        <v>9584</v>
      </c>
      <c r="C1339" s="10" t="s">
        <v>2146</v>
      </c>
      <c r="D1339" s="10" t="s">
        <v>9585</v>
      </c>
      <c r="E1339" s="10" t="s">
        <v>7391</v>
      </c>
      <c r="F1339" s="10" t="s">
        <v>5854</v>
      </c>
      <c r="G1339" s="10" t="s">
        <v>76</v>
      </c>
      <c r="H1339" s="7" t="s">
        <v>24</v>
      </c>
      <c r="I1339" s="7" t="s">
        <v>25</v>
      </c>
      <c r="J1339" s="13" t="str">
        <f>HYPERLINK("https://www.airitibooks.com/Detail/Detail?PublicationID=P20180807053", "https://www.airitibooks.com/Detail/Detail?PublicationID=P20180807053")</f>
        <v>https://www.airitibooks.com/Detail/Detail?PublicationID=P20180807053</v>
      </c>
      <c r="K1339" s="13" t="str">
        <f>HYPERLINK("https://ntsu.idm.oclc.org/login?url=https://www.airitibooks.com/Detail/Detail?PublicationID=P20180807053", "https://ntsu.idm.oclc.org/login?url=https://www.airitibooks.com/Detail/Detail?PublicationID=P20180807053")</f>
        <v>https://ntsu.idm.oclc.org/login?url=https://www.airitibooks.com/Detail/Detail?PublicationID=P20180807053</v>
      </c>
    </row>
    <row r="1340" spans="1:11" ht="51" x14ac:dyDescent="0.4">
      <c r="A1340" s="10" t="s">
        <v>9586</v>
      </c>
      <c r="B1340" s="10" t="s">
        <v>9587</v>
      </c>
      <c r="C1340" s="10" t="s">
        <v>2146</v>
      </c>
      <c r="D1340" s="10" t="s">
        <v>9588</v>
      </c>
      <c r="E1340" s="10" t="s">
        <v>7391</v>
      </c>
      <c r="F1340" s="10" t="s">
        <v>5854</v>
      </c>
      <c r="G1340" s="10" t="s">
        <v>76</v>
      </c>
      <c r="H1340" s="7" t="s">
        <v>24</v>
      </c>
      <c r="I1340" s="7" t="s">
        <v>25</v>
      </c>
      <c r="J1340" s="13" t="str">
        <f>HYPERLINK("https://www.airitibooks.com/Detail/Detail?PublicationID=P20180807054", "https://www.airitibooks.com/Detail/Detail?PublicationID=P20180807054")</f>
        <v>https://www.airitibooks.com/Detail/Detail?PublicationID=P20180807054</v>
      </c>
      <c r="K1340" s="13" t="str">
        <f>HYPERLINK("https://ntsu.idm.oclc.org/login?url=https://www.airitibooks.com/Detail/Detail?PublicationID=P20180807054", "https://ntsu.idm.oclc.org/login?url=https://www.airitibooks.com/Detail/Detail?PublicationID=P20180807054")</f>
        <v>https://ntsu.idm.oclc.org/login?url=https://www.airitibooks.com/Detail/Detail?PublicationID=P20180807054</v>
      </c>
    </row>
    <row r="1341" spans="1:11" ht="51" x14ac:dyDescent="0.4">
      <c r="A1341" s="10" t="s">
        <v>9589</v>
      </c>
      <c r="B1341" s="10" t="s">
        <v>9590</v>
      </c>
      <c r="C1341" s="10" t="s">
        <v>1262</v>
      </c>
      <c r="D1341" s="10" t="s">
        <v>9591</v>
      </c>
      <c r="E1341" s="10" t="s">
        <v>7391</v>
      </c>
      <c r="F1341" s="10" t="s">
        <v>9592</v>
      </c>
      <c r="G1341" s="10" t="s">
        <v>76</v>
      </c>
      <c r="H1341" s="7" t="s">
        <v>24</v>
      </c>
      <c r="I1341" s="7" t="s">
        <v>25</v>
      </c>
      <c r="J1341" s="13" t="str">
        <f>HYPERLINK("https://www.airitibooks.com/Detail/Detail?PublicationID=P20180809001", "https://www.airitibooks.com/Detail/Detail?PublicationID=P20180809001")</f>
        <v>https://www.airitibooks.com/Detail/Detail?PublicationID=P20180809001</v>
      </c>
      <c r="K1341" s="13" t="str">
        <f>HYPERLINK("https://ntsu.idm.oclc.org/login?url=https://www.airitibooks.com/Detail/Detail?PublicationID=P20180809001", "https://ntsu.idm.oclc.org/login?url=https://www.airitibooks.com/Detail/Detail?PublicationID=P20180809001")</f>
        <v>https://ntsu.idm.oclc.org/login?url=https://www.airitibooks.com/Detail/Detail?PublicationID=P20180809001</v>
      </c>
    </row>
    <row r="1342" spans="1:11" ht="51" x14ac:dyDescent="0.4">
      <c r="A1342" s="10" t="s">
        <v>9623</v>
      </c>
      <c r="B1342" s="10" t="s">
        <v>9624</v>
      </c>
      <c r="C1342" s="10" t="s">
        <v>938</v>
      </c>
      <c r="D1342" s="10" t="s">
        <v>5883</v>
      </c>
      <c r="E1342" s="10" t="s">
        <v>7391</v>
      </c>
      <c r="F1342" s="10" t="s">
        <v>104</v>
      </c>
      <c r="G1342" s="10" t="s">
        <v>76</v>
      </c>
      <c r="H1342" s="7" t="s">
        <v>24</v>
      </c>
      <c r="I1342" s="7" t="s">
        <v>25</v>
      </c>
      <c r="J1342" s="13" t="str">
        <f>HYPERLINK("https://www.airitibooks.com/Detail/Detail?PublicationID=P20180809029", "https://www.airitibooks.com/Detail/Detail?PublicationID=P20180809029")</f>
        <v>https://www.airitibooks.com/Detail/Detail?PublicationID=P20180809029</v>
      </c>
      <c r="K1342" s="13" t="str">
        <f>HYPERLINK("https://ntsu.idm.oclc.org/login?url=https://www.airitibooks.com/Detail/Detail?PublicationID=P20180809029", "https://ntsu.idm.oclc.org/login?url=https://www.airitibooks.com/Detail/Detail?PublicationID=P20180809029")</f>
        <v>https://ntsu.idm.oclc.org/login?url=https://www.airitibooks.com/Detail/Detail?PublicationID=P20180809029</v>
      </c>
    </row>
    <row r="1343" spans="1:11" ht="51" x14ac:dyDescent="0.4">
      <c r="A1343" s="10" t="s">
        <v>9714</v>
      </c>
      <c r="B1343" s="10" t="s">
        <v>9715</v>
      </c>
      <c r="C1343" s="10" t="s">
        <v>1966</v>
      </c>
      <c r="D1343" s="10" t="s">
        <v>9716</v>
      </c>
      <c r="E1343" s="10" t="s">
        <v>7391</v>
      </c>
      <c r="F1343" s="10" t="s">
        <v>9717</v>
      </c>
      <c r="G1343" s="10" t="s">
        <v>76</v>
      </c>
      <c r="H1343" s="7" t="s">
        <v>24</v>
      </c>
      <c r="I1343" s="7" t="s">
        <v>25</v>
      </c>
      <c r="J1343" s="13" t="str">
        <f>HYPERLINK("https://www.airitibooks.com/Detail/Detail?PublicationID=P20180817022", "https://www.airitibooks.com/Detail/Detail?PublicationID=P20180817022")</f>
        <v>https://www.airitibooks.com/Detail/Detail?PublicationID=P20180817022</v>
      </c>
      <c r="K1343" s="13" t="str">
        <f>HYPERLINK("https://ntsu.idm.oclc.org/login?url=https://www.airitibooks.com/Detail/Detail?PublicationID=P20180817022", "https://ntsu.idm.oclc.org/login?url=https://www.airitibooks.com/Detail/Detail?PublicationID=P20180817022")</f>
        <v>https://ntsu.idm.oclc.org/login?url=https://www.airitibooks.com/Detail/Detail?PublicationID=P20180817022</v>
      </c>
    </row>
    <row r="1344" spans="1:11" ht="51" x14ac:dyDescent="0.4">
      <c r="A1344" s="10" t="s">
        <v>9734</v>
      </c>
      <c r="B1344" s="10" t="s">
        <v>9735</v>
      </c>
      <c r="C1344" s="10" t="s">
        <v>1109</v>
      </c>
      <c r="D1344" s="10" t="s">
        <v>9736</v>
      </c>
      <c r="E1344" s="10" t="s">
        <v>7391</v>
      </c>
      <c r="F1344" s="10" t="s">
        <v>9737</v>
      </c>
      <c r="G1344" s="10" t="s">
        <v>76</v>
      </c>
      <c r="H1344" s="7" t="s">
        <v>24</v>
      </c>
      <c r="I1344" s="7" t="s">
        <v>25</v>
      </c>
      <c r="J1344" s="13" t="str">
        <f>HYPERLINK("https://www.airitibooks.com/Detail/Detail?PublicationID=P20180822014", "https://www.airitibooks.com/Detail/Detail?PublicationID=P20180822014")</f>
        <v>https://www.airitibooks.com/Detail/Detail?PublicationID=P20180822014</v>
      </c>
      <c r="K1344" s="13" t="str">
        <f>HYPERLINK("https://ntsu.idm.oclc.org/login?url=https://www.airitibooks.com/Detail/Detail?PublicationID=P20180822014", "https://ntsu.idm.oclc.org/login?url=https://www.airitibooks.com/Detail/Detail?PublicationID=P20180822014")</f>
        <v>https://ntsu.idm.oclc.org/login?url=https://www.airitibooks.com/Detail/Detail?PublicationID=P20180822014</v>
      </c>
    </row>
    <row r="1345" spans="1:11" ht="51" x14ac:dyDescent="0.4">
      <c r="A1345" s="10" t="s">
        <v>9843</v>
      </c>
      <c r="B1345" s="10" t="s">
        <v>9844</v>
      </c>
      <c r="C1345" s="10" t="s">
        <v>791</v>
      </c>
      <c r="D1345" s="10" t="s">
        <v>3197</v>
      </c>
      <c r="E1345" s="10" t="s">
        <v>7391</v>
      </c>
      <c r="F1345" s="10" t="s">
        <v>774</v>
      </c>
      <c r="G1345" s="10" t="s">
        <v>76</v>
      </c>
      <c r="H1345" s="7" t="s">
        <v>24</v>
      </c>
      <c r="I1345" s="7" t="s">
        <v>25</v>
      </c>
      <c r="J1345" s="13" t="str">
        <f>HYPERLINK("https://www.airitibooks.com/Detail/Detail?PublicationID=P20180919006", "https://www.airitibooks.com/Detail/Detail?PublicationID=P20180919006")</f>
        <v>https://www.airitibooks.com/Detail/Detail?PublicationID=P20180919006</v>
      </c>
      <c r="K1345" s="13" t="str">
        <f>HYPERLINK("https://ntsu.idm.oclc.org/login?url=https://www.airitibooks.com/Detail/Detail?PublicationID=P20180919006", "https://ntsu.idm.oclc.org/login?url=https://www.airitibooks.com/Detail/Detail?PublicationID=P20180919006")</f>
        <v>https://ntsu.idm.oclc.org/login?url=https://www.airitibooks.com/Detail/Detail?PublicationID=P20180919006</v>
      </c>
    </row>
    <row r="1346" spans="1:11" ht="85" x14ac:dyDescent="0.4">
      <c r="A1346" s="10" t="s">
        <v>9858</v>
      </c>
      <c r="B1346" s="10" t="s">
        <v>9859</v>
      </c>
      <c r="C1346" s="10" t="s">
        <v>2731</v>
      </c>
      <c r="D1346" s="10" t="s">
        <v>9860</v>
      </c>
      <c r="E1346" s="10" t="s">
        <v>7391</v>
      </c>
      <c r="F1346" s="10" t="s">
        <v>4913</v>
      </c>
      <c r="G1346" s="10" t="s">
        <v>76</v>
      </c>
      <c r="H1346" s="7" t="s">
        <v>24</v>
      </c>
      <c r="I1346" s="7" t="s">
        <v>25</v>
      </c>
      <c r="J1346" s="13" t="str">
        <f>HYPERLINK("https://www.airitibooks.com/Detail/Detail?PublicationID=P20181004035", "https://www.airitibooks.com/Detail/Detail?PublicationID=P20181004035")</f>
        <v>https://www.airitibooks.com/Detail/Detail?PublicationID=P20181004035</v>
      </c>
      <c r="K1346" s="13" t="str">
        <f>HYPERLINK("https://ntsu.idm.oclc.org/login?url=https://www.airitibooks.com/Detail/Detail?PublicationID=P20181004035", "https://ntsu.idm.oclc.org/login?url=https://www.airitibooks.com/Detail/Detail?PublicationID=P20181004035")</f>
        <v>https://ntsu.idm.oclc.org/login?url=https://www.airitibooks.com/Detail/Detail?PublicationID=P20181004035</v>
      </c>
    </row>
    <row r="1347" spans="1:11" ht="85" x14ac:dyDescent="0.4">
      <c r="A1347" s="10" t="s">
        <v>9881</v>
      </c>
      <c r="B1347" s="10" t="s">
        <v>9882</v>
      </c>
      <c r="C1347" s="10" t="s">
        <v>9079</v>
      </c>
      <c r="D1347" s="10" t="s">
        <v>9883</v>
      </c>
      <c r="E1347" s="10" t="s">
        <v>7391</v>
      </c>
      <c r="F1347" s="10" t="s">
        <v>9884</v>
      </c>
      <c r="G1347" s="10" t="s">
        <v>76</v>
      </c>
      <c r="H1347" s="7" t="s">
        <v>24</v>
      </c>
      <c r="I1347" s="7" t="s">
        <v>25</v>
      </c>
      <c r="J1347" s="13" t="str">
        <f>HYPERLINK("https://www.airitibooks.com/Detail/Detail?PublicationID=P20181012274", "https://www.airitibooks.com/Detail/Detail?PublicationID=P20181012274")</f>
        <v>https://www.airitibooks.com/Detail/Detail?PublicationID=P20181012274</v>
      </c>
      <c r="K1347" s="13" t="str">
        <f>HYPERLINK("https://ntsu.idm.oclc.org/login?url=https://www.airitibooks.com/Detail/Detail?PublicationID=P20181012274", "https://ntsu.idm.oclc.org/login?url=https://www.airitibooks.com/Detail/Detail?PublicationID=P20181012274")</f>
        <v>https://ntsu.idm.oclc.org/login?url=https://www.airitibooks.com/Detail/Detail?PublicationID=P20181012274</v>
      </c>
    </row>
    <row r="1348" spans="1:11" ht="136" x14ac:dyDescent="0.4">
      <c r="A1348" s="10" t="s">
        <v>9899</v>
      </c>
      <c r="B1348" s="10" t="s">
        <v>9900</v>
      </c>
      <c r="C1348" s="10" t="s">
        <v>756</v>
      </c>
      <c r="D1348" s="10" t="s">
        <v>9901</v>
      </c>
      <c r="E1348" s="10" t="s">
        <v>7391</v>
      </c>
      <c r="F1348" s="10" t="s">
        <v>104</v>
      </c>
      <c r="G1348" s="10" t="s">
        <v>76</v>
      </c>
      <c r="H1348" s="7" t="s">
        <v>24</v>
      </c>
      <c r="I1348" s="7" t="s">
        <v>25</v>
      </c>
      <c r="J1348" s="13" t="str">
        <f>HYPERLINK("https://www.airitibooks.com/Detail/Detail?PublicationID=P20181018005", "https://www.airitibooks.com/Detail/Detail?PublicationID=P20181018005")</f>
        <v>https://www.airitibooks.com/Detail/Detail?PublicationID=P20181018005</v>
      </c>
      <c r="K1348" s="13" t="str">
        <f>HYPERLINK("https://ntsu.idm.oclc.org/login?url=https://www.airitibooks.com/Detail/Detail?PublicationID=P20181018005", "https://ntsu.idm.oclc.org/login?url=https://www.airitibooks.com/Detail/Detail?PublicationID=P20181018005")</f>
        <v>https://ntsu.idm.oclc.org/login?url=https://www.airitibooks.com/Detail/Detail?PublicationID=P20181018005</v>
      </c>
    </row>
    <row r="1349" spans="1:11" ht="51" x14ac:dyDescent="0.4">
      <c r="A1349" s="10" t="s">
        <v>9937</v>
      </c>
      <c r="B1349" s="10" t="s">
        <v>9938</v>
      </c>
      <c r="C1349" s="10" t="s">
        <v>938</v>
      </c>
      <c r="D1349" s="10" t="s">
        <v>9939</v>
      </c>
      <c r="E1349" s="10" t="s">
        <v>7391</v>
      </c>
      <c r="F1349" s="10" t="s">
        <v>2871</v>
      </c>
      <c r="G1349" s="10" t="s">
        <v>76</v>
      </c>
      <c r="H1349" s="7" t="s">
        <v>24</v>
      </c>
      <c r="I1349" s="7" t="s">
        <v>25</v>
      </c>
      <c r="J1349" s="13" t="str">
        <f>HYPERLINK("https://www.airitibooks.com/Detail/Detail?PublicationID=P20181026002", "https://www.airitibooks.com/Detail/Detail?PublicationID=P20181026002")</f>
        <v>https://www.airitibooks.com/Detail/Detail?PublicationID=P20181026002</v>
      </c>
      <c r="K1349" s="13" t="str">
        <f>HYPERLINK("https://ntsu.idm.oclc.org/login?url=https://www.airitibooks.com/Detail/Detail?PublicationID=P20181026002", "https://ntsu.idm.oclc.org/login?url=https://www.airitibooks.com/Detail/Detail?PublicationID=P20181026002")</f>
        <v>https://ntsu.idm.oclc.org/login?url=https://www.airitibooks.com/Detail/Detail?PublicationID=P20181026002</v>
      </c>
    </row>
    <row r="1350" spans="1:11" ht="51" x14ac:dyDescent="0.4">
      <c r="A1350" s="10" t="s">
        <v>9973</v>
      </c>
      <c r="B1350" s="10" t="s">
        <v>9974</v>
      </c>
      <c r="C1350" s="10" t="s">
        <v>938</v>
      </c>
      <c r="D1350" s="10" t="s">
        <v>5263</v>
      </c>
      <c r="E1350" s="10" t="s">
        <v>7391</v>
      </c>
      <c r="F1350" s="10" t="s">
        <v>5255</v>
      </c>
      <c r="G1350" s="10" t="s">
        <v>76</v>
      </c>
      <c r="H1350" s="7" t="s">
        <v>24</v>
      </c>
      <c r="I1350" s="7" t="s">
        <v>25</v>
      </c>
      <c r="J1350" s="13" t="str">
        <f>HYPERLINK("https://www.airitibooks.com/Detail/Detail?PublicationID=P20181105001", "https://www.airitibooks.com/Detail/Detail?PublicationID=P20181105001")</f>
        <v>https://www.airitibooks.com/Detail/Detail?PublicationID=P20181105001</v>
      </c>
      <c r="K1350" s="13" t="str">
        <f>HYPERLINK("https://ntsu.idm.oclc.org/login?url=https://www.airitibooks.com/Detail/Detail?PublicationID=P20181105001", "https://ntsu.idm.oclc.org/login?url=https://www.airitibooks.com/Detail/Detail?PublicationID=P20181105001")</f>
        <v>https://ntsu.idm.oclc.org/login?url=https://www.airitibooks.com/Detail/Detail?PublicationID=P20181105001</v>
      </c>
    </row>
    <row r="1351" spans="1:11" ht="68" x14ac:dyDescent="0.4">
      <c r="A1351" s="10" t="s">
        <v>9975</v>
      </c>
      <c r="B1351" s="10" t="s">
        <v>9976</v>
      </c>
      <c r="C1351" s="10" t="s">
        <v>938</v>
      </c>
      <c r="D1351" s="10" t="s">
        <v>5263</v>
      </c>
      <c r="E1351" s="10" t="s">
        <v>7391</v>
      </c>
      <c r="F1351" s="10" t="s">
        <v>5255</v>
      </c>
      <c r="G1351" s="10" t="s">
        <v>76</v>
      </c>
      <c r="H1351" s="7" t="s">
        <v>24</v>
      </c>
      <c r="I1351" s="7" t="s">
        <v>25</v>
      </c>
      <c r="J1351" s="13" t="str">
        <f>HYPERLINK("https://www.airitibooks.com/Detail/Detail?PublicationID=P20181105002", "https://www.airitibooks.com/Detail/Detail?PublicationID=P20181105002")</f>
        <v>https://www.airitibooks.com/Detail/Detail?PublicationID=P20181105002</v>
      </c>
      <c r="K1351" s="13" t="str">
        <f>HYPERLINK("https://ntsu.idm.oclc.org/login?url=https://www.airitibooks.com/Detail/Detail?PublicationID=P20181105002", "https://ntsu.idm.oclc.org/login?url=https://www.airitibooks.com/Detail/Detail?PublicationID=P20181105002")</f>
        <v>https://ntsu.idm.oclc.org/login?url=https://www.airitibooks.com/Detail/Detail?PublicationID=P20181105002</v>
      </c>
    </row>
    <row r="1352" spans="1:11" ht="51" x14ac:dyDescent="0.4">
      <c r="A1352" s="10" t="s">
        <v>9977</v>
      </c>
      <c r="B1352" s="10" t="s">
        <v>9978</v>
      </c>
      <c r="C1352" s="10" t="s">
        <v>938</v>
      </c>
      <c r="D1352" s="10" t="s">
        <v>9979</v>
      </c>
      <c r="E1352" s="10" t="s">
        <v>7391</v>
      </c>
      <c r="F1352" s="10" t="s">
        <v>5255</v>
      </c>
      <c r="G1352" s="10" t="s">
        <v>76</v>
      </c>
      <c r="H1352" s="7" t="s">
        <v>24</v>
      </c>
      <c r="I1352" s="7" t="s">
        <v>25</v>
      </c>
      <c r="J1352" s="13" t="str">
        <f>HYPERLINK("https://www.airitibooks.com/Detail/Detail?PublicationID=P20181105007", "https://www.airitibooks.com/Detail/Detail?PublicationID=P20181105007")</f>
        <v>https://www.airitibooks.com/Detail/Detail?PublicationID=P20181105007</v>
      </c>
      <c r="K1352" s="13" t="str">
        <f>HYPERLINK("https://ntsu.idm.oclc.org/login?url=https://www.airitibooks.com/Detail/Detail?PublicationID=P20181105007", "https://ntsu.idm.oclc.org/login?url=https://www.airitibooks.com/Detail/Detail?PublicationID=P20181105007")</f>
        <v>https://ntsu.idm.oclc.org/login?url=https://www.airitibooks.com/Detail/Detail?PublicationID=P20181105007</v>
      </c>
    </row>
    <row r="1353" spans="1:11" ht="51" x14ac:dyDescent="0.4">
      <c r="A1353" s="10" t="s">
        <v>10002</v>
      </c>
      <c r="B1353" s="10" t="s">
        <v>10003</v>
      </c>
      <c r="C1353" s="10" t="s">
        <v>938</v>
      </c>
      <c r="D1353" s="10" t="s">
        <v>5263</v>
      </c>
      <c r="E1353" s="10" t="s">
        <v>7391</v>
      </c>
      <c r="F1353" s="10" t="s">
        <v>5255</v>
      </c>
      <c r="G1353" s="10" t="s">
        <v>76</v>
      </c>
      <c r="H1353" s="7" t="s">
        <v>24</v>
      </c>
      <c r="I1353" s="7" t="s">
        <v>25</v>
      </c>
      <c r="J1353" s="13" t="str">
        <f>HYPERLINK("https://www.airitibooks.com/Detail/Detail?PublicationID=P20181112001", "https://www.airitibooks.com/Detail/Detail?PublicationID=P20181112001")</f>
        <v>https://www.airitibooks.com/Detail/Detail?PublicationID=P20181112001</v>
      </c>
      <c r="K1353" s="13" t="str">
        <f>HYPERLINK("https://ntsu.idm.oclc.org/login?url=https://www.airitibooks.com/Detail/Detail?PublicationID=P20181112001", "https://ntsu.idm.oclc.org/login?url=https://www.airitibooks.com/Detail/Detail?PublicationID=P20181112001")</f>
        <v>https://ntsu.idm.oclc.org/login?url=https://www.airitibooks.com/Detail/Detail?PublicationID=P20181112001</v>
      </c>
    </row>
    <row r="1354" spans="1:11" ht="51" x14ac:dyDescent="0.4">
      <c r="A1354" s="10" t="s">
        <v>10006</v>
      </c>
      <c r="B1354" s="10" t="s">
        <v>10007</v>
      </c>
      <c r="C1354" s="10" t="s">
        <v>938</v>
      </c>
      <c r="D1354" s="10" t="s">
        <v>10008</v>
      </c>
      <c r="E1354" s="10" t="s">
        <v>7391</v>
      </c>
      <c r="F1354" s="10" t="s">
        <v>5255</v>
      </c>
      <c r="G1354" s="10" t="s">
        <v>76</v>
      </c>
      <c r="H1354" s="7" t="s">
        <v>24</v>
      </c>
      <c r="I1354" s="7" t="s">
        <v>25</v>
      </c>
      <c r="J1354" s="13" t="str">
        <f>HYPERLINK("https://www.airitibooks.com/Detail/Detail?PublicationID=P20181112004", "https://www.airitibooks.com/Detail/Detail?PublicationID=P20181112004")</f>
        <v>https://www.airitibooks.com/Detail/Detail?PublicationID=P20181112004</v>
      </c>
      <c r="K1354" s="13" t="str">
        <f>HYPERLINK("https://ntsu.idm.oclc.org/login?url=https://www.airitibooks.com/Detail/Detail?PublicationID=P20181112004", "https://ntsu.idm.oclc.org/login?url=https://www.airitibooks.com/Detail/Detail?PublicationID=P20181112004")</f>
        <v>https://ntsu.idm.oclc.org/login?url=https://www.airitibooks.com/Detail/Detail?PublicationID=P20181112004</v>
      </c>
    </row>
    <row r="1355" spans="1:11" ht="51" x14ac:dyDescent="0.4">
      <c r="A1355" s="10" t="s">
        <v>10009</v>
      </c>
      <c r="B1355" s="10" t="s">
        <v>10010</v>
      </c>
      <c r="C1355" s="10" t="s">
        <v>938</v>
      </c>
      <c r="D1355" s="10" t="s">
        <v>2487</v>
      </c>
      <c r="E1355" s="10" t="s">
        <v>7391</v>
      </c>
      <c r="F1355" s="10" t="s">
        <v>2488</v>
      </c>
      <c r="G1355" s="10" t="s">
        <v>76</v>
      </c>
      <c r="H1355" s="7" t="s">
        <v>24</v>
      </c>
      <c r="I1355" s="7" t="s">
        <v>25</v>
      </c>
      <c r="J1355" s="13" t="str">
        <f>HYPERLINK("https://www.airitibooks.com/Detail/Detail?PublicationID=P20181112014", "https://www.airitibooks.com/Detail/Detail?PublicationID=P20181112014")</f>
        <v>https://www.airitibooks.com/Detail/Detail?PublicationID=P20181112014</v>
      </c>
      <c r="K1355" s="13" t="str">
        <f>HYPERLINK("https://ntsu.idm.oclc.org/login?url=https://www.airitibooks.com/Detail/Detail?PublicationID=P20181112014", "https://ntsu.idm.oclc.org/login?url=https://www.airitibooks.com/Detail/Detail?PublicationID=P20181112014")</f>
        <v>https://ntsu.idm.oclc.org/login?url=https://www.airitibooks.com/Detail/Detail?PublicationID=P20181112014</v>
      </c>
    </row>
    <row r="1356" spans="1:11" ht="51" x14ac:dyDescent="0.4">
      <c r="A1356" s="10" t="s">
        <v>10091</v>
      </c>
      <c r="B1356" s="10" t="s">
        <v>10092</v>
      </c>
      <c r="C1356" s="10" t="s">
        <v>938</v>
      </c>
      <c r="D1356" s="10" t="s">
        <v>10093</v>
      </c>
      <c r="E1356" s="10" t="s">
        <v>7391</v>
      </c>
      <c r="F1356" s="10" t="s">
        <v>632</v>
      </c>
      <c r="G1356" s="10" t="s">
        <v>76</v>
      </c>
      <c r="H1356" s="7" t="s">
        <v>24</v>
      </c>
      <c r="I1356" s="7" t="s">
        <v>25</v>
      </c>
      <c r="J1356" s="13" t="str">
        <f>HYPERLINK("https://www.airitibooks.com/Detail/Detail?PublicationID=P20181115003", "https://www.airitibooks.com/Detail/Detail?PublicationID=P20181115003")</f>
        <v>https://www.airitibooks.com/Detail/Detail?PublicationID=P20181115003</v>
      </c>
      <c r="K1356" s="13" t="str">
        <f>HYPERLINK("https://ntsu.idm.oclc.org/login?url=https://www.airitibooks.com/Detail/Detail?PublicationID=P20181115003", "https://ntsu.idm.oclc.org/login?url=https://www.airitibooks.com/Detail/Detail?PublicationID=P20181115003")</f>
        <v>https://ntsu.idm.oclc.org/login?url=https://www.airitibooks.com/Detail/Detail?PublicationID=P20181115003</v>
      </c>
    </row>
    <row r="1357" spans="1:11" ht="51" x14ac:dyDescent="0.4">
      <c r="A1357" s="10" t="s">
        <v>10096</v>
      </c>
      <c r="B1357" s="10" t="s">
        <v>10097</v>
      </c>
      <c r="C1357" s="10" t="s">
        <v>938</v>
      </c>
      <c r="D1357" s="10" t="s">
        <v>10098</v>
      </c>
      <c r="E1357" s="10" t="s">
        <v>7391</v>
      </c>
      <c r="F1357" s="10" t="s">
        <v>10099</v>
      </c>
      <c r="G1357" s="10" t="s">
        <v>76</v>
      </c>
      <c r="H1357" s="7" t="s">
        <v>24</v>
      </c>
      <c r="I1357" s="7" t="s">
        <v>25</v>
      </c>
      <c r="J1357" s="13" t="str">
        <f>HYPERLINK("https://www.airitibooks.com/Detail/Detail?PublicationID=P20181115013", "https://www.airitibooks.com/Detail/Detail?PublicationID=P20181115013")</f>
        <v>https://www.airitibooks.com/Detail/Detail?PublicationID=P20181115013</v>
      </c>
      <c r="K1357" s="13" t="str">
        <f>HYPERLINK("https://ntsu.idm.oclc.org/login?url=https://www.airitibooks.com/Detail/Detail?PublicationID=P20181115013", "https://ntsu.idm.oclc.org/login?url=https://www.airitibooks.com/Detail/Detail?PublicationID=P20181115013")</f>
        <v>https://ntsu.idm.oclc.org/login?url=https://www.airitibooks.com/Detail/Detail?PublicationID=P20181115013</v>
      </c>
    </row>
    <row r="1358" spans="1:11" ht="51" x14ac:dyDescent="0.4">
      <c r="A1358" s="10" t="s">
        <v>6592</v>
      </c>
      <c r="B1358" s="10" t="s">
        <v>10105</v>
      </c>
      <c r="C1358" s="10" t="s">
        <v>938</v>
      </c>
      <c r="D1358" s="10" t="s">
        <v>6594</v>
      </c>
      <c r="E1358" s="10" t="s">
        <v>7391</v>
      </c>
      <c r="F1358" s="10" t="s">
        <v>6595</v>
      </c>
      <c r="G1358" s="10" t="s">
        <v>76</v>
      </c>
      <c r="H1358" s="7" t="s">
        <v>24</v>
      </c>
      <c r="I1358" s="7" t="s">
        <v>25</v>
      </c>
      <c r="J1358" s="13" t="str">
        <f>HYPERLINK("https://www.airitibooks.com/Detail/Detail?PublicationID=P20181116003", "https://www.airitibooks.com/Detail/Detail?PublicationID=P20181116003")</f>
        <v>https://www.airitibooks.com/Detail/Detail?PublicationID=P20181116003</v>
      </c>
      <c r="K1358" s="13" t="str">
        <f>HYPERLINK("https://ntsu.idm.oclc.org/login?url=https://www.airitibooks.com/Detail/Detail?PublicationID=P20181116003", "https://ntsu.idm.oclc.org/login?url=https://www.airitibooks.com/Detail/Detail?PublicationID=P20181116003")</f>
        <v>https://ntsu.idm.oclc.org/login?url=https://www.airitibooks.com/Detail/Detail?PublicationID=P20181116003</v>
      </c>
    </row>
    <row r="1359" spans="1:11" ht="51" x14ac:dyDescent="0.4">
      <c r="A1359" s="10" t="s">
        <v>8930</v>
      </c>
      <c r="B1359" s="10" t="s">
        <v>10106</v>
      </c>
      <c r="C1359" s="10" t="s">
        <v>938</v>
      </c>
      <c r="D1359" s="10" t="s">
        <v>8932</v>
      </c>
      <c r="E1359" s="10" t="s">
        <v>7391</v>
      </c>
      <c r="F1359" s="10" t="s">
        <v>774</v>
      </c>
      <c r="G1359" s="10" t="s">
        <v>76</v>
      </c>
      <c r="H1359" s="7" t="s">
        <v>24</v>
      </c>
      <c r="I1359" s="7" t="s">
        <v>25</v>
      </c>
      <c r="J1359" s="13" t="str">
        <f>HYPERLINK("https://www.airitibooks.com/Detail/Detail?PublicationID=P20181116004", "https://www.airitibooks.com/Detail/Detail?PublicationID=P20181116004")</f>
        <v>https://www.airitibooks.com/Detail/Detail?PublicationID=P20181116004</v>
      </c>
      <c r="K1359" s="13" t="str">
        <f>HYPERLINK("https://ntsu.idm.oclc.org/login?url=https://www.airitibooks.com/Detail/Detail?PublicationID=P20181116004", "https://ntsu.idm.oclc.org/login?url=https://www.airitibooks.com/Detail/Detail?PublicationID=P20181116004")</f>
        <v>https://ntsu.idm.oclc.org/login?url=https://www.airitibooks.com/Detail/Detail?PublicationID=P20181116004</v>
      </c>
    </row>
    <row r="1360" spans="1:11" ht="51" x14ac:dyDescent="0.4">
      <c r="A1360" s="10" t="s">
        <v>10107</v>
      </c>
      <c r="B1360" s="10" t="s">
        <v>10108</v>
      </c>
      <c r="C1360" s="10" t="s">
        <v>938</v>
      </c>
      <c r="D1360" s="10" t="s">
        <v>8908</v>
      </c>
      <c r="E1360" s="10" t="s">
        <v>7391</v>
      </c>
      <c r="F1360" s="10" t="s">
        <v>4606</v>
      </c>
      <c r="G1360" s="10" t="s">
        <v>76</v>
      </c>
      <c r="H1360" s="7" t="s">
        <v>24</v>
      </c>
      <c r="I1360" s="7" t="s">
        <v>25</v>
      </c>
      <c r="J1360" s="13" t="str">
        <f>HYPERLINK("https://www.airitibooks.com/Detail/Detail?PublicationID=P20181116005", "https://www.airitibooks.com/Detail/Detail?PublicationID=P20181116005")</f>
        <v>https://www.airitibooks.com/Detail/Detail?PublicationID=P20181116005</v>
      </c>
      <c r="K1360" s="13" t="str">
        <f>HYPERLINK("https://ntsu.idm.oclc.org/login?url=https://www.airitibooks.com/Detail/Detail?PublicationID=P20181116005", "https://ntsu.idm.oclc.org/login?url=https://www.airitibooks.com/Detail/Detail?PublicationID=P20181116005")</f>
        <v>https://ntsu.idm.oclc.org/login?url=https://www.airitibooks.com/Detail/Detail?PublicationID=P20181116005</v>
      </c>
    </row>
    <row r="1361" spans="1:11" ht="51" x14ac:dyDescent="0.4">
      <c r="A1361" s="10" t="s">
        <v>10109</v>
      </c>
      <c r="B1361" s="10" t="s">
        <v>10110</v>
      </c>
      <c r="C1361" s="10" t="s">
        <v>938</v>
      </c>
      <c r="D1361" s="10" t="s">
        <v>8908</v>
      </c>
      <c r="E1361" s="10" t="s">
        <v>7391</v>
      </c>
      <c r="F1361" s="10" t="s">
        <v>4606</v>
      </c>
      <c r="G1361" s="10" t="s">
        <v>76</v>
      </c>
      <c r="H1361" s="7" t="s">
        <v>24</v>
      </c>
      <c r="I1361" s="7" t="s">
        <v>25</v>
      </c>
      <c r="J1361" s="13" t="str">
        <f>HYPERLINK("https://www.airitibooks.com/Detail/Detail?PublicationID=P20181116031", "https://www.airitibooks.com/Detail/Detail?PublicationID=P20181116031")</f>
        <v>https://www.airitibooks.com/Detail/Detail?PublicationID=P20181116031</v>
      </c>
      <c r="K1361" s="13" t="str">
        <f>HYPERLINK("https://ntsu.idm.oclc.org/login?url=https://www.airitibooks.com/Detail/Detail?PublicationID=P20181116031", "https://ntsu.idm.oclc.org/login?url=https://www.airitibooks.com/Detail/Detail?PublicationID=P20181116031")</f>
        <v>https://ntsu.idm.oclc.org/login?url=https://www.airitibooks.com/Detail/Detail?PublicationID=P20181116031</v>
      </c>
    </row>
    <row r="1362" spans="1:11" ht="51" x14ac:dyDescent="0.4">
      <c r="A1362" s="10" t="s">
        <v>10366</v>
      </c>
      <c r="B1362" s="10" t="s">
        <v>10367</v>
      </c>
      <c r="C1362" s="10" t="s">
        <v>1034</v>
      </c>
      <c r="D1362" s="10" t="s">
        <v>4912</v>
      </c>
      <c r="E1362" s="10" t="s">
        <v>7391</v>
      </c>
      <c r="F1362" s="10" t="s">
        <v>2871</v>
      </c>
      <c r="G1362" s="10" t="s">
        <v>76</v>
      </c>
      <c r="H1362" s="7" t="s">
        <v>24</v>
      </c>
      <c r="I1362" s="7" t="s">
        <v>25</v>
      </c>
      <c r="J1362" s="13" t="str">
        <f>HYPERLINK("https://www.airitibooks.com/Detail/Detail?PublicationID=P20181220004", "https://www.airitibooks.com/Detail/Detail?PublicationID=P20181220004")</f>
        <v>https://www.airitibooks.com/Detail/Detail?PublicationID=P20181220004</v>
      </c>
      <c r="K1362" s="13" t="str">
        <f>HYPERLINK("https://ntsu.idm.oclc.org/login?url=https://www.airitibooks.com/Detail/Detail?PublicationID=P20181220004", "https://ntsu.idm.oclc.org/login?url=https://www.airitibooks.com/Detail/Detail?PublicationID=P20181220004")</f>
        <v>https://ntsu.idm.oclc.org/login?url=https://www.airitibooks.com/Detail/Detail?PublicationID=P20181220004</v>
      </c>
    </row>
    <row r="1363" spans="1:11" ht="51" x14ac:dyDescent="0.4">
      <c r="A1363" s="10" t="s">
        <v>10393</v>
      </c>
      <c r="B1363" s="10" t="s">
        <v>10394</v>
      </c>
      <c r="C1363" s="10" t="s">
        <v>938</v>
      </c>
      <c r="D1363" s="10" t="s">
        <v>5861</v>
      </c>
      <c r="E1363" s="10" t="s">
        <v>7391</v>
      </c>
      <c r="F1363" s="10" t="s">
        <v>632</v>
      </c>
      <c r="G1363" s="10" t="s">
        <v>76</v>
      </c>
      <c r="H1363" s="7" t="s">
        <v>24</v>
      </c>
      <c r="I1363" s="7" t="s">
        <v>25</v>
      </c>
      <c r="J1363" s="13" t="str">
        <f>HYPERLINK("https://www.airitibooks.com/Detail/Detail?PublicationID=P20181221001", "https://www.airitibooks.com/Detail/Detail?PublicationID=P20181221001")</f>
        <v>https://www.airitibooks.com/Detail/Detail?PublicationID=P20181221001</v>
      </c>
      <c r="K1363" s="13" t="str">
        <f>HYPERLINK("https://ntsu.idm.oclc.org/login?url=https://www.airitibooks.com/Detail/Detail?PublicationID=P20181221001", "https://ntsu.idm.oclc.org/login?url=https://www.airitibooks.com/Detail/Detail?PublicationID=P20181221001")</f>
        <v>https://ntsu.idm.oclc.org/login?url=https://www.airitibooks.com/Detail/Detail?PublicationID=P20181221001</v>
      </c>
    </row>
    <row r="1364" spans="1:11" ht="68" x14ac:dyDescent="0.4">
      <c r="A1364" s="10" t="s">
        <v>10395</v>
      </c>
      <c r="B1364" s="10" t="s">
        <v>10396</v>
      </c>
      <c r="C1364" s="10" t="s">
        <v>938</v>
      </c>
      <c r="D1364" s="10" t="s">
        <v>6032</v>
      </c>
      <c r="E1364" s="10" t="s">
        <v>7391</v>
      </c>
      <c r="F1364" s="10" t="s">
        <v>632</v>
      </c>
      <c r="G1364" s="10" t="s">
        <v>76</v>
      </c>
      <c r="H1364" s="7" t="s">
        <v>24</v>
      </c>
      <c r="I1364" s="7" t="s">
        <v>25</v>
      </c>
      <c r="J1364" s="13" t="str">
        <f>HYPERLINK("https://www.airitibooks.com/Detail/Detail?PublicationID=P20181221002", "https://www.airitibooks.com/Detail/Detail?PublicationID=P20181221002")</f>
        <v>https://www.airitibooks.com/Detail/Detail?PublicationID=P20181221002</v>
      </c>
      <c r="K1364" s="13" t="str">
        <f>HYPERLINK("https://ntsu.idm.oclc.org/login?url=https://www.airitibooks.com/Detail/Detail?PublicationID=P20181221002", "https://ntsu.idm.oclc.org/login?url=https://www.airitibooks.com/Detail/Detail?PublicationID=P20181221002")</f>
        <v>https://ntsu.idm.oclc.org/login?url=https://www.airitibooks.com/Detail/Detail?PublicationID=P20181221002</v>
      </c>
    </row>
    <row r="1365" spans="1:11" ht="51" x14ac:dyDescent="0.4">
      <c r="A1365" s="10" t="s">
        <v>10399</v>
      </c>
      <c r="B1365" s="10" t="s">
        <v>10400</v>
      </c>
      <c r="C1365" s="10" t="s">
        <v>938</v>
      </c>
      <c r="D1365" s="10" t="s">
        <v>10401</v>
      </c>
      <c r="E1365" s="10" t="s">
        <v>7391</v>
      </c>
      <c r="F1365" s="10" t="s">
        <v>632</v>
      </c>
      <c r="G1365" s="10" t="s">
        <v>76</v>
      </c>
      <c r="H1365" s="7" t="s">
        <v>24</v>
      </c>
      <c r="I1365" s="7" t="s">
        <v>25</v>
      </c>
      <c r="J1365" s="13" t="str">
        <f>HYPERLINK("https://www.airitibooks.com/Detail/Detail?PublicationID=P20181221004", "https://www.airitibooks.com/Detail/Detail?PublicationID=P20181221004")</f>
        <v>https://www.airitibooks.com/Detail/Detail?PublicationID=P20181221004</v>
      </c>
      <c r="K1365" s="13" t="str">
        <f>HYPERLINK("https://ntsu.idm.oclc.org/login?url=https://www.airitibooks.com/Detail/Detail?PublicationID=P20181221004", "https://ntsu.idm.oclc.org/login?url=https://www.airitibooks.com/Detail/Detail?PublicationID=P20181221004")</f>
        <v>https://ntsu.idm.oclc.org/login?url=https://www.airitibooks.com/Detail/Detail?PublicationID=P20181221004</v>
      </c>
    </row>
    <row r="1366" spans="1:11" ht="51" x14ac:dyDescent="0.4">
      <c r="A1366" s="10" t="s">
        <v>10402</v>
      </c>
      <c r="B1366" s="10" t="s">
        <v>10403</v>
      </c>
      <c r="C1366" s="10" t="s">
        <v>938</v>
      </c>
      <c r="D1366" s="10" t="s">
        <v>2487</v>
      </c>
      <c r="E1366" s="10" t="s">
        <v>7391</v>
      </c>
      <c r="F1366" s="10" t="s">
        <v>2874</v>
      </c>
      <c r="G1366" s="10" t="s">
        <v>76</v>
      </c>
      <c r="H1366" s="7" t="s">
        <v>24</v>
      </c>
      <c r="I1366" s="7" t="s">
        <v>25</v>
      </c>
      <c r="J1366" s="13" t="str">
        <f>HYPERLINK("https://www.airitibooks.com/Detail/Detail?PublicationID=P20181221005", "https://www.airitibooks.com/Detail/Detail?PublicationID=P20181221005")</f>
        <v>https://www.airitibooks.com/Detail/Detail?PublicationID=P20181221005</v>
      </c>
      <c r="K1366" s="13" t="str">
        <f>HYPERLINK("https://ntsu.idm.oclc.org/login?url=https://www.airitibooks.com/Detail/Detail?PublicationID=P20181221005", "https://ntsu.idm.oclc.org/login?url=https://www.airitibooks.com/Detail/Detail?PublicationID=P20181221005")</f>
        <v>https://ntsu.idm.oclc.org/login?url=https://www.airitibooks.com/Detail/Detail?PublicationID=P20181221005</v>
      </c>
    </row>
    <row r="1367" spans="1:11" ht="51" x14ac:dyDescent="0.4">
      <c r="A1367" s="10" t="s">
        <v>10404</v>
      </c>
      <c r="B1367" s="10" t="s">
        <v>10405</v>
      </c>
      <c r="C1367" s="10" t="s">
        <v>938</v>
      </c>
      <c r="D1367" s="10" t="s">
        <v>10406</v>
      </c>
      <c r="E1367" s="10" t="s">
        <v>7391</v>
      </c>
      <c r="F1367" s="10" t="s">
        <v>4564</v>
      </c>
      <c r="G1367" s="10" t="s">
        <v>76</v>
      </c>
      <c r="H1367" s="7" t="s">
        <v>24</v>
      </c>
      <c r="I1367" s="7" t="s">
        <v>25</v>
      </c>
      <c r="J1367" s="13" t="str">
        <f>HYPERLINK("https://www.airitibooks.com/Detail/Detail?PublicationID=P20181221006", "https://www.airitibooks.com/Detail/Detail?PublicationID=P20181221006")</f>
        <v>https://www.airitibooks.com/Detail/Detail?PublicationID=P20181221006</v>
      </c>
      <c r="K1367" s="13" t="str">
        <f>HYPERLINK("https://ntsu.idm.oclc.org/login?url=https://www.airitibooks.com/Detail/Detail?PublicationID=P20181221006", "https://ntsu.idm.oclc.org/login?url=https://www.airitibooks.com/Detail/Detail?PublicationID=P20181221006")</f>
        <v>https://ntsu.idm.oclc.org/login?url=https://www.airitibooks.com/Detail/Detail?PublicationID=P20181221006</v>
      </c>
    </row>
    <row r="1368" spans="1:11" ht="51" x14ac:dyDescent="0.4">
      <c r="A1368" s="10" t="s">
        <v>10407</v>
      </c>
      <c r="B1368" s="10" t="s">
        <v>10408</v>
      </c>
      <c r="C1368" s="10" t="s">
        <v>938</v>
      </c>
      <c r="D1368" s="10" t="s">
        <v>10406</v>
      </c>
      <c r="E1368" s="10" t="s">
        <v>7391</v>
      </c>
      <c r="F1368" s="10" t="s">
        <v>4564</v>
      </c>
      <c r="G1368" s="10" t="s">
        <v>76</v>
      </c>
      <c r="H1368" s="7" t="s">
        <v>24</v>
      </c>
      <c r="I1368" s="7" t="s">
        <v>25</v>
      </c>
      <c r="J1368" s="13" t="str">
        <f>HYPERLINK("https://www.airitibooks.com/Detail/Detail?PublicationID=P20181221008", "https://www.airitibooks.com/Detail/Detail?PublicationID=P20181221008")</f>
        <v>https://www.airitibooks.com/Detail/Detail?PublicationID=P20181221008</v>
      </c>
      <c r="K1368" s="13" t="str">
        <f>HYPERLINK("https://ntsu.idm.oclc.org/login?url=https://www.airitibooks.com/Detail/Detail?PublicationID=P20181221008", "https://ntsu.idm.oclc.org/login?url=https://www.airitibooks.com/Detail/Detail?PublicationID=P20181221008")</f>
        <v>https://ntsu.idm.oclc.org/login?url=https://www.airitibooks.com/Detail/Detail?PublicationID=P20181221008</v>
      </c>
    </row>
    <row r="1369" spans="1:11" ht="68" x14ac:dyDescent="0.4">
      <c r="A1369" s="10" t="s">
        <v>10410</v>
      </c>
      <c r="B1369" s="10" t="s">
        <v>10411</v>
      </c>
      <c r="C1369" s="10" t="s">
        <v>938</v>
      </c>
      <c r="D1369" s="10" t="s">
        <v>6032</v>
      </c>
      <c r="E1369" s="10" t="s">
        <v>7391</v>
      </c>
      <c r="F1369" s="10" t="s">
        <v>10412</v>
      </c>
      <c r="G1369" s="10" t="s">
        <v>76</v>
      </c>
      <c r="H1369" s="7" t="s">
        <v>7839</v>
      </c>
      <c r="I1369" s="7" t="s">
        <v>25</v>
      </c>
      <c r="J1369" s="13" t="str">
        <f>HYPERLINK("https://www.airitibooks.com/Detail/Detail?PublicationID=P20181221016", "https://www.airitibooks.com/Detail/Detail?PublicationID=P20181221016")</f>
        <v>https://www.airitibooks.com/Detail/Detail?PublicationID=P20181221016</v>
      </c>
      <c r="K1369" s="13" t="str">
        <f>HYPERLINK("https://ntsu.idm.oclc.org/login?url=https://www.airitibooks.com/Detail/Detail?PublicationID=P20181221016", "https://ntsu.idm.oclc.org/login?url=https://www.airitibooks.com/Detail/Detail?PublicationID=P20181221016")</f>
        <v>https://ntsu.idm.oclc.org/login?url=https://www.airitibooks.com/Detail/Detail?PublicationID=P20181221016</v>
      </c>
    </row>
    <row r="1370" spans="1:11" ht="51" x14ac:dyDescent="0.4">
      <c r="A1370" s="10" t="s">
        <v>10413</v>
      </c>
      <c r="B1370" s="10" t="s">
        <v>10414</v>
      </c>
      <c r="C1370" s="10" t="s">
        <v>938</v>
      </c>
      <c r="D1370" s="10" t="s">
        <v>10415</v>
      </c>
      <c r="E1370" s="10" t="s">
        <v>7391</v>
      </c>
      <c r="F1370" s="10" t="s">
        <v>5277</v>
      </c>
      <c r="G1370" s="10" t="s">
        <v>76</v>
      </c>
      <c r="H1370" s="7" t="s">
        <v>24</v>
      </c>
      <c r="I1370" s="7" t="s">
        <v>25</v>
      </c>
      <c r="J1370" s="13" t="str">
        <f>HYPERLINK("https://www.airitibooks.com/Detail/Detail?PublicationID=P20181221030", "https://www.airitibooks.com/Detail/Detail?PublicationID=P20181221030")</f>
        <v>https://www.airitibooks.com/Detail/Detail?PublicationID=P20181221030</v>
      </c>
      <c r="K1370" s="13" t="str">
        <f>HYPERLINK("https://ntsu.idm.oclc.org/login?url=https://www.airitibooks.com/Detail/Detail?PublicationID=P20181221030", "https://ntsu.idm.oclc.org/login?url=https://www.airitibooks.com/Detail/Detail?PublicationID=P20181221030")</f>
        <v>https://ntsu.idm.oclc.org/login?url=https://www.airitibooks.com/Detail/Detail?PublicationID=P20181221030</v>
      </c>
    </row>
    <row r="1371" spans="1:11" ht="85" x14ac:dyDescent="0.4">
      <c r="A1371" s="10" t="s">
        <v>10416</v>
      </c>
      <c r="B1371" s="10" t="s">
        <v>10417</v>
      </c>
      <c r="C1371" s="10" t="s">
        <v>938</v>
      </c>
      <c r="D1371" s="10" t="s">
        <v>10418</v>
      </c>
      <c r="E1371" s="10" t="s">
        <v>7391</v>
      </c>
      <c r="F1371" s="10" t="s">
        <v>5277</v>
      </c>
      <c r="G1371" s="10" t="s">
        <v>76</v>
      </c>
      <c r="H1371" s="7" t="s">
        <v>24</v>
      </c>
      <c r="I1371" s="7" t="s">
        <v>25</v>
      </c>
      <c r="J1371" s="13" t="str">
        <f>HYPERLINK("https://www.airitibooks.com/Detail/Detail?PublicationID=P20181221031", "https://www.airitibooks.com/Detail/Detail?PublicationID=P20181221031")</f>
        <v>https://www.airitibooks.com/Detail/Detail?PublicationID=P20181221031</v>
      </c>
      <c r="K1371" s="13" t="str">
        <f>HYPERLINK("https://ntsu.idm.oclc.org/login?url=https://www.airitibooks.com/Detail/Detail?PublicationID=P20181221031", "https://ntsu.idm.oclc.org/login?url=https://www.airitibooks.com/Detail/Detail?PublicationID=P20181221031")</f>
        <v>https://ntsu.idm.oclc.org/login?url=https://www.airitibooks.com/Detail/Detail?PublicationID=P20181221031</v>
      </c>
    </row>
    <row r="1372" spans="1:11" ht="51" x14ac:dyDescent="0.4">
      <c r="A1372" s="10" t="s">
        <v>10419</v>
      </c>
      <c r="B1372" s="10" t="s">
        <v>10420</v>
      </c>
      <c r="C1372" s="10" t="s">
        <v>1034</v>
      </c>
      <c r="D1372" s="10" t="s">
        <v>1035</v>
      </c>
      <c r="E1372" s="10" t="s">
        <v>7391</v>
      </c>
      <c r="F1372" s="10" t="s">
        <v>5255</v>
      </c>
      <c r="G1372" s="10" t="s">
        <v>76</v>
      </c>
      <c r="H1372" s="7" t="s">
        <v>24</v>
      </c>
      <c r="I1372" s="7" t="s">
        <v>25</v>
      </c>
      <c r="J1372" s="13" t="str">
        <f>HYPERLINK("https://www.airitibooks.com/Detail/Detail?PublicationID=P20181221049", "https://www.airitibooks.com/Detail/Detail?PublicationID=P20181221049")</f>
        <v>https://www.airitibooks.com/Detail/Detail?PublicationID=P20181221049</v>
      </c>
      <c r="K1372" s="13" t="str">
        <f>HYPERLINK("https://ntsu.idm.oclc.org/login?url=https://www.airitibooks.com/Detail/Detail?PublicationID=P20181221049", "https://ntsu.idm.oclc.org/login?url=https://www.airitibooks.com/Detail/Detail?PublicationID=P20181221049")</f>
        <v>https://ntsu.idm.oclc.org/login?url=https://www.airitibooks.com/Detail/Detail?PublicationID=P20181221049</v>
      </c>
    </row>
    <row r="1373" spans="1:11" ht="51" x14ac:dyDescent="0.4">
      <c r="A1373" s="10" t="s">
        <v>10421</v>
      </c>
      <c r="B1373" s="10" t="s">
        <v>10422</v>
      </c>
      <c r="C1373" s="10" t="s">
        <v>1034</v>
      </c>
      <c r="D1373" s="10" t="s">
        <v>10423</v>
      </c>
      <c r="E1373" s="10" t="s">
        <v>7391</v>
      </c>
      <c r="F1373" s="10" t="s">
        <v>5255</v>
      </c>
      <c r="G1373" s="10" t="s">
        <v>76</v>
      </c>
      <c r="H1373" s="7" t="s">
        <v>24</v>
      </c>
      <c r="I1373" s="7" t="s">
        <v>25</v>
      </c>
      <c r="J1373" s="13" t="str">
        <f>HYPERLINK("https://www.airitibooks.com/Detail/Detail?PublicationID=P20181221050", "https://www.airitibooks.com/Detail/Detail?PublicationID=P20181221050")</f>
        <v>https://www.airitibooks.com/Detail/Detail?PublicationID=P20181221050</v>
      </c>
      <c r="K1373" s="13" t="str">
        <f>HYPERLINK("https://ntsu.idm.oclc.org/login?url=https://www.airitibooks.com/Detail/Detail?PublicationID=P20181221050", "https://ntsu.idm.oclc.org/login?url=https://www.airitibooks.com/Detail/Detail?PublicationID=P20181221050")</f>
        <v>https://ntsu.idm.oclc.org/login?url=https://www.airitibooks.com/Detail/Detail?PublicationID=P20181221050</v>
      </c>
    </row>
    <row r="1374" spans="1:11" ht="85" x14ac:dyDescent="0.4">
      <c r="A1374" s="10" t="s">
        <v>10451</v>
      </c>
      <c r="B1374" s="10" t="s">
        <v>10452</v>
      </c>
      <c r="C1374" s="10" t="s">
        <v>791</v>
      </c>
      <c r="D1374" s="10" t="s">
        <v>3197</v>
      </c>
      <c r="E1374" s="10" t="s">
        <v>7391</v>
      </c>
      <c r="F1374" s="10" t="s">
        <v>1921</v>
      </c>
      <c r="G1374" s="10" t="s">
        <v>76</v>
      </c>
      <c r="H1374" s="7" t="s">
        <v>24</v>
      </c>
      <c r="I1374" s="7" t="s">
        <v>25</v>
      </c>
      <c r="J1374" s="13" t="str">
        <f>HYPERLINK("https://www.airitibooks.com/Detail/Detail?PublicationID=P20181221061", "https://www.airitibooks.com/Detail/Detail?PublicationID=P20181221061")</f>
        <v>https://www.airitibooks.com/Detail/Detail?PublicationID=P20181221061</v>
      </c>
      <c r="K1374" s="13" t="str">
        <f>HYPERLINK("https://ntsu.idm.oclc.org/login?url=https://www.airitibooks.com/Detail/Detail?PublicationID=P20181221061", "https://ntsu.idm.oclc.org/login?url=https://www.airitibooks.com/Detail/Detail?PublicationID=P20181221061")</f>
        <v>https://ntsu.idm.oclc.org/login?url=https://www.airitibooks.com/Detail/Detail?PublicationID=P20181221061</v>
      </c>
    </row>
    <row r="1375" spans="1:11" ht="51" x14ac:dyDescent="0.4">
      <c r="A1375" s="10" t="s">
        <v>10502</v>
      </c>
      <c r="B1375" s="10" t="s">
        <v>10503</v>
      </c>
      <c r="C1375" s="10" t="s">
        <v>1034</v>
      </c>
      <c r="D1375" s="10" t="s">
        <v>10504</v>
      </c>
      <c r="E1375" s="10" t="s">
        <v>7391</v>
      </c>
      <c r="F1375" s="10" t="s">
        <v>5277</v>
      </c>
      <c r="G1375" s="10" t="s">
        <v>76</v>
      </c>
      <c r="H1375" s="7" t="s">
        <v>24</v>
      </c>
      <c r="I1375" s="7" t="s">
        <v>25</v>
      </c>
      <c r="J1375" s="13" t="str">
        <f>HYPERLINK("https://www.airitibooks.com/Detail/Detail?PublicationID=P20181224024", "https://www.airitibooks.com/Detail/Detail?PublicationID=P20181224024")</f>
        <v>https://www.airitibooks.com/Detail/Detail?PublicationID=P20181224024</v>
      </c>
      <c r="K1375" s="13" t="str">
        <f>HYPERLINK("https://ntsu.idm.oclc.org/login?url=https://www.airitibooks.com/Detail/Detail?PublicationID=P20181224024", "https://ntsu.idm.oclc.org/login?url=https://www.airitibooks.com/Detail/Detail?PublicationID=P20181224024")</f>
        <v>https://ntsu.idm.oclc.org/login?url=https://www.airitibooks.com/Detail/Detail?PublicationID=P20181224024</v>
      </c>
    </row>
    <row r="1376" spans="1:11" ht="51" x14ac:dyDescent="0.4">
      <c r="A1376" s="10" t="s">
        <v>10523</v>
      </c>
      <c r="B1376" s="10" t="s">
        <v>10524</v>
      </c>
      <c r="C1376" s="10" t="s">
        <v>1504</v>
      </c>
      <c r="D1376" s="10" t="s">
        <v>10525</v>
      </c>
      <c r="E1376" s="10" t="s">
        <v>7391</v>
      </c>
      <c r="F1376" s="10" t="s">
        <v>10526</v>
      </c>
      <c r="G1376" s="10" t="s">
        <v>76</v>
      </c>
      <c r="H1376" s="7" t="s">
        <v>24</v>
      </c>
      <c r="I1376" s="7" t="s">
        <v>25</v>
      </c>
      <c r="J1376" s="13" t="str">
        <f>HYPERLINK("https://www.airitibooks.com/Detail/Detail?PublicationID=P20181225051", "https://www.airitibooks.com/Detail/Detail?PublicationID=P20181225051")</f>
        <v>https://www.airitibooks.com/Detail/Detail?PublicationID=P20181225051</v>
      </c>
      <c r="K1376" s="13" t="str">
        <f>HYPERLINK("https://ntsu.idm.oclc.org/login?url=https://www.airitibooks.com/Detail/Detail?PublicationID=P20181225051", "https://ntsu.idm.oclc.org/login?url=https://www.airitibooks.com/Detail/Detail?PublicationID=P20181225051")</f>
        <v>https://ntsu.idm.oclc.org/login?url=https://www.airitibooks.com/Detail/Detail?PublicationID=P20181225051</v>
      </c>
    </row>
    <row r="1377" spans="1:11" ht="51" x14ac:dyDescent="0.4">
      <c r="A1377" s="10" t="s">
        <v>10523</v>
      </c>
      <c r="B1377" s="10" t="s">
        <v>10564</v>
      </c>
      <c r="C1377" s="10" t="s">
        <v>1504</v>
      </c>
      <c r="D1377" s="10" t="s">
        <v>10525</v>
      </c>
      <c r="E1377" s="10" t="s">
        <v>7391</v>
      </c>
      <c r="F1377" s="10" t="s">
        <v>10526</v>
      </c>
      <c r="G1377" s="10" t="s">
        <v>76</v>
      </c>
      <c r="H1377" s="7" t="s">
        <v>24</v>
      </c>
      <c r="I1377" s="7" t="s">
        <v>25</v>
      </c>
      <c r="J1377" s="13" t="str">
        <f>HYPERLINK("https://www.airitibooks.com/Detail/Detail?PublicationID=P20181225071", "https://www.airitibooks.com/Detail/Detail?PublicationID=P20181225071")</f>
        <v>https://www.airitibooks.com/Detail/Detail?PublicationID=P20181225071</v>
      </c>
      <c r="K1377" s="13" t="str">
        <f>HYPERLINK("https://ntsu.idm.oclc.org/login?url=https://www.airitibooks.com/Detail/Detail?PublicationID=P20181225071", "https://ntsu.idm.oclc.org/login?url=https://www.airitibooks.com/Detail/Detail?PublicationID=P20181225071")</f>
        <v>https://ntsu.idm.oclc.org/login?url=https://www.airitibooks.com/Detail/Detail?PublicationID=P20181225071</v>
      </c>
    </row>
    <row r="1378" spans="1:11" ht="51" x14ac:dyDescent="0.4">
      <c r="A1378" s="10" t="s">
        <v>10575</v>
      </c>
      <c r="B1378" s="10" t="s">
        <v>10576</v>
      </c>
      <c r="C1378" s="10" t="s">
        <v>9915</v>
      </c>
      <c r="D1378" s="10" t="s">
        <v>10577</v>
      </c>
      <c r="E1378" s="10" t="s">
        <v>7391</v>
      </c>
      <c r="F1378" s="10" t="s">
        <v>9920</v>
      </c>
      <c r="G1378" s="10" t="s">
        <v>76</v>
      </c>
      <c r="H1378" s="7" t="s">
        <v>24</v>
      </c>
      <c r="I1378" s="7" t="s">
        <v>25</v>
      </c>
      <c r="J1378" s="13" t="str">
        <f>HYPERLINK("https://www.airitibooks.com/Detail/Detail?PublicationID=P20181228059", "https://www.airitibooks.com/Detail/Detail?PublicationID=P20181228059")</f>
        <v>https://www.airitibooks.com/Detail/Detail?PublicationID=P20181228059</v>
      </c>
      <c r="K1378" s="13" t="str">
        <f>HYPERLINK("https://ntsu.idm.oclc.org/login?url=https://www.airitibooks.com/Detail/Detail?PublicationID=P20181228059", "https://ntsu.idm.oclc.org/login?url=https://www.airitibooks.com/Detail/Detail?PublicationID=P20181228059")</f>
        <v>https://ntsu.idm.oclc.org/login?url=https://www.airitibooks.com/Detail/Detail?PublicationID=P20181228059</v>
      </c>
    </row>
    <row r="1379" spans="1:11" ht="68" x14ac:dyDescent="0.4">
      <c r="A1379" s="10" t="s">
        <v>10702</v>
      </c>
      <c r="B1379" s="10" t="s">
        <v>10703</v>
      </c>
      <c r="C1379" s="10" t="s">
        <v>10704</v>
      </c>
      <c r="D1379" s="10" t="s">
        <v>10704</v>
      </c>
      <c r="E1379" s="10" t="s">
        <v>7391</v>
      </c>
      <c r="F1379" s="10" t="s">
        <v>5854</v>
      </c>
      <c r="G1379" s="10" t="s">
        <v>76</v>
      </c>
      <c r="H1379" s="7" t="s">
        <v>24</v>
      </c>
      <c r="I1379" s="7" t="s">
        <v>25</v>
      </c>
      <c r="J1379" s="13" t="str">
        <f>HYPERLINK("https://www.airitibooks.com/Detail/Detail?PublicationID=P20190214089", "https://www.airitibooks.com/Detail/Detail?PublicationID=P20190214089")</f>
        <v>https://www.airitibooks.com/Detail/Detail?PublicationID=P20190214089</v>
      </c>
      <c r="K1379" s="13" t="str">
        <f>HYPERLINK("https://ntsu.idm.oclc.org/login?url=https://www.airitibooks.com/Detail/Detail?PublicationID=P20190214089", "https://ntsu.idm.oclc.org/login?url=https://www.airitibooks.com/Detail/Detail?PublicationID=P20190214089")</f>
        <v>https://ntsu.idm.oclc.org/login?url=https://www.airitibooks.com/Detail/Detail?PublicationID=P20190214089</v>
      </c>
    </row>
    <row r="1380" spans="1:11" ht="51" x14ac:dyDescent="0.4">
      <c r="A1380" s="10" t="s">
        <v>10731</v>
      </c>
      <c r="B1380" s="10" t="s">
        <v>10732</v>
      </c>
      <c r="C1380" s="10" t="s">
        <v>1262</v>
      </c>
      <c r="D1380" s="10" t="s">
        <v>10733</v>
      </c>
      <c r="E1380" s="10" t="s">
        <v>7391</v>
      </c>
      <c r="F1380" s="10" t="s">
        <v>10734</v>
      </c>
      <c r="G1380" s="10" t="s">
        <v>76</v>
      </c>
      <c r="H1380" s="7" t="s">
        <v>24</v>
      </c>
      <c r="I1380" s="7" t="s">
        <v>25</v>
      </c>
      <c r="J1380" s="13" t="str">
        <f>HYPERLINK("https://www.airitibooks.com/Detail/Detail?PublicationID=P20190218001", "https://www.airitibooks.com/Detail/Detail?PublicationID=P20190218001")</f>
        <v>https://www.airitibooks.com/Detail/Detail?PublicationID=P20190218001</v>
      </c>
      <c r="K1380" s="13" t="str">
        <f>HYPERLINK("https://ntsu.idm.oclc.org/login?url=https://www.airitibooks.com/Detail/Detail?PublicationID=P20190218001", "https://ntsu.idm.oclc.org/login?url=https://www.airitibooks.com/Detail/Detail?PublicationID=P20190218001")</f>
        <v>https://ntsu.idm.oclc.org/login?url=https://www.airitibooks.com/Detail/Detail?PublicationID=P20190218001</v>
      </c>
    </row>
    <row r="1381" spans="1:11" ht="51" x14ac:dyDescent="0.4">
      <c r="A1381" s="10" t="s">
        <v>10740</v>
      </c>
      <c r="B1381" s="10" t="s">
        <v>10741</v>
      </c>
      <c r="C1381" s="10" t="s">
        <v>938</v>
      </c>
      <c r="D1381" s="10" t="s">
        <v>4025</v>
      </c>
      <c r="E1381" s="10" t="s">
        <v>7391</v>
      </c>
      <c r="F1381" s="10" t="s">
        <v>8193</v>
      </c>
      <c r="G1381" s="10" t="s">
        <v>76</v>
      </c>
      <c r="H1381" s="7" t="s">
        <v>24</v>
      </c>
      <c r="I1381" s="7" t="s">
        <v>25</v>
      </c>
      <c r="J1381" s="13" t="str">
        <f>HYPERLINK("https://www.airitibooks.com/Detail/Detail?PublicationID=P20190218014", "https://www.airitibooks.com/Detail/Detail?PublicationID=P20190218014")</f>
        <v>https://www.airitibooks.com/Detail/Detail?PublicationID=P20190218014</v>
      </c>
      <c r="K1381" s="13" t="str">
        <f>HYPERLINK("https://ntsu.idm.oclc.org/login?url=https://www.airitibooks.com/Detail/Detail?PublicationID=P20190218014", "https://ntsu.idm.oclc.org/login?url=https://www.airitibooks.com/Detail/Detail?PublicationID=P20190218014")</f>
        <v>https://ntsu.idm.oclc.org/login?url=https://www.airitibooks.com/Detail/Detail?PublicationID=P20190218014</v>
      </c>
    </row>
    <row r="1382" spans="1:11" ht="51" x14ac:dyDescent="0.4">
      <c r="A1382" s="10" t="s">
        <v>10749</v>
      </c>
      <c r="B1382" s="10" t="s">
        <v>10750</v>
      </c>
      <c r="C1382" s="10" t="s">
        <v>938</v>
      </c>
      <c r="D1382" s="10" t="s">
        <v>4563</v>
      </c>
      <c r="E1382" s="10" t="s">
        <v>7391</v>
      </c>
      <c r="F1382" s="10" t="s">
        <v>5299</v>
      </c>
      <c r="G1382" s="10" t="s">
        <v>76</v>
      </c>
      <c r="H1382" s="7" t="s">
        <v>24</v>
      </c>
      <c r="I1382" s="7" t="s">
        <v>25</v>
      </c>
      <c r="J1382" s="13" t="str">
        <f>HYPERLINK("https://www.airitibooks.com/Detail/Detail?PublicationID=P20190218035", "https://www.airitibooks.com/Detail/Detail?PublicationID=P20190218035")</f>
        <v>https://www.airitibooks.com/Detail/Detail?PublicationID=P20190218035</v>
      </c>
      <c r="K1382" s="13" t="str">
        <f>HYPERLINK("https://ntsu.idm.oclc.org/login?url=https://www.airitibooks.com/Detail/Detail?PublicationID=P20190218035", "https://ntsu.idm.oclc.org/login?url=https://www.airitibooks.com/Detail/Detail?PublicationID=P20190218035")</f>
        <v>https://ntsu.idm.oclc.org/login?url=https://www.airitibooks.com/Detail/Detail?PublicationID=P20190218035</v>
      </c>
    </row>
    <row r="1383" spans="1:11" ht="68" x14ac:dyDescent="0.4">
      <c r="A1383" s="10" t="s">
        <v>10929</v>
      </c>
      <c r="B1383" s="10" t="s">
        <v>10930</v>
      </c>
      <c r="C1383" s="10" t="s">
        <v>1067</v>
      </c>
      <c r="D1383" s="10" t="s">
        <v>10931</v>
      </c>
      <c r="E1383" s="10" t="s">
        <v>7391</v>
      </c>
      <c r="F1383" s="10" t="s">
        <v>6225</v>
      </c>
      <c r="G1383" s="10" t="s">
        <v>76</v>
      </c>
      <c r="H1383" s="7" t="s">
        <v>24</v>
      </c>
      <c r="I1383" s="7" t="s">
        <v>25</v>
      </c>
      <c r="J1383" s="13" t="str">
        <f>HYPERLINK("https://www.airitibooks.com/Detail/Detail?PublicationID=P20190322043", "https://www.airitibooks.com/Detail/Detail?PublicationID=P20190322043")</f>
        <v>https://www.airitibooks.com/Detail/Detail?PublicationID=P20190322043</v>
      </c>
      <c r="K1383" s="13" t="str">
        <f>HYPERLINK("https://ntsu.idm.oclc.org/login?url=https://www.airitibooks.com/Detail/Detail?PublicationID=P20190322043", "https://ntsu.idm.oclc.org/login?url=https://www.airitibooks.com/Detail/Detail?PublicationID=P20190322043")</f>
        <v>https://ntsu.idm.oclc.org/login?url=https://www.airitibooks.com/Detail/Detail?PublicationID=P20190322043</v>
      </c>
    </row>
    <row r="1384" spans="1:11" ht="51" x14ac:dyDescent="0.4">
      <c r="A1384" s="10" t="s">
        <v>10940</v>
      </c>
      <c r="B1384" s="10" t="s">
        <v>10941</v>
      </c>
      <c r="C1384" s="10" t="s">
        <v>10942</v>
      </c>
      <c r="D1384" s="10" t="s">
        <v>10943</v>
      </c>
      <c r="E1384" s="10" t="s">
        <v>7391</v>
      </c>
      <c r="F1384" s="10" t="s">
        <v>2313</v>
      </c>
      <c r="G1384" s="10" t="s">
        <v>76</v>
      </c>
      <c r="H1384" s="7" t="s">
        <v>24</v>
      </c>
      <c r="I1384" s="7" t="s">
        <v>25</v>
      </c>
      <c r="J1384" s="13" t="str">
        <f>HYPERLINK("https://www.airitibooks.com/Detail/Detail?PublicationID=P20190322090", "https://www.airitibooks.com/Detail/Detail?PublicationID=P20190322090")</f>
        <v>https://www.airitibooks.com/Detail/Detail?PublicationID=P20190322090</v>
      </c>
      <c r="K1384" s="13" t="str">
        <f>HYPERLINK("https://ntsu.idm.oclc.org/login?url=https://www.airitibooks.com/Detail/Detail?PublicationID=P20190322090", "https://ntsu.idm.oclc.org/login?url=https://www.airitibooks.com/Detail/Detail?PublicationID=P20190322090")</f>
        <v>https://ntsu.idm.oclc.org/login?url=https://www.airitibooks.com/Detail/Detail?PublicationID=P20190322090</v>
      </c>
    </row>
    <row r="1385" spans="1:11" ht="51" x14ac:dyDescent="0.4">
      <c r="A1385" s="10" t="s">
        <v>10969</v>
      </c>
      <c r="B1385" s="10" t="s">
        <v>10970</v>
      </c>
      <c r="C1385" s="10" t="s">
        <v>10921</v>
      </c>
      <c r="D1385" s="10" t="s">
        <v>10971</v>
      </c>
      <c r="E1385" s="10" t="s">
        <v>7391</v>
      </c>
      <c r="F1385" s="10" t="s">
        <v>7422</v>
      </c>
      <c r="G1385" s="10" t="s">
        <v>76</v>
      </c>
      <c r="H1385" s="7" t="s">
        <v>24</v>
      </c>
      <c r="I1385" s="7" t="s">
        <v>25</v>
      </c>
      <c r="J1385" s="13" t="str">
        <f>HYPERLINK("https://www.airitibooks.com/Detail/Detail?PublicationID=P20190322299", "https://www.airitibooks.com/Detail/Detail?PublicationID=P20190322299")</f>
        <v>https://www.airitibooks.com/Detail/Detail?PublicationID=P20190322299</v>
      </c>
      <c r="K1385" s="13" t="str">
        <f>HYPERLINK("https://ntsu.idm.oclc.org/login?url=https://www.airitibooks.com/Detail/Detail?PublicationID=P20190322299", "https://ntsu.idm.oclc.org/login?url=https://www.airitibooks.com/Detail/Detail?PublicationID=P20190322299")</f>
        <v>https://ntsu.idm.oclc.org/login?url=https://www.airitibooks.com/Detail/Detail?PublicationID=P20190322299</v>
      </c>
    </row>
    <row r="1386" spans="1:11" ht="51" x14ac:dyDescent="0.4">
      <c r="A1386" s="10" t="s">
        <v>11030</v>
      </c>
      <c r="B1386" s="10" t="s">
        <v>11031</v>
      </c>
      <c r="C1386" s="10" t="s">
        <v>3705</v>
      </c>
      <c r="D1386" s="10" t="s">
        <v>9199</v>
      </c>
      <c r="E1386" s="10" t="s">
        <v>7391</v>
      </c>
      <c r="F1386" s="10" t="s">
        <v>2038</v>
      </c>
      <c r="G1386" s="10" t="s">
        <v>76</v>
      </c>
      <c r="H1386" s="7" t="s">
        <v>24</v>
      </c>
      <c r="I1386" s="7" t="s">
        <v>25</v>
      </c>
      <c r="J1386" s="13" t="str">
        <f>HYPERLINK("https://www.airitibooks.com/Detail/Detail?PublicationID=P20190412044", "https://www.airitibooks.com/Detail/Detail?PublicationID=P20190412044")</f>
        <v>https://www.airitibooks.com/Detail/Detail?PublicationID=P20190412044</v>
      </c>
      <c r="K1386" s="13" t="str">
        <f>HYPERLINK("https://ntsu.idm.oclc.org/login?url=https://www.airitibooks.com/Detail/Detail?PublicationID=P20190412044", "https://ntsu.idm.oclc.org/login?url=https://www.airitibooks.com/Detail/Detail?PublicationID=P20190412044")</f>
        <v>https://ntsu.idm.oclc.org/login?url=https://www.airitibooks.com/Detail/Detail?PublicationID=P20190412044</v>
      </c>
    </row>
    <row r="1387" spans="1:11" ht="51" x14ac:dyDescent="0.4">
      <c r="A1387" s="10" t="s">
        <v>11097</v>
      </c>
      <c r="B1387" s="10" t="s">
        <v>11098</v>
      </c>
      <c r="C1387" s="10" t="s">
        <v>9828</v>
      </c>
      <c r="D1387" s="10" t="s">
        <v>11099</v>
      </c>
      <c r="E1387" s="10" t="s">
        <v>7391</v>
      </c>
      <c r="F1387" s="10" t="s">
        <v>2898</v>
      </c>
      <c r="G1387" s="10" t="s">
        <v>76</v>
      </c>
      <c r="H1387" s="7" t="s">
        <v>1031</v>
      </c>
      <c r="I1387" s="7" t="s">
        <v>25</v>
      </c>
      <c r="J1387" s="13" t="str">
        <f>HYPERLINK("https://www.airitibooks.com/Detail/Detail?PublicationID=P20190423004", "https://www.airitibooks.com/Detail/Detail?PublicationID=P20190423004")</f>
        <v>https://www.airitibooks.com/Detail/Detail?PublicationID=P20190423004</v>
      </c>
      <c r="K1387" s="13" t="str">
        <f>HYPERLINK("https://ntsu.idm.oclc.org/login?url=https://www.airitibooks.com/Detail/Detail?PublicationID=P20190423004", "https://ntsu.idm.oclc.org/login?url=https://www.airitibooks.com/Detail/Detail?PublicationID=P20190423004")</f>
        <v>https://ntsu.idm.oclc.org/login?url=https://www.airitibooks.com/Detail/Detail?PublicationID=P20190423004</v>
      </c>
    </row>
    <row r="1388" spans="1:11" ht="51" x14ac:dyDescent="0.4">
      <c r="A1388" s="10" t="s">
        <v>11100</v>
      </c>
      <c r="B1388" s="10" t="s">
        <v>11101</v>
      </c>
      <c r="C1388" s="10" t="s">
        <v>9828</v>
      </c>
      <c r="D1388" s="10" t="s">
        <v>11102</v>
      </c>
      <c r="E1388" s="10" t="s">
        <v>7391</v>
      </c>
      <c r="F1388" s="10" t="s">
        <v>2332</v>
      </c>
      <c r="G1388" s="10" t="s">
        <v>76</v>
      </c>
      <c r="H1388" s="7" t="s">
        <v>1031</v>
      </c>
      <c r="I1388" s="7" t="s">
        <v>25</v>
      </c>
      <c r="J1388" s="13" t="str">
        <f>HYPERLINK("https://www.airitibooks.com/Detail/Detail?PublicationID=P20190423007", "https://www.airitibooks.com/Detail/Detail?PublicationID=P20190423007")</f>
        <v>https://www.airitibooks.com/Detail/Detail?PublicationID=P20190423007</v>
      </c>
      <c r="K1388" s="13" t="str">
        <f>HYPERLINK("https://ntsu.idm.oclc.org/login?url=https://www.airitibooks.com/Detail/Detail?PublicationID=P20190423007", "https://ntsu.idm.oclc.org/login?url=https://www.airitibooks.com/Detail/Detail?PublicationID=P20190423007")</f>
        <v>https://ntsu.idm.oclc.org/login?url=https://www.airitibooks.com/Detail/Detail?PublicationID=P20190423007</v>
      </c>
    </row>
    <row r="1389" spans="1:11" ht="51" x14ac:dyDescent="0.4">
      <c r="A1389" s="10" t="s">
        <v>11103</v>
      </c>
      <c r="B1389" s="10" t="s">
        <v>11104</v>
      </c>
      <c r="C1389" s="10" t="s">
        <v>9828</v>
      </c>
      <c r="D1389" s="10" t="s">
        <v>11105</v>
      </c>
      <c r="E1389" s="10" t="s">
        <v>7391</v>
      </c>
      <c r="F1389" s="10" t="s">
        <v>7551</v>
      </c>
      <c r="G1389" s="10" t="s">
        <v>76</v>
      </c>
      <c r="H1389" s="7" t="s">
        <v>1031</v>
      </c>
      <c r="I1389" s="7" t="s">
        <v>25</v>
      </c>
      <c r="J1389" s="13" t="str">
        <f>HYPERLINK("https://www.airitibooks.com/Detail/Detail?PublicationID=P20190423008", "https://www.airitibooks.com/Detail/Detail?PublicationID=P20190423008")</f>
        <v>https://www.airitibooks.com/Detail/Detail?PublicationID=P20190423008</v>
      </c>
      <c r="K1389" s="13" t="str">
        <f>HYPERLINK("https://ntsu.idm.oclc.org/login?url=https://www.airitibooks.com/Detail/Detail?PublicationID=P20190423008", "https://ntsu.idm.oclc.org/login?url=https://www.airitibooks.com/Detail/Detail?PublicationID=P20190423008")</f>
        <v>https://ntsu.idm.oclc.org/login?url=https://www.airitibooks.com/Detail/Detail?PublicationID=P20190423008</v>
      </c>
    </row>
    <row r="1390" spans="1:11" ht="68" x14ac:dyDescent="0.4">
      <c r="A1390" s="10" t="s">
        <v>11106</v>
      </c>
      <c r="B1390" s="10" t="s">
        <v>11107</v>
      </c>
      <c r="C1390" s="10" t="s">
        <v>9828</v>
      </c>
      <c r="D1390" s="10" t="s">
        <v>11108</v>
      </c>
      <c r="E1390" s="10" t="s">
        <v>7391</v>
      </c>
      <c r="F1390" s="10" t="s">
        <v>11109</v>
      </c>
      <c r="G1390" s="10" t="s">
        <v>76</v>
      </c>
      <c r="H1390" s="7" t="s">
        <v>1031</v>
      </c>
      <c r="I1390" s="7" t="s">
        <v>25</v>
      </c>
      <c r="J1390" s="13" t="str">
        <f>HYPERLINK("https://www.airitibooks.com/Detail/Detail?PublicationID=P20190423012", "https://www.airitibooks.com/Detail/Detail?PublicationID=P20190423012")</f>
        <v>https://www.airitibooks.com/Detail/Detail?PublicationID=P20190423012</v>
      </c>
      <c r="K1390" s="13" t="str">
        <f>HYPERLINK("https://ntsu.idm.oclc.org/login?url=https://www.airitibooks.com/Detail/Detail?PublicationID=P20190423012", "https://ntsu.idm.oclc.org/login?url=https://www.airitibooks.com/Detail/Detail?PublicationID=P20190423012")</f>
        <v>https://ntsu.idm.oclc.org/login?url=https://www.airitibooks.com/Detail/Detail?PublicationID=P20190423012</v>
      </c>
    </row>
    <row r="1391" spans="1:11" ht="51" x14ac:dyDescent="0.4">
      <c r="A1391" s="10" t="s">
        <v>11110</v>
      </c>
      <c r="B1391" s="10" t="s">
        <v>11111</v>
      </c>
      <c r="C1391" s="10" t="s">
        <v>9828</v>
      </c>
      <c r="D1391" s="10" t="s">
        <v>11112</v>
      </c>
      <c r="E1391" s="10" t="s">
        <v>7391</v>
      </c>
      <c r="F1391" s="10" t="s">
        <v>2313</v>
      </c>
      <c r="G1391" s="10" t="s">
        <v>76</v>
      </c>
      <c r="H1391" s="7" t="s">
        <v>1031</v>
      </c>
      <c r="I1391" s="7" t="s">
        <v>25</v>
      </c>
      <c r="J1391" s="13" t="str">
        <f>HYPERLINK("https://www.airitibooks.com/Detail/Detail?PublicationID=P20190423013", "https://www.airitibooks.com/Detail/Detail?PublicationID=P20190423013")</f>
        <v>https://www.airitibooks.com/Detail/Detail?PublicationID=P20190423013</v>
      </c>
      <c r="K1391" s="13" t="str">
        <f>HYPERLINK("https://ntsu.idm.oclc.org/login?url=https://www.airitibooks.com/Detail/Detail?PublicationID=P20190423013", "https://ntsu.idm.oclc.org/login?url=https://www.airitibooks.com/Detail/Detail?PublicationID=P20190423013")</f>
        <v>https://ntsu.idm.oclc.org/login?url=https://www.airitibooks.com/Detail/Detail?PublicationID=P20190423013</v>
      </c>
    </row>
    <row r="1392" spans="1:11" ht="68" x14ac:dyDescent="0.4">
      <c r="A1392" s="10" t="s">
        <v>11119</v>
      </c>
      <c r="B1392" s="10" t="s">
        <v>11120</v>
      </c>
      <c r="C1392" s="10" t="s">
        <v>9828</v>
      </c>
      <c r="D1392" s="10" t="s">
        <v>11121</v>
      </c>
      <c r="E1392" s="10" t="s">
        <v>7391</v>
      </c>
      <c r="F1392" s="10" t="s">
        <v>2871</v>
      </c>
      <c r="G1392" s="10" t="s">
        <v>76</v>
      </c>
      <c r="H1392" s="7" t="s">
        <v>1031</v>
      </c>
      <c r="I1392" s="7" t="s">
        <v>25</v>
      </c>
      <c r="J1392" s="13" t="str">
        <f>HYPERLINK("https://www.airitibooks.com/Detail/Detail?PublicationID=P20190423021", "https://www.airitibooks.com/Detail/Detail?PublicationID=P20190423021")</f>
        <v>https://www.airitibooks.com/Detail/Detail?PublicationID=P20190423021</v>
      </c>
      <c r="K1392" s="13" t="str">
        <f>HYPERLINK("https://ntsu.idm.oclc.org/login?url=https://www.airitibooks.com/Detail/Detail?PublicationID=P20190423021", "https://ntsu.idm.oclc.org/login?url=https://www.airitibooks.com/Detail/Detail?PublicationID=P20190423021")</f>
        <v>https://ntsu.idm.oclc.org/login?url=https://www.airitibooks.com/Detail/Detail?PublicationID=P20190423021</v>
      </c>
    </row>
    <row r="1393" spans="1:11" ht="51" x14ac:dyDescent="0.4">
      <c r="A1393" s="10" t="s">
        <v>11144</v>
      </c>
      <c r="B1393" s="10" t="s">
        <v>11145</v>
      </c>
      <c r="C1393" s="10" t="s">
        <v>990</v>
      </c>
      <c r="D1393" s="10" t="s">
        <v>11146</v>
      </c>
      <c r="E1393" s="10" t="s">
        <v>7391</v>
      </c>
      <c r="F1393" s="10" t="s">
        <v>580</v>
      </c>
      <c r="G1393" s="10" t="s">
        <v>76</v>
      </c>
      <c r="H1393" s="7" t="s">
        <v>24</v>
      </c>
      <c r="I1393" s="7" t="s">
        <v>25</v>
      </c>
      <c r="J1393" s="13" t="str">
        <f>HYPERLINK("https://www.airitibooks.com/Detail/Detail?PublicationID=P20190425006", "https://www.airitibooks.com/Detail/Detail?PublicationID=P20190425006")</f>
        <v>https://www.airitibooks.com/Detail/Detail?PublicationID=P20190425006</v>
      </c>
      <c r="K1393" s="13" t="str">
        <f>HYPERLINK("https://ntsu.idm.oclc.org/login?url=https://www.airitibooks.com/Detail/Detail?PublicationID=P20190425006", "https://ntsu.idm.oclc.org/login?url=https://www.airitibooks.com/Detail/Detail?PublicationID=P20190425006")</f>
        <v>https://ntsu.idm.oclc.org/login?url=https://www.airitibooks.com/Detail/Detail?PublicationID=P20190425006</v>
      </c>
    </row>
    <row r="1394" spans="1:11" ht="51" x14ac:dyDescent="0.4">
      <c r="A1394" s="10" t="s">
        <v>11204</v>
      </c>
      <c r="B1394" s="10" t="s">
        <v>11205</v>
      </c>
      <c r="C1394" s="10" t="s">
        <v>11191</v>
      </c>
      <c r="D1394" s="10" t="s">
        <v>11206</v>
      </c>
      <c r="E1394" s="10" t="s">
        <v>7391</v>
      </c>
      <c r="F1394" s="10" t="s">
        <v>11207</v>
      </c>
      <c r="G1394" s="10" t="s">
        <v>76</v>
      </c>
      <c r="H1394" s="7" t="s">
        <v>24</v>
      </c>
      <c r="I1394" s="7" t="s">
        <v>25</v>
      </c>
      <c r="J1394" s="13" t="str">
        <f>HYPERLINK("https://www.airitibooks.com/Detail/Detail?PublicationID=P20190425131", "https://www.airitibooks.com/Detail/Detail?PublicationID=P20190425131")</f>
        <v>https://www.airitibooks.com/Detail/Detail?PublicationID=P20190425131</v>
      </c>
      <c r="K1394" s="13" t="str">
        <f>HYPERLINK("https://ntsu.idm.oclc.org/login?url=https://www.airitibooks.com/Detail/Detail?PublicationID=P20190425131", "https://ntsu.idm.oclc.org/login?url=https://www.airitibooks.com/Detail/Detail?PublicationID=P20190425131")</f>
        <v>https://ntsu.idm.oclc.org/login?url=https://www.airitibooks.com/Detail/Detail?PublicationID=P20190425131</v>
      </c>
    </row>
    <row r="1395" spans="1:11" ht="51" x14ac:dyDescent="0.4">
      <c r="A1395" s="10" t="s">
        <v>11352</v>
      </c>
      <c r="B1395" s="10" t="s">
        <v>11353</v>
      </c>
      <c r="C1395" s="10" t="s">
        <v>9828</v>
      </c>
      <c r="D1395" s="10" t="s">
        <v>11354</v>
      </c>
      <c r="E1395" s="10" t="s">
        <v>7391</v>
      </c>
      <c r="F1395" s="10" t="s">
        <v>2332</v>
      </c>
      <c r="G1395" s="10" t="s">
        <v>76</v>
      </c>
      <c r="H1395" s="7" t="s">
        <v>1031</v>
      </c>
      <c r="I1395" s="7" t="s">
        <v>25</v>
      </c>
      <c r="J1395" s="13" t="str">
        <f>HYPERLINK("https://www.airitibooks.com/Detail/Detail?PublicationID=P20190517064", "https://www.airitibooks.com/Detail/Detail?PublicationID=P20190517064")</f>
        <v>https://www.airitibooks.com/Detail/Detail?PublicationID=P20190517064</v>
      </c>
      <c r="K1395" s="13" t="str">
        <f>HYPERLINK("https://ntsu.idm.oclc.org/login?url=https://www.airitibooks.com/Detail/Detail?PublicationID=P20190517064", "https://ntsu.idm.oclc.org/login?url=https://www.airitibooks.com/Detail/Detail?PublicationID=P20190517064")</f>
        <v>https://ntsu.idm.oclc.org/login?url=https://www.airitibooks.com/Detail/Detail?PublicationID=P20190517064</v>
      </c>
    </row>
    <row r="1396" spans="1:11" ht="51" x14ac:dyDescent="0.4">
      <c r="A1396" s="10" t="s">
        <v>11361</v>
      </c>
      <c r="B1396" s="10" t="s">
        <v>11362</v>
      </c>
      <c r="C1396" s="10" t="s">
        <v>9828</v>
      </c>
      <c r="D1396" s="10" t="s">
        <v>11363</v>
      </c>
      <c r="E1396" s="10" t="s">
        <v>7391</v>
      </c>
      <c r="F1396" s="10" t="s">
        <v>9821</v>
      </c>
      <c r="G1396" s="10" t="s">
        <v>76</v>
      </c>
      <c r="H1396" s="7" t="s">
        <v>1031</v>
      </c>
      <c r="I1396" s="7" t="s">
        <v>25</v>
      </c>
      <c r="J1396" s="13" t="str">
        <f>HYPERLINK("https://www.airitibooks.com/Detail/Detail?PublicationID=P20190517067", "https://www.airitibooks.com/Detail/Detail?PublicationID=P20190517067")</f>
        <v>https://www.airitibooks.com/Detail/Detail?PublicationID=P20190517067</v>
      </c>
      <c r="K1396" s="13" t="str">
        <f>HYPERLINK("https://ntsu.idm.oclc.org/login?url=https://www.airitibooks.com/Detail/Detail?PublicationID=P20190517067", "https://ntsu.idm.oclc.org/login?url=https://www.airitibooks.com/Detail/Detail?PublicationID=P20190517067")</f>
        <v>https://ntsu.idm.oclc.org/login?url=https://www.airitibooks.com/Detail/Detail?PublicationID=P20190517067</v>
      </c>
    </row>
    <row r="1397" spans="1:11" ht="85" x14ac:dyDescent="0.4">
      <c r="A1397" s="10" t="s">
        <v>11372</v>
      </c>
      <c r="B1397" s="10" t="s">
        <v>11373</v>
      </c>
      <c r="C1397" s="10" t="s">
        <v>9828</v>
      </c>
      <c r="D1397" s="10" t="s">
        <v>11374</v>
      </c>
      <c r="E1397" s="10" t="s">
        <v>7391</v>
      </c>
      <c r="F1397" s="10" t="s">
        <v>9821</v>
      </c>
      <c r="G1397" s="10" t="s">
        <v>76</v>
      </c>
      <c r="H1397" s="7" t="s">
        <v>1031</v>
      </c>
      <c r="I1397" s="7" t="s">
        <v>25</v>
      </c>
      <c r="J1397" s="13" t="str">
        <f>HYPERLINK("https://www.airitibooks.com/Detail/Detail?PublicationID=P20190517071", "https://www.airitibooks.com/Detail/Detail?PublicationID=P20190517071")</f>
        <v>https://www.airitibooks.com/Detail/Detail?PublicationID=P20190517071</v>
      </c>
      <c r="K1397" s="13" t="str">
        <f>HYPERLINK("https://ntsu.idm.oclc.org/login?url=https://www.airitibooks.com/Detail/Detail?PublicationID=P20190517071", "https://ntsu.idm.oclc.org/login?url=https://www.airitibooks.com/Detail/Detail?PublicationID=P20190517071")</f>
        <v>https://ntsu.idm.oclc.org/login?url=https://www.airitibooks.com/Detail/Detail?PublicationID=P20190517071</v>
      </c>
    </row>
    <row r="1398" spans="1:11" ht="51" x14ac:dyDescent="0.4">
      <c r="A1398" s="10" t="s">
        <v>11391</v>
      </c>
      <c r="B1398" s="10" t="s">
        <v>11392</v>
      </c>
      <c r="C1398" s="10" t="s">
        <v>9828</v>
      </c>
      <c r="D1398" s="10" t="s">
        <v>11393</v>
      </c>
      <c r="E1398" s="10" t="s">
        <v>7391</v>
      </c>
      <c r="F1398" s="10" t="s">
        <v>10020</v>
      </c>
      <c r="G1398" s="10" t="s">
        <v>76</v>
      </c>
      <c r="H1398" s="7" t="s">
        <v>1031</v>
      </c>
      <c r="I1398" s="7" t="s">
        <v>25</v>
      </c>
      <c r="J1398" s="13" t="str">
        <f>HYPERLINK("https://www.airitibooks.com/Detail/Detail?PublicationID=P20190521003", "https://www.airitibooks.com/Detail/Detail?PublicationID=P20190521003")</f>
        <v>https://www.airitibooks.com/Detail/Detail?PublicationID=P20190521003</v>
      </c>
      <c r="K1398" s="13" t="str">
        <f>HYPERLINK("https://ntsu.idm.oclc.org/login?url=https://www.airitibooks.com/Detail/Detail?PublicationID=P20190521003", "https://ntsu.idm.oclc.org/login?url=https://www.airitibooks.com/Detail/Detail?PublicationID=P20190521003")</f>
        <v>https://ntsu.idm.oclc.org/login?url=https://www.airitibooks.com/Detail/Detail?PublicationID=P20190521003</v>
      </c>
    </row>
    <row r="1399" spans="1:11" ht="51" x14ac:dyDescent="0.4">
      <c r="A1399" s="10" t="s">
        <v>11397</v>
      </c>
      <c r="B1399" s="10" t="s">
        <v>11398</v>
      </c>
      <c r="C1399" s="10" t="s">
        <v>9828</v>
      </c>
      <c r="D1399" s="10" t="s">
        <v>11399</v>
      </c>
      <c r="E1399" s="10" t="s">
        <v>7391</v>
      </c>
      <c r="F1399" s="10" t="s">
        <v>10336</v>
      </c>
      <c r="G1399" s="10" t="s">
        <v>76</v>
      </c>
      <c r="H1399" s="7" t="s">
        <v>1031</v>
      </c>
      <c r="I1399" s="7" t="s">
        <v>25</v>
      </c>
      <c r="J1399" s="13" t="str">
        <f>HYPERLINK("https://www.airitibooks.com/Detail/Detail?PublicationID=P20190521005", "https://www.airitibooks.com/Detail/Detail?PublicationID=P20190521005")</f>
        <v>https://www.airitibooks.com/Detail/Detail?PublicationID=P20190521005</v>
      </c>
      <c r="K1399" s="13" t="str">
        <f>HYPERLINK("https://ntsu.idm.oclc.org/login?url=https://www.airitibooks.com/Detail/Detail?PublicationID=P20190521005", "https://ntsu.idm.oclc.org/login?url=https://www.airitibooks.com/Detail/Detail?PublicationID=P20190521005")</f>
        <v>https://ntsu.idm.oclc.org/login?url=https://www.airitibooks.com/Detail/Detail?PublicationID=P20190521005</v>
      </c>
    </row>
    <row r="1400" spans="1:11" ht="51" x14ac:dyDescent="0.4">
      <c r="A1400" s="10" t="s">
        <v>11400</v>
      </c>
      <c r="B1400" s="10" t="s">
        <v>11401</v>
      </c>
      <c r="C1400" s="10" t="s">
        <v>9828</v>
      </c>
      <c r="D1400" s="10" t="s">
        <v>11402</v>
      </c>
      <c r="E1400" s="10" t="s">
        <v>7391</v>
      </c>
      <c r="F1400" s="10" t="s">
        <v>10020</v>
      </c>
      <c r="G1400" s="10" t="s">
        <v>76</v>
      </c>
      <c r="H1400" s="7" t="s">
        <v>1031</v>
      </c>
      <c r="I1400" s="7" t="s">
        <v>25</v>
      </c>
      <c r="J1400" s="13" t="str">
        <f>HYPERLINK("https://www.airitibooks.com/Detail/Detail?PublicationID=P20190521006", "https://www.airitibooks.com/Detail/Detail?PublicationID=P20190521006")</f>
        <v>https://www.airitibooks.com/Detail/Detail?PublicationID=P20190521006</v>
      </c>
      <c r="K1400" s="13" t="str">
        <f>HYPERLINK("https://ntsu.idm.oclc.org/login?url=https://www.airitibooks.com/Detail/Detail?PublicationID=P20190521006", "https://ntsu.idm.oclc.org/login?url=https://www.airitibooks.com/Detail/Detail?PublicationID=P20190521006")</f>
        <v>https://ntsu.idm.oclc.org/login?url=https://www.airitibooks.com/Detail/Detail?PublicationID=P20190521006</v>
      </c>
    </row>
    <row r="1401" spans="1:11" ht="51" x14ac:dyDescent="0.4">
      <c r="A1401" s="10" t="s">
        <v>11403</v>
      </c>
      <c r="B1401" s="10" t="s">
        <v>11404</v>
      </c>
      <c r="C1401" s="10" t="s">
        <v>9828</v>
      </c>
      <c r="D1401" s="10" t="s">
        <v>11405</v>
      </c>
      <c r="E1401" s="10" t="s">
        <v>7391</v>
      </c>
      <c r="F1401" s="10" t="s">
        <v>10232</v>
      </c>
      <c r="G1401" s="10" t="s">
        <v>76</v>
      </c>
      <c r="H1401" s="7" t="s">
        <v>1031</v>
      </c>
      <c r="I1401" s="7" t="s">
        <v>25</v>
      </c>
      <c r="J1401" s="13" t="str">
        <f>HYPERLINK("https://www.airitibooks.com/Detail/Detail?PublicationID=P20190521007", "https://www.airitibooks.com/Detail/Detail?PublicationID=P20190521007")</f>
        <v>https://www.airitibooks.com/Detail/Detail?PublicationID=P20190521007</v>
      </c>
      <c r="K1401" s="13" t="str">
        <f>HYPERLINK("https://ntsu.idm.oclc.org/login?url=https://www.airitibooks.com/Detail/Detail?PublicationID=P20190521007", "https://ntsu.idm.oclc.org/login?url=https://www.airitibooks.com/Detail/Detail?PublicationID=P20190521007")</f>
        <v>https://ntsu.idm.oclc.org/login?url=https://www.airitibooks.com/Detail/Detail?PublicationID=P20190521007</v>
      </c>
    </row>
    <row r="1402" spans="1:11" ht="51" x14ac:dyDescent="0.4">
      <c r="A1402" s="10" t="s">
        <v>11413</v>
      </c>
      <c r="B1402" s="10" t="s">
        <v>11414</v>
      </c>
      <c r="C1402" s="10" t="s">
        <v>9828</v>
      </c>
      <c r="D1402" s="10" t="s">
        <v>11415</v>
      </c>
      <c r="E1402" s="10" t="s">
        <v>7391</v>
      </c>
      <c r="F1402" s="10" t="s">
        <v>2898</v>
      </c>
      <c r="G1402" s="10" t="s">
        <v>76</v>
      </c>
      <c r="H1402" s="7" t="s">
        <v>1031</v>
      </c>
      <c r="I1402" s="7" t="s">
        <v>25</v>
      </c>
      <c r="J1402" s="13" t="str">
        <f>HYPERLINK("https://www.airitibooks.com/Detail/Detail?PublicationID=P20190521012", "https://www.airitibooks.com/Detail/Detail?PublicationID=P20190521012")</f>
        <v>https://www.airitibooks.com/Detail/Detail?PublicationID=P20190521012</v>
      </c>
      <c r="K1402" s="13" t="str">
        <f>HYPERLINK("https://ntsu.idm.oclc.org/login?url=https://www.airitibooks.com/Detail/Detail?PublicationID=P20190521012", "https://ntsu.idm.oclc.org/login?url=https://www.airitibooks.com/Detail/Detail?PublicationID=P20190521012")</f>
        <v>https://ntsu.idm.oclc.org/login?url=https://www.airitibooks.com/Detail/Detail?PublicationID=P20190521012</v>
      </c>
    </row>
    <row r="1403" spans="1:11" ht="51" x14ac:dyDescent="0.4">
      <c r="A1403" s="10" t="s">
        <v>11416</v>
      </c>
      <c r="B1403" s="10" t="s">
        <v>11417</v>
      </c>
      <c r="C1403" s="10" t="s">
        <v>9828</v>
      </c>
      <c r="D1403" s="10" t="s">
        <v>11418</v>
      </c>
      <c r="E1403" s="10" t="s">
        <v>7391</v>
      </c>
      <c r="F1403" s="10" t="s">
        <v>9821</v>
      </c>
      <c r="G1403" s="10" t="s">
        <v>76</v>
      </c>
      <c r="H1403" s="7" t="s">
        <v>1031</v>
      </c>
      <c r="I1403" s="7" t="s">
        <v>25</v>
      </c>
      <c r="J1403" s="13" t="str">
        <f>HYPERLINK("https://www.airitibooks.com/Detail/Detail?PublicationID=P20190521013", "https://www.airitibooks.com/Detail/Detail?PublicationID=P20190521013")</f>
        <v>https://www.airitibooks.com/Detail/Detail?PublicationID=P20190521013</v>
      </c>
      <c r="K1403" s="13" t="str">
        <f>HYPERLINK("https://ntsu.idm.oclc.org/login?url=https://www.airitibooks.com/Detail/Detail?PublicationID=P20190521013", "https://ntsu.idm.oclc.org/login?url=https://www.airitibooks.com/Detail/Detail?PublicationID=P20190521013")</f>
        <v>https://ntsu.idm.oclc.org/login?url=https://www.airitibooks.com/Detail/Detail?PublicationID=P20190521013</v>
      </c>
    </row>
    <row r="1404" spans="1:11" ht="51" x14ac:dyDescent="0.4">
      <c r="A1404" s="10" t="s">
        <v>11446</v>
      </c>
      <c r="B1404" s="10" t="s">
        <v>11447</v>
      </c>
      <c r="C1404" s="10" t="s">
        <v>9828</v>
      </c>
      <c r="D1404" s="10" t="s">
        <v>11448</v>
      </c>
      <c r="E1404" s="10" t="s">
        <v>7391</v>
      </c>
      <c r="F1404" s="10" t="s">
        <v>9821</v>
      </c>
      <c r="G1404" s="10" t="s">
        <v>76</v>
      </c>
      <c r="H1404" s="7" t="s">
        <v>1031</v>
      </c>
      <c r="I1404" s="7" t="s">
        <v>25</v>
      </c>
      <c r="J1404" s="13" t="str">
        <f>HYPERLINK("https://www.airitibooks.com/Detail/Detail?PublicationID=P20190521023", "https://www.airitibooks.com/Detail/Detail?PublicationID=P20190521023")</f>
        <v>https://www.airitibooks.com/Detail/Detail?PublicationID=P20190521023</v>
      </c>
      <c r="K1404" s="13" t="str">
        <f>HYPERLINK("https://ntsu.idm.oclc.org/login?url=https://www.airitibooks.com/Detail/Detail?PublicationID=P20190521023", "https://ntsu.idm.oclc.org/login?url=https://www.airitibooks.com/Detail/Detail?PublicationID=P20190521023")</f>
        <v>https://ntsu.idm.oclc.org/login?url=https://www.airitibooks.com/Detail/Detail?PublicationID=P20190521023</v>
      </c>
    </row>
    <row r="1405" spans="1:11" ht="51" x14ac:dyDescent="0.4">
      <c r="A1405" s="10" t="s">
        <v>11449</v>
      </c>
      <c r="B1405" s="10" t="s">
        <v>11450</v>
      </c>
      <c r="C1405" s="10" t="s">
        <v>9828</v>
      </c>
      <c r="D1405" s="10" t="s">
        <v>11451</v>
      </c>
      <c r="E1405" s="10" t="s">
        <v>7391</v>
      </c>
      <c r="F1405" s="10" t="s">
        <v>9821</v>
      </c>
      <c r="G1405" s="10" t="s">
        <v>76</v>
      </c>
      <c r="H1405" s="7" t="s">
        <v>1031</v>
      </c>
      <c r="I1405" s="7" t="s">
        <v>25</v>
      </c>
      <c r="J1405" s="13" t="str">
        <f>HYPERLINK("https://www.airitibooks.com/Detail/Detail?PublicationID=P20190521024", "https://www.airitibooks.com/Detail/Detail?PublicationID=P20190521024")</f>
        <v>https://www.airitibooks.com/Detail/Detail?PublicationID=P20190521024</v>
      </c>
      <c r="K1405" s="13" t="str">
        <f>HYPERLINK("https://ntsu.idm.oclc.org/login?url=https://www.airitibooks.com/Detail/Detail?PublicationID=P20190521024", "https://ntsu.idm.oclc.org/login?url=https://www.airitibooks.com/Detail/Detail?PublicationID=P20190521024")</f>
        <v>https://ntsu.idm.oclc.org/login?url=https://www.airitibooks.com/Detail/Detail?PublicationID=P20190521024</v>
      </c>
    </row>
    <row r="1406" spans="1:11" ht="51" x14ac:dyDescent="0.4">
      <c r="A1406" s="10" t="s">
        <v>11456</v>
      </c>
      <c r="B1406" s="10" t="s">
        <v>11457</v>
      </c>
      <c r="C1406" s="10" t="s">
        <v>9828</v>
      </c>
      <c r="D1406" s="10" t="s">
        <v>11458</v>
      </c>
      <c r="E1406" s="10" t="s">
        <v>7391</v>
      </c>
      <c r="F1406" s="10" t="s">
        <v>2332</v>
      </c>
      <c r="G1406" s="10" t="s">
        <v>76</v>
      </c>
      <c r="H1406" s="7" t="s">
        <v>1031</v>
      </c>
      <c r="I1406" s="7" t="s">
        <v>25</v>
      </c>
      <c r="J1406" s="13" t="str">
        <f>HYPERLINK("https://www.airitibooks.com/Detail/Detail?PublicationID=P20190521028", "https://www.airitibooks.com/Detail/Detail?PublicationID=P20190521028")</f>
        <v>https://www.airitibooks.com/Detail/Detail?PublicationID=P20190521028</v>
      </c>
      <c r="K1406" s="13" t="str">
        <f>HYPERLINK("https://ntsu.idm.oclc.org/login?url=https://www.airitibooks.com/Detail/Detail?PublicationID=P20190521028", "https://ntsu.idm.oclc.org/login?url=https://www.airitibooks.com/Detail/Detail?PublicationID=P20190521028")</f>
        <v>https://ntsu.idm.oclc.org/login?url=https://www.airitibooks.com/Detail/Detail?PublicationID=P20190521028</v>
      </c>
    </row>
    <row r="1407" spans="1:11" ht="51" x14ac:dyDescent="0.4">
      <c r="A1407" s="10" t="s">
        <v>11459</v>
      </c>
      <c r="B1407" s="10" t="s">
        <v>11460</v>
      </c>
      <c r="C1407" s="10" t="s">
        <v>9828</v>
      </c>
      <c r="D1407" s="10" t="s">
        <v>11461</v>
      </c>
      <c r="E1407" s="10" t="s">
        <v>7391</v>
      </c>
      <c r="F1407" s="10" t="s">
        <v>3731</v>
      </c>
      <c r="G1407" s="10" t="s">
        <v>76</v>
      </c>
      <c r="H1407" s="7" t="s">
        <v>1031</v>
      </c>
      <c r="I1407" s="7" t="s">
        <v>25</v>
      </c>
      <c r="J1407" s="13" t="str">
        <f>HYPERLINK("https://www.airitibooks.com/Detail/Detail?PublicationID=P20190521029", "https://www.airitibooks.com/Detail/Detail?PublicationID=P20190521029")</f>
        <v>https://www.airitibooks.com/Detail/Detail?PublicationID=P20190521029</v>
      </c>
      <c r="K1407" s="13" t="str">
        <f>HYPERLINK("https://ntsu.idm.oclc.org/login?url=https://www.airitibooks.com/Detail/Detail?PublicationID=P20190521029", "https://ntsu.idm.oclc.org/login?url=https://www.airitibooks.com/Detail/Detail?PublicationID=P20190521029")</f>
        <v>https://ntsu.idm.oclc.org/login?url=https://www.airitibooks.com/Detail/Detail?PublicationID=P20190521029</v>
      </c>
    </row>
    <row r="1408" spans="1:11" ht="51" x14ac:dyDescent="0.4">
      <c r="A1408" s="10" t="s">
        <v>11468</v>
      </c>
      <c r="B1408" s="10" t="s">
        <v>11469</v>
      </c>
      <c r="C1408" s="10" t="s">
        <v>9828</v>
      </c>
      <c r="D1408" s="10" t="s">
        <v>11470</v>
      </c>
      <c r="E1408" s="10" t="s">
        <v>7391</v>
      </c>
      <c r="F1408" s="10" t="s">
        <v>2332</v>
      </c>
      <c r="G1408" s="10" t="s">
        <v>76</v>
      </c>
      <c r="H1408" s="7" t="s">
        <v>1031</v>
      </c>
      <c r="I1408" s="7" t="s">
        <v>25</v>
      </c>
      <c r="J1408" s="13" t="str">
        <f>HYPERLINK("https://www.airitibooks.com/Detail/Detail?PublicationID=P20190521033", "https://www.airitibooks.com/Detail/Detail?PublicationID=P20190521033")</f>
        <v>https://www.airitibooks.com/Detail/Detail?PublicationID=P20190521033</v>
      </c>
      <c r="K1408" s="13" t="str">
        <f>HYPERLINK("https://ntsu.idm.oclc.org/login?url=https://www.airitibooks.com/Detail/Detail?PublicationID=P20190521033", "https://ntsu.idm.oclc.org/login?url=https://www.airitibooks.com/Detail/Detail?PublicationID=P20190521033")</f>
        <v>https://ntsu.idm.oclc.org/login?url=https://www.airitibooks.com/Detail/Detail?PublicationID=P20190521033</v>
      </c>
    </row>
    <row r="1409" spans="1:11" ht="51" x14ac:dyDescent="0.4">
      <c r="A1409" s="10" t="s">
        <v>11471</v>
      </c>
      <c r="B1409" s="10" t="s">
        <v>11472</v>
      </c>
      <c r="C1409" s="10" t="s">
        <v>9828</v>
      </c>
      <c r="D1409" s="10" t="s">
        <v>11473</v>
      </c>
      <c r="E1409" s="10" t="s">
        <v>7391</v>
      </c>
      <c r="F1409" s="10" t="s">
        <v>10171</v>
      </c>
      <c r="G1409" s="10" t="s">
        <v>76</v>
      </c>
      <c r="H1409" s="7" t="s">
        <v>1031</v>
      </c>
      <c r="I1409" s="7" t="s">
        <v>25</v>
      </c>
      <c r="J1409" s="13" t="str">
        <f>HYPERLINK("https://www.airitibooks.com/Detail/Detail?PublicationID=P20190521034", "https://www.airitibooks.com/Detail/Detail?PublicationID=P20190521034")</f>
        <v>https://www.airitibooks.com/Detail/Detail?PublicationID=P20190521034</v>
      </c>
      <c r="K1409" s="13" t="str">
        <f>HYPERLINK("https://ntsu.idm.oclc.org/login?url=https://www.airitibooks.com/Detail/Detail?PublicationID=P20190521034", "https://ntsu.idm.oclc.org/login?url=https://www.airitibooks.com/Detail/Detail?PublicationID=P20190521034")</f>
        <v>https://ntsu.idm.oclc.org/login?url=https://www.airitibooks.com/Detail/Detail?PublicationID=P20190521034</v>
      </c>
    </row>
    <row r="1410" spans="1:11" ht="51" x14ac:dyDescent="0.4">
      <c r="A1410" s="10" t="s">
        <v>11474</v>
      </c>
      <c r="B1410" s="10" t="s">
        <v>11475</v>
      </c>
      <c r="C1410" s="10" t="s">
        <v>9828</v>
      </c>
      <c r="D1410" s="10" t="s">
        <v>11476</v>
      </c>
      <c r="E1410" s="10" t="s">
        <v>7391</v>
      </c>
      <c r="F1410" s="10" t="s">
        <v>10171</v>
      </c>
      <c r="G1410" s="10" t="s">
        <v>76</v>
      </c>
      <c r="H1410" s="7" t="s">
        <v>1031</v>
      </c>
      <c r="I1410" s="7" t="s">
        <v>25</v>
      </c>
      <c r="J1410" s="13" t="str">
        <f>HYPERLINK("https://www.airitibooks.com/Detail/Detail?PublicationID=P20190521036", "https://www.airitibooks.com/Detail/Detail?PublicationID=P20190521036")</f>
        <v>https://www.airitibooks.com/Detail/Detail?PublicationID=P20190521036</v>
      </c>
      <c r="K1410" s="13" t="str">
        <f>HYPERLINK("https://ntsu.idm.oclc.org/login?url=https://www.airitibooks.com/Detail/Detail?PublicationID=P20190521036", "https://ntsu.idm.oclc.org/login?url=https://www.airitibooks.com/Detail/Detail?PublicationID=P20190521036")</f>
        <v>https://ntsu.idm.oclc.org/login?url=https://www.airitibooks.com/Detail/Detail?PublicationID=P20190521036</v>
      </c>
    </row>
    <row r="1411" spans="1:11" ht="51" x14ac:dyDescent="0.4">
      <c r="A1411" s="10" t="s">
        <v>11526</v>
      </c>
      <c r="B1411" s="10" t="s">
        <v>11527</v>
      </c>
      <c r="C1411" s="10" t="s">
        <v>9828</v>
      </c>
      <c r="D1411" s="10" t="s">
        <v>11528</v>
      </c>
      <c r="E1411" s="10" t="s">
        <v>7391</v>
      </c>
      <c r="F1411" s="10" t="s">
        <v>10171</v>
      </c>
      <c r="G1411" s="10" t="s">
        <v>76</v>
      </c>
      <c r="H1411" s="7" t="s">
        <v>1031</v>
      </c>
      <c r="I1411" s="7" t="s">
        <v>25</v>
      </c>
      <c r="J1411" s="13" t="str">
        <f>HYPERLINK("https://www.airitibooks.com/Detail/Detail?PublicationID=P20190523165", "https://www.airitibooks.com/Detail/Detail?PublicationID=P20190523165")</f>
        <v>https://www.airitibooks.com/Detail/Detail?PublicationID=P20190523165</v>
      </c>
      <c r="K1411" s="13" t="str">
        <f>HYPERLINK("https://ntsu.idm.oclc.org/login?url=https://www.airitibooks.com/Detail/Detail?PublicationID=P20190523165", "https://ntsu.idm.oclc.org/login?url=https://www.airitibooks.com/Detail/Detail?PublicationID=P20190523165")</f>
        <v>https://ntsu.idm.oclc.org/login?url=https://www.airitibooks.com/Detail/Detail?PublicationID=P20190523165</v>
      </c>
    </row>
    <row r="1412" spans="1:11" ht="51" x14ac:dyDescent="0.4">
      <c r="A1412" s="10" t="s">
        <v>11529</v>
      </c>
      <c r="B1412" s="10" t="s">
        <v>11530</v>
      </c>
      <c r="C1412" s="10" t="s">
        <v>11531</v>
      </c>
      <c r="D1412" s="10" t="s">
        <v>11532</v>
      </c>
      <c r="E1412" s="10" t="s">
        <v>7391</v>
      </c>
      <c r="F1412" s="10" t="s">
        <v>11533</v>
      </c>
      <c r="G1412" s="10" t="s">
        <v>76</v>
      </c>
      <c r="H1412" s="7" t="s">
        <v>24</v>
      </c>
      <c r="I1412" s="7" t="s">
        <v>25</v>
      </c>
      <c r="J1412" s="13" t="str">
        <f>HYPERLINK("https://www.airitibooks.com/Detail/Detail?PublicationID=P20190531005", "https://www.airitibooks.com/Detail/Detail?PublicationID=P20190531005")</f>
        <v>https://www.airitibooks.com/Detail/Detail?PublicationID=P20190531005</v>
      </c>
      <c r="K1412" s="13" t="str">
        <f>HYPERLINK("https://ntsu.idm.oclc.org/login?url=https://www.airitibooks.com/Detail/Detail?PublicationID=P20190531005", "https://ntsu.idm.oclc.org/login?url=https://www.airitibooks.com/Detail/Detail?PublicationID=P20190531005")</f>
        <v>https://ntsu.idm.oclc.org/login?url=https://www.airitibooks.com/Detail/Detail?PublicationID=P20190531005</v>
      </c>
    </row>
    <row r="1413" spans="1:11" ht="51" x14ac:dyDescent="0.4">
      <c r="A1413" s="10" t="s">
        <v>11596</v>
      </c>
      <c r="B1413" s="10" t="s">
        <v>11597</v>
      </c>
      <c r="C1413" s="10" t="s">
        <v>746</v>
      </c>
      <c r="D1413" s="10" t="s">
        <v>11598</v>
      </c>
      <c r="E1413" s="10" t="s">
        <v>7391</v>
      </c>
      <c r="F1413" s="10" t="s">
        <v>1111</v>
      </c>
      <c r="G1413" s="10" t="s">
        <v>76</v>
      </c>
      <c r="H1413" s="7" t="s">
        <v>24</v>
      </c>
      <c r="I1413" s="7" t="s">
        <v>25</v>
      </c>
      <c r="J1413" s="13" t="str">
        <f>HYPERLINK("https://www.airitibooks.com/Detail/Detail?PublicationID=P20190531135", "https://www.airitibooks.com/Detail/Detail?PublicationID=P20190531135")</f>
        <v>https://www.airitibooks.com/Detail/Detail?PublicationID=P20190531135</v>
      </c>
      <c r="K1413" s="13" t="str">
        <f>HYPERLINK("https://ntsu.idm.oclc.org/login?url=https://www.airitibooks.com/Detail/Detail?PublicationID=P20190531135", "https://ntsu.idm.oclc.org/login?url=https://www.airitibooks.com/Detail/Detail?PublicationID=P20190531135")</f>
        <v>https://ntsu.idm.oclc.org/login?url=https://www.airitibooks.com/Detail/Detail?PublicationID=P20190531135</v>
      </c>
    </row>
    <row r="1414" spans="1:11" ht="51" x14ac:dyDescent="0.4">
      <c r="A1414" s="10" t="s">
        <v>11748</v>
      </c>
      <c r="B1414" s="10" t="s">
        <v>11749</v>
      </c>
      <c r="C1414" s="10" t="s">
        <v>544</v>
      </c>
      <c r="D1414" s="10" t="s">
        <v>11750</v>
      </c>
      <c r="E1414" s="10" t="s">
        <v>7391</v>
      </c>
      <c r="F1414" s="10" t="s">
        <v>11751</v>
      </c>
      <c r="G1414" s="10" t="s">
        <v>76</v>
      </c>
      <c r="H1414" s="7" t="s">
        <v>24</v>
      </c>
      <c r="I1414" s="7" t="s">
        <v>25</v>
      </c>
      <c r="J1414" s="13" t="str">
        <f>HYPERLINK("https://www.airitibooks.com/Detail/Detail?PublicationID=P20190620017", "https://www.airitibooks.com/Detail/Detail?PublicationID=P20190620017")</f>
        <v>https://www.airitibooks.com/Detail/Detail?PublicationID=P20190620017</v>
      </c>
      <c r="K1414" s="13" t="str">
        <f>HYPERLINK("https://ntsu.idm.oclc.org/login?url=https://www.airitibooks.com/Detail/Detail?PublicationID=P20190620017", "https://ntsu.idm.oclc.org/login?url=https://www.airitibooks.com/Detail/Detail?PublicationID=P20190620017")</f>
        <v>https://ntsu.idm.oclc.org/login?url=https://www.airitibooks.com/Detail/Detail?PublicationID=P20190620017</v>
      </c>
    </row>
    <row r="1415" spans="1:11" ht="68" x14ac:dyDescent="0.4">
      <c r="A1415" s="10" t="s">
        <v>11900</v>
      </c>
      <c r="B1415" s="10" t="s">
        <v>11901</v>
      </c>
      <c r="C1415" s="10" t="s">
        <v>9828</v>
      </c>
      <c r="D1415" s="10" t="s">
        <v>11902</v>
      </c>
      <c r="E1415" s="10" t="s">
        <v>7391</v>
      </c>
      <c r="F1415" s="10" t="s">
        <v>4606</v>
      </c>
      <c r="G1415" s="10" t="s">
        <v>76</v>
      </c>
      <c r="H1415" s="7" t="s">
        <v>1031</v>
      </c>
      <c r="I1415" s="7" t="s">
        <v>25</v>
      </c>
      <c r="J1415" s="13" t="str">
        <f>HYPERLINK("https://www.airitibooks.com/Detail/Detail?PublicationID=P20190627108", "https://www.airitibooks.com/Detail/Detail?PublicationID=P20190627108")</f>
        <v>https://www.airitibooks.com/Detail/Detail?PublicationID=P20190627108</v>
      </c>
      <c r="K1415" s="13" t="str">
        <f>HYPERLINK("https://ntsu.idm.oclc.org/login?url=https://www.airitibooks.com/Detail/Detail?PublicationID=P20190627108", "https://ntsu.idm.oclc.org/login?url=https://www.airitibooks.com/Detail/Detail?PublicationID=P20190627108")</f>
        <v>https://ntsu.idm.oclc.org/login?url=https://www.airitibooks.com/Detail/Detail?PublicationID=P20190627108</v>
      </c>
    </row>
    <row r="1416" spans="1:11" ht="68" x14ac:dyDescent="0.4">
      <c r="A1416" s="10" t="s">
        <v>12031</v>
      </c>
      <c r="B1416" s="10" t="s">
        <v>12032</v>
      </c>
      <c r="C1416" s="10" t="s">
        <v>4597</v>
      </c>
      <c r="D1416" s="10" t="s">
        <v>12033</v>
      </c>
      <c r="E1416" s="10" t="s">
        <v>7391</v>
      </c>
      <c r="F1416" s="10" t="s">
        <v>1078</v>
      </c>
      <c r="G1416" s="10" t="s">
        <v>76</v>
      </c>
      <c r="H1416" s="7" t="s">
        <v>24</v>
      </c>
      <c r="I1416" s="7" t="s">
        <v>25</v>
      </c>
      <c r="J1416" s="13" t="str">
        <f>HYPERLINK("https://www.airitibooks.com/Detail/Detail?PublicationID=P20190816048", "https://www.airitibooks.com/Detail/Detail?PublicationID=P20190816048")</f>
        <v>https://www.airitibooks.com/Detail/Detail?PublicationID=P20190816048</v>
      </c>
      <c r="K1416" s="13" t="str">
        <f>HYPERLINK("https://ntsu.idm.oclc.org/login?url=https://www.airitibooks.com/Detail/Detail?PublicationID=P20190816048", "https://ntsu.idm.oclc.org/login?url=https://www.airitibooks.com/Detail/Detail?PublicationID=P20190816048")</f>
        <v>https://ntsu.idm.oclc.org/login?url=https://www.airitibooks.com/Detail/Detail?PublicationID=P20190816048</v>
      </c>
    </row>
    <row r="1417" spans="1:11" ht="51" x14ac:dyDescent="0.4">
      <c r="A1417" s="10" t="s">
        <v>12364</v>
      </c>
      <c r="B1417" s="10" t="s">
        <v>12365</v>
      </c>
      <c r="C1417" s="10" t="s">
        <v>9828</v>
      </c>
      <c r="D1417" s="10" t="s">
        <v>12366</v>
      </c>
      <c r="E1417" s="10" t="s">
        <v>7391</v>
      </c>
      <c r="F1417" s="10" t="s">
        <v>9081</v>
      </c>
      <c r="G1417" s="10" t="s">
        <v>76</v>
      </c>
      <c r="H1417" s="7" t="s">
        <v>7839</v>
      </c>
      <c r="I1417" s="7" t="s">
        <v>25</v>
      </c>
      <c r="J1417" s="13" t="str">
        <f>HYPERLINK("https://www.airitibooks.com/Detail/Detail?PublicationID=P20190920246", "https://www.airitibooks.com/Detail/Detail?PublicationID=P20190920246")</f>
        <v>https://www.airitibooks.com/Detail/Detail?PublicationID=P20190920246</v>
      </c>
      <c r="K1417" s="13" t="str">
        <f>HYPERLINK("https://ntsu.idm.oclc.org/login?url=https://www.airitibooks.com/Detail/Detail?PublicationID=P20190920246", "https://ntsu.idm.oclc.org/login?url=https://www.airitibooks.com/Detail/Detail?PublicationID=P20190920246")</f>
        <v>https://ntsu.idm.oclc.org/login?url=https://www.airitibooks.com/Detail/Detail?PublicationID=P20190920246</v>
      </c>
    </row>
    <row r="1418" spans="1:11" ht="85" x14ac:dyDescent="0.4">
      <c r="A1418" s="10" t="s">
        <v>12367</v>
      </c>
      <c r="B1418" s="10" t="s">
        <v>12368</v>
      </c>
      <c r="C1418" s="10" t="s">
        <v>9828</v>
      </c>
      <c r="D1418" s="10" t="s">
        <v>12369</v>
      </c>
      <c r="E1418" s="10" t="s">
        <v>7391</v>
      </c>
      <c r="F1418" s="10" t="s">
        <v>7331</v>
      </c>
      <c r="G1418" s="10" t="s">
        <v>76</v>
      </c>
      <c r="H1418" s="7" t="s">
        <v>1467</v>
      </c>
      <c r="I1418" s="7" t="s">
        <v>25</v>
      </c>
      <c r="J1418" s="13" t="str">
        <f>HYPERLINK("https://www.airitibooks.com/Detail/Detail?PublicationID=P20190920247", "https://www.airitibooks.com/Detail/Detail?PublicationID=P20190920247")</f>
        <v>https://www.airitibooks.com/Detail/Detail?PublicationID=P20190920247</v>
      </c>
      <c r="K1418" s="13" t="str">
        <f>HYPERLINK("https://ntsu.idm.oclc.org/login?url=https://www.airitibooks.com/Detail/Detail?PublicationID=P20190920247", "https://ntsu.idm.oclc.org/login?url=https://www.airitibooks.com/Detail/Detail?PublicationID=P20190920247")</f>
        <v>https://ntsu.idm.oclc.org/login?url=https://www.airitibooks.com/Detail/Detail?PublicationID=P20190920247</v>
      </c>
    </row>
    <row r="1419" spans="1:11" ht="51" x14ac:dyDescent="0.4">
      <c r="A1419" s="10" t="s">
        <v>12370</v>
      </c>
      <c r="B1419" s="10" t="s">
        <v>12371</v>
      </c>
      <c r="C1419" s="10" t="s">
        <v>9828</v>
      </c>
      <c r="D1419" s="10" t="s">
        <v>12372</v>
      </c>
      <c r="E1419" s="10" t="s">
        <v>7391</v>
      </c>
      <c r="F1419" s="10" t="s">
        <v>5854</v>
      </c>
      <c r="G1419" s="10" t="s">
        <v>76</v>
      </c>
      <c r="H1419" s="7" t="s">
        <v>1031</v>
      </c>
      <c r="I1419" s="7" t="s">
        <v>25</v>
      </c>
      <c r="J1419" s="13" t="str">
        <f>HYPERLINK("https://www.airitibooks.com/Detail/Detail?PublicationID=P20190920249", "https://www.airitibooks.com/Detail/Detail?PublicationID=P20190920249")</f>
        <v>https://www.airitibooks.com/Detail/Detail?PublicationID=P20190920249</v>
      </c>
      <c r="K1419" s="13" t="str">
        <f>HYPERLINK("https://ntsu.idm.oclc.org/login?url=https://www.airitibooks.com/Detail/Detail?PublicationID=P20190920249", "https://ntsu.idm.oclc.org/login?url=https://www.airitibooks.com/Detail/Detail?PublicationID=P20190920249")</f>
        <v>https://ntsu.idm.oclc.org/login?url=https://www.airitibooks.com/Detail/Detail?PublicationID=P20190920249</v>
      </c>
    </row>
    <row r="1420" spans="1:11" ht="51" x14ac:dyDescent="0.4">
      <c r="A1420" s="10" t="s">
        <v>12373</v>
      </c>
      <c r="B1420" s="10" t="s">
        <v>12374</v>
      </c>
      <c r="C1420" s="10" t="s">
        <v>9828</v>
      </c>
      <c r="D1420" s="10" t="s">
        <v>12375</v>
      </c>
      <c r="E1420" s="10" t="s">
        <v>7391</v>
      </c>
      <c r="F1420" s="10" t="s">
        <v>5854</v>
      </c>
      <c r="G1420" s="10" t="s">
        <v>76</v>
      </c>
      <c r="H1420" s="7" t="s">
        <v>1031</v>
      </c>
      <c r="I1420" s="7" t="s">
        <v>25</v>
      </c>
      <c r="J1420" s="13" t="str">
        <f>HYPERLINK("https://www.airitibooks.com/Detail/Detail?PublicationID=P20190920250", "https://www.airitibooks.com/Detail/Detail?PublicationID=P20190920250")</f>
        <v>https://www.airitibooks.com/Detail/Detail?PublicationID=P20190920250</v>
      </c>
      <c r="K1420" s="13" t="str">
        <f>HYPERLINK("https://ntsu.idm.oclc.org/login?url=https://www.airitibooks.com/Detail/Detail?PublicationID=P20190920250", "https://ntsu.idm.oclc.org/login?url=https://www.airitibooks.com/Detail/Detail?PublicationID=P20190920250")</f>
        <v>https://ntsu.idm.oclc.org/login?url=https://www.airitibooks.com/Detail/Detail?PublicationID=P20190920250</v>
      </c>
    </row>
    <row r="1421" spans="1:11" ht="51" x14ac:dyDescent="0.4">
      <c r="A1421" s="10" t="s">
        <v>12811</v>
      </c>
      <c r="B1421" s="10" t="s">
        <v>12812</v>
      </c>
      <c r="C1421" s="10" t="s">
        <v>12491</v>
      </c>
      <c r="D1421" s="10" t="s">
        <v>12813</v>
      </c>
      <c r="E1421" s="10" t="s">
        <v>7391</v>
      </c>
      <c r="F1421" s="10" t="s">
        <v>5255</v>
      </c>
      <c r="G1421" s="10" t="s">
        <v>76</v>
      </c>
      <c r="H1421" s="7" t="s">
        <v>1031</v>
      </c>
      <c r="I1421" s="7" t="s">
        <v>25</v>
      </c>
      <c r="J1421" s="13" t="str">
        <f>HYPERLINK("https://www.airitibooks.com/Detail/Detail?PublicationID=P20191031154", "https://www.airitibooks.com/Detail/Detail?PublicationID=P20191031154")</f>
        <v>https://www.airitibooks.com/Detail/Detail?PublicationID=P20191031154</v>
      </c>
      <c r="K1421" s="13" t="str">
        <f>HYPERLINK("https://ntsu.idm.oclc.org/login?url=https://www.airitibooks.com/Detail/Detail?PublicationID=P20191031154", "https://ntsu.idm.oclc.org/login?url=https://www.airitibooks.com/Detail/Detail?PublicationID=P20191031154")</f>
        <v>https://ntsu.idm.oclc.org/login?url=https://www.airitibooks.com/Detail/Detail?PublicationID=P20191031154</v>
      </c>
    </row>
    <row r="1422" spans="1:11" ht="51" x14ac:dyDescent="0.4">
      <c r="A1422" s="10" t="s">
        <v>12836</v>
      </c>
      <c r="B1422" s="10" t="s">
        <v>12837</v>
      </c>
      <c r="C1422" s="10" t="s">
        <v>12491</v>
      </c>
      <c r="D1422" s="10" t="s">
        <v>12838</v>
      </c>
      <c r="E1422" s="10" t="s">
        <v>7391</v>
      </c>
      <c r="F1422" s="10" t="s">
        <v>5255</v>
      </c>
      <c r="G1422" s="10" t="s">
        <v>76</v>
      </c>
      <c r="H1422" s="7" t="s">
        <v>1031</v>
      </c>
      <c r="I1422" s="7" t="s">
        <v>25</v>
      </c>
      <c r="J1422" s="13" t="str">
        <f>HYPERLINK("https://www.airitibooks.com/Detail/Detail?PublicationID=P20191031162", "https://www.airitibooks.com/Detail/Detail?PublicationID=P20191031162")</f>
        <v>https://www.airitibooks.com/Detail/Detail?PublicationID=P20191031162</v>
      </c>
      <c r="K1422" s="13" t="str">
        <f>HYPERLINK("https://ntsu.idm.oclc.org/login?url=https://www.airitibooks.com/Detail/Detail?PublicationID=P20191031162", "https://ntsu.idm.oclc.org/login?url=https://www.airitibooks.com/Detail/Detail?PublicationID=P20191031162")</f>
        <v>https://ntsu.idm.oclc.org/login?url=https://www.airitibooks.com/Detail/Detail?PublicationID=P20191031162</v>
      </c>
    </row>
    <row r="1423" spans="1:11" ht="51" x14ac:dyDescent="0.4">
      <c r="A1423" s="10" t="s">
        <v>12866</v>
      </c>
      <c r="B1423" s="10" t="s">
        <v>12867</v>
      </c>
      <c r="C1423" s="10" t="s">
        <v>9828</v>
      </c>
      <c r="D1423" s="10" t="s">
        <v>12868</v>
      </c>
      <c r="E1423" s="10" t="s">
        <v>7391</v>
      </c>
      <c r="F1423" s="10" t="s">
        <v>2871</v>
      </c>
      <c r="G1423" s="10" t="s">
        <v>76</v>
      </c>
      <c r="H1423" s="7" t="s">
        <v>1031</v>
      </c>
      <c r="I1423" s="7" t="s">
        <v>25</v>
      </c>
      <c r="J1423" s="13" t="str">
        <f>HYPERLINK("https://www.airitibooks.com/Detail/Detail?PublicationID=P20191104042", "https://www.airitibooks.com/Detail/Detail?PublicationID=P20191104042")</f>
        <v>https://www.airitibooks.com/Detail/Detail?PublicationID=P20191104042</v>
      </c>
      <c r="K1423" s="13" t="str">
        <f>HYPERLINK("https://ntsu.idm.oclc.org/login?url=https://www.airitibooks.com/Detail/Detail?PublicationID=P20191104042", "https://ntsu.idm.oclc.org/login?url=https://www.airitibooks.com/Detail/Detail?PublicationID=P20191104042")</f>
        <v>https://ntsu.idm.oclc.org/login?url=https://www.airitibooks.com/Detail/Detail?PublicationID=P20191104042</v>
      </c>
    </row>
    <row r="1424" spans="1:11" ht="51" x14ac:dyDescent="0.4">
      <c r="A1424" s="10" t="s">
        <v>12888</v>
      </c>
      <c r="B1424" s="10" t="s">
        <v>12889</v>
      </c>
      <c r="C1424" s="10" t="s">
        <v>9828</v>
      </c>
      <c r="D1424" s="10" t="s">
        <v>12890</v>
      </c>
      <c r="E1424" s="10" t="s">
        <v>7391</v>
      </c>
      <c r="F1424" s="10" t="s">
        <v>9825</v>
      </c>
      <c r="G1424" s="10" t="s">
        <v>76</v>
      </c>
      <c r="H1424" s="7" t="s">
        <v>1031</v>
      </c>
      <c r="I1424" s="7" t="s">
        <v>25</v>
      </c>
      <c r="J1424" s="13" t="str">
        <f>HYPERLINK("https://www.airitibooks.com/Detail/Detail?PublicationID=P20191104048", "https://www.airitibooks.com/Detail/Detail?PublicationID=P20191104048")</f>
        <v>https://www.airitibooks.com/Detail/Detail?PublicationID=P20191104048</v>
      </c>
      <c r="K1424" s="13" t="str">
        <f>HYPERLINK("https://ntsu.idm.oclc.org/login?url=https://www.airitibooks.com/Detail/Detail?PublicationID=P20191104048", "https://ntsu.idm.oclc.org/login?url=https://www.airitibooks.com/Detail/Detail?PublicationID=P20191104048")</f>
        <v>https://ntsu.idm.oclc.org/login?url=https://www.airitibooks.com/Detail/Detail?PublicationID=P20191104048</v>
      </c>
    </row>
    <row r="1425" spans="1:11" ht="51" x14ac:dyDescent="0.4">
      <c r="A1425" s="10" t="s">
        <v>12907</v>
      </c>
      <c r="B1425" s="10" t="s">
        <v>12908</v>
      </c>
      <c r="C1425" s="10" t="s">
        <v>9828</v>
      </c>
      <c r="D1425" s="10" t="s">
        <v>12909</v>
      </c>
      <c r="E1425" s="10" t="s">
        <v>7391</v>
      </c>
      <c r="F1425" s="10" t="s">
        <v>10099</v>
      </c>
      <c r="G1425" s="10" t="s">
        <v>76</v>
      </c>
      <c r="H1425" s="7" t="s">
        <v>1031</v>
      </c>
      <c r="I1425" s="7" t="s">
        <v>25</v>
      </c>
      <c r="J1425" s="13" t="str">
        <f>HYPERLINK("https://www.airitibooks.com/Detail/Detail?PublicationID=P20191104054", "https://www.airitibooks.com/Detail/Detail?PublicationID=P20191104054")</f>
        <v>https://www.airitibooks.com/Detail/Detail?PublicationID=P20191104054</v>
      </c>
      <c r="K1425" s="13" t="str">
        <f>HYPERLINK("https://ntsu.idm.oclc.org/login?url=https://www.airitibooks.com/Detail/Detail?PublicationID=P20191104054", "https://ntsu.idm.oclc.org/login?url=https://www.airitibooks.com/Detail/Detail?PublicationID=P20191104054")</f>
        <v>https://ntsu.idm.oclc.org/login?url=https://www.airitibooks.com/Detail/Detail?PublicationID=P20191104054</v>
      </c>
    </row>
    <row r="1426" spans="1:11" ht="51" x14ac:dyDescent="0.4">
      <c r="A1426" s="10" t="s">
        <v>12910</v>
      </c>
      <c r="B1426" s="10" t="s">
        <v>12911</v>
      </c>
      <c r="C1426" s="10" t="s">
        <v>9828</v>
      </c>
      <c r="D1426" s="10" t="s">
        <v>12912</v>
      </c>
      <c r="E1426" s="10" t="s">
        <v>7391</v>
      </c>
      <c r="F1426" s="10" t="s">
        <v>2871</v>
      </c>
      <c r="G1426" s="10" t="s">
        <v>76</v>
      </c>
      <c r="H1426" s="7" t="s">
        <v>1031</v>
      </c>
      <c r="I1426" s="7" t="s">
        <v>25</v>
      </c>
      <c r="J1426" s="13" t="str">
        <f>HYPERLINK("https://www.airitibooks.com/Detail/Detail?PublicationID=P20191104055", "https://www.airitibooks.com/Detail/Detail?PublicationID=P20191104055")</f>
        <v>https://www.airitibooks.com/Detail/Detail?PublicationID=P20191104055</v>
      </c>
      <c r="K1426" s="13" t="str">
        <f>HYPERLINK("https://ntsu.idm.oclc.org/login?url=https://www.airitibooks.com/Detail/Detail?PublicationID=P20191104055", "https://ntsu.idm.oclc.org/login?url=https://www.airitibooks.com/Detail/Detail?PublicationID=P20191104055")</f>
        <v>https://ntsu.idm.oclc.org/login?url=https://www.airitibooks.com/Detail/Detail?PublicationID=P20191104055</v>
      </c>
    </row>
    <row r="1427" spans="1:11" ht="51" x14ac:dyDescent="0.4">
      <c r="A1427" s="10" t="s">
        <v>12913</v>
      </c>
      <c r="B1427" s="10" t="s">
        <v>12914</v>
      </c>
      <c r="C1427" s="10" t="s">
        <v>9828</v>
      </c>
      <c r="D1427" s="10" t="s">
        <v>12915</v>
      </c>
      <c r="E1427" s="10" t="s">
        <v>7391</v>
      </c>
      <c r="F1427" s="10" t="s">
        <v>4606</v>
      </c>
      <c r="G1427" s="10" t="s">
        <v>76</v>
      </c>
      <c r="H1427" s="7" t="s">
        <v>1031</v>
      </c>
      <c r="I1427" s="7" t="s">
        <v>25</v>
      </c>
      <c r="J1427" s="13" t="str">
        <f>HYPERLINK("https://www.airitibooks.com/Detail/Detail?PublicationID=P20191104056", "https://www.airitibooks.com/Detail/Detail?PublicationID=P20191104056")</f>
        <v>https://www.airitibooks.com/Detail/Detail?PublicationID=P20191104056</v>
      </c>
      <c r="K1427" s="13" t="str">
        <f>HYPERLINK("https://ntsu.idm.oclc.org/login?url=https://www.airitibooks.com/Detail/Detail?PublicationID=P20191104056", "https://ntsu.idm.oclc.org/login?url=https://www.airitibooks.com/Detail/Detail?PublicationID=P20191104056")</f>
        <v>https://ntsu.idm.oclc.org/login?url=https://www.airitibooks.com/Detail/Detail?PublicationID=P20191104056</v>
      </c>
    </row>
    <row r="1428" spans="1:11" ht="51" x14ac:dyDescent="0.4">
      <c r="A1428" s="10" t="s">
        <v>12926</v>
      </c>
      <c r="B1428" s="10" t="s">
        <v>12927</v>
      </c>
      <c r="C1428" s="10" t="s">
        <v>9828</v>
      </c>
      <c r="D1428" s="10" t="s">
        <v>12928</v>
      </c>
      <c r="E1428" s="10" t="s">
        <v>7391</v>
      </c>
      <c r="F1428" s="10" t="s">
        <v>10232</v>
      </c>
      <c r="G1428" s="10" t="s">
        <v>76</v>
      </c>
      <c r="H1428" s="7" t="s">
        <v>1031</v>
      </c>
      <c r="I1428" s="7" t="s">
        <v>25</v>
      </c>
      <c r="J1428" s="13" t="str">
        <f>HYPERLINK("https://www.airitibooks.com/Detail/Detail?PublicationID=P20191104060", "https://www.airitibooks.com/Detail/Detail?PublicationID=P20191104060")</f>
        <v>https://www.airitibooks.com/Detail/Detail?PublicationID=P20191104060</v>
      </c>
      <c r="K1428" s="13" t="str">
        <f>HYPERLINK("https://ntsu.idm.oclc.org/login?url=https://www.airitibooks.com/Detail/Detail?PublicationID=P20191104060", "https://ntsu.idm.oclc.org/login?url=https://www.airitibooks.com/Detail/Detail?PublicationID=P20191104060")</f>
        <v>https://ntsu.idm.oclc.org/login?url=https://www.airitibooks.com/Detail/Detail?PublicationID=P20191104060</v>
      </c>
    </row>
    <row r="1429" spans="1:11" ht="51" x14ac:dyDescent="0.4">
      <c r="A1429" s="10" t="s">
        <v>12932</v>
      </c>
      <c r="B1429" s="10" t="s">
        <v>12933</v>
      </c>
      <c r="C1429" s="10" t="s">
        <v>9828</v>
      </c>
      <c r="D1429" s="10" t="s">
        <v>12934</v>
      </c>
      <c r="E1429" s="10" t="s">
        <v>7391</v>
      </c>
      <c r="F1429" s="10" t="s">
        <v>7422</v>
      </c>
      <c r="G1429" s="10" t="s">
        <v>76</v>
      </c>
      <c r="H1429" s="7" t="s">
        <v>1031</v>
      </c>
      <c r="I1429" s="7" t="s">
        <v>25</v>
      </c>
      <c r="J1429" s="13" t="str">
        <f>HYPERLINK("https://www.airitibooks.com/Detail/Detail?PublicationID=P20191104062", "https://www.airitibooks.com/Detail/Detail?PublicationID=P20191104062")</f>
        <v>https://www.airitibooks.com/Detail/Detail?PublicationID=P20191104062</v>
      </c>
      <c r="K1429" s="13" t="str">
        <f>HYPERLINK("https://ntsu.idm.oclc.org/login?url=https://www.airitibooks.com/Detail/Detail?PublicationID=P20191104062", "https://ntsu.idm.oclc.org/login?url=https://www.airitibooks.com/Detail/Detail?PublicationID=P20191104062")</f>
        <v>https://ntsu.idm.oclc.org/login?url=https://www.airitibooks.com/Detail/Detail?PublicationID=P20191104062</v>
      </c>
    </row>
    <row r="1430" spans="1:11" ht="51" x14ac:dyDescent="0.4">
      <c r="A1430" s="10" t="s">
        <v>13077</v>
      </c>
      <c r="B1430" s="10" t="s">
        <v>13078</v>
      </c>
      <c r="C1430" s="10" t="s">
        <v>467</v>
      </c>
      <c r="D1430" s="10" t="s">
        <v>13079</v>
      </c>
      <c r="E1430" s="10" t="s">
        <v>7391</v>
      </c>
      <c r="F1430" s="10" t="s">
        <v>13080</v>
      </c>
      <c r="G1430" s="10" t="s">
        <v>76</v>
      </c>
      <c r="H1430" s="7" t="s">
        <v>24</v>
      </c>
      <c r="I1430" s="7" t="s">
        <v>25</v>
      </c>
      <c r="J1430" s="13" t="str">
        <f>HYPERLINK("https://www.airitibooks.com/Detail/Detail?PublicationID=P20191224011", "https://www.airitibooks.com/Detail/Detail?PublicationID=P20191224011")</f>
        <v>https://www.airitibooks.com/Detail/Detail?PublicationID=P20191224011</v>
      </c>
      <c r="K1430" s="13" t="str">
        <f>HYPERLINK("https://ntsu.idm.oclc.org/login?url=https://www.airitibooks.com/Detail/Detail?PublicationID=P20191224011", "https://ntsu.idm.oclc.org/login?url=https://www.airitibooks.com/Detail/Detail?PublicationID=P20191224011")</f>
        <v>https://ntsu.idm.oclc.org/login?url=https://www.airitibooks.com/Detail/Detail?PublicationID=P20191224011</v>
      </c>
    </row>
    <row r="1431" spans="1:11" ht="51" x14ac:dyDescent="0.4">
      <c r="A1431" s="10" t="s">
        <v>13085</v>
      </c>
      <c r="B1431" s="10" t="s">
        <v>13086</v>
      </c>
      <c r="C1431" s="10" t="s">
        <v>990</v>
      </c>
      <c r="D1431" s="10" t="s">
        <v>13087</v>
      </c>
      <c r="E1431" s="10" t="s">
        <v>7391</v>
      </c>
      <c r="F1431" s="10" t="s">
        <v>13088</v>
      </c>
      <c r="G1431" s="10" t="s">
        <v>76</v>
      </c>
      <c r="H1431" s="7" t="s">
        <v>24</v>
      </c>
      <c r="I1431" s="7" t="s">
        <v>25</v>
      </c>
      <c r="J1431" s="13" t="str">
        <f>HYPERLINK("https://www.airitibooks.com/Detail/Detail?PublicationID=P20191224014", "https://www.airitibooks.com/Detail/Detail?PublicationID=P20191224014")</f>
        <v>https://www.airitibooks.com/Detail/Detail?PublicationID=P20191224014</v>
      </c>
      <c r="K1431" s="13" t="str">
        <f>HYPERLINK("https://ntsu.idm.oclc.org/login?url=https://www.airitibooks.com/Detail/Detail?PublicationID=P20191224014", "https://ntsu.idm.oclc.org/login?url=https://www.airitibooks.com/Detail/Detail?PublicationID=P20191224014")</f>
        <v>https://ntsu.idm.oclc.org/login?url=https://www.airitibooks.com/Detail/Detail?PublicationID=P20191224014</v>
      </c>
    </row>
    <row r="1432" spans="1:11" ht="51" x14ac:dyDescent="0.4">
      <c r="A1432" s="10" t="s">
        <v>13205</v>
      </c>
      <c r="B1432" s="10" t="s">
        <v>13206</v>
      </c>
      <c r="C1432" s="10" t="s">
        <v>9828</v>
      </c>
      <c r="D1432" s="10" t="s">
        <v>13207</v>
      </c>
      <c r="E1432" s="10" t="s">
        <v>7391</v>
      </c>
      <c r="F1432" s="10" t="s">
        <v>13208</v>
      </c>
      <c r="G1432" s="10" t="s">
        <v>76</v>
      </c>
      <c r="H1432" s="7" t="s">
        <v>1031</v>
      </c>
      <c r="I1432" s="7" t="s">
        <v>25</v>
      </c>
      <c r="J1432" s="13" t="str">
        <f>HYPERLINK("https://www.airitibooks.com/Detail/Detail?PublicationID=P20191226065", "https://www.airitibooks.com/Detail/Detail?PublicationID=P20191226065")</f>
        <v>https://www.airitibooks.com/Detail/Detail?PublicationID=P20191226065</v>
      </c>
      <c r="K1432" s="13" t="str">
        <f>HYPERLINK("https://ntsu.idm.oclc.org/login?url=https://www.airitibooks.com/Detail/Detail?PublicationID=P20191226065", "https://ntsu.idm.oclc.org/login?url=https://www.airitibooks.com/Detail/Detail?PublicationID=P20191226065")</f>
        <v>https://ntsu.idm.oclc.org/login?url=https://www.airitibooks.com/Detail/Detail?PublicationID=P20191226065</v>
      </c>
    </row>
    <row r="1433" spans="1:11" ht="51" x14ac:dyDescent="0.4">
      <c r="A1433" s="10" t="s">
        <v>13304</v>
      </c>
      <c r="B1433" s="10" t="s">
        <v>13305</v>
      </c>
      <c r="C1433" s="10" t="s">
        <v>13295</v>
      </c>
      <c r="D1433" s="10" t="s">
        <v>13306</v>
      </c>
      <c r="E1433" s="10" t="s">
        <v>7391</v>
      </c>
      <c r="F1433" s="10" t="s">
        <v>13307</v>
      </c>
      <c r="G1433" s="10" t="s">
        <v>76</v>
      </c>
      <c r="H1433" s="7" t="s">
        <v>24</v>
      </c>
      <c r="I1433" s="7" t="s">
        <v>25</v>
      </c>
      <c r="J1433" s="13" t="str">
        <f>HYPERLINK("https://www.airitibooks.com/Detail/Detail?PublicationID=P20200110162", "https://www.airitibooks.com/Detail/Detail?PublicationID=P20200110162")</f>
        <v>https://www.airitibooks.com/Detail/Detail?PublicationID=P20200110162</v>
      </c>
      <c r="K1433" s="13" t="str">
        <f>HYPERLINK("https://ntsu.idm.oclc.org/login?url=https://www.airitibooks.com/Detail/Detail?PublicationID=P20200110162", "https://ntsu.idm.oclc.org/login?url=https://www.airitibooks.com/Detail/Detail?PublicationID=P20200110162")</f>
        <v>https://ntsu.idm.oclc.org/login?url=https://www.airitibooks.com/Detail/Detail?PublicationID=P20200110162</v>
      </c>
    </row>
    <row r="1434" spans="1:11" ht="85" x14ac:dyDescent="0.4">
      <c r="A1434" s="10" t="s">
        <v>13501</v>
      </c>
      <c r="B1434" s="10" t="s">
        <v>13502</v>
      </c>
      <c r="C1434" s="10" t="s">
        <v>12154</v>
      </c>
      <c r="D1434" s="10" t="s">
        <v>13503</v>
      </c>
      <c r="E1434" s="10" t="s">
        <v>7391</v>
      </c>
      <c r="F1434" s="10" t="s">
        <v>13504</v>
      </c>
      <c r="G1434" s="10" t="s">
        <v>76</v>
      </c>
      <c r="H1434" s="7" t="s">
        <v>24</v>
      </c>
      <c r="I1434" s="7" t="s">
        <v>25</v>
      </c>
      <c r="J1434" s="13" t="str">
        <f>HYPERLINK("https://www.airitibooks.com/Detail/Detail?PublicationID=P20200215111", "https://www.airitibooks.com/Detail/Detail?PublicationID=P20200215111")</f>
        <v>https://www.airitibooks.com/Detail/Detail?PublicationID=P20200215111</v>
      </c>
      <c r="K1434" s="13" t="str">
        <f>HYPERLINK("https://ntsu.idm.oclc.org/login?url=https://www.airitibooks.com/Detail/Detail?PublicationID=P20200215111", "https://ntsu.idm.oclc.org/login?url=https://www.airitibooks.com/Detail/Detail?PublicationID=P20200215111")</f>
        <v>https://ntsu.idm.oclc.org/login?url=https://www.airitibooks.com/Detail/Detail?PublicationID=P20200215111</v>
      </c>
    </row>
    <row r="1435" spans="1:11" ht="51" x14ac:dyDescent="0.4">
      <c r="A1435" s="10" t="s">
        <v>13584</v>
      </c>
      <c r="B1435" s="10" t="s">
        <v>13585</v>
      </c>
      <c r="C1435" s="10" t="s">
        <v>9828</v>
      </c>
      <c r="D1435" s="10" t="s">
        <v>13586</v>
      </c>
      <c r="E1435" s="10" t="s">
        <v>7391</v>
      </c>
      <c r="F1435" s="10" t="s">
        <v>2898</v>
      </c>
      <c r="G1435" s="10" t="s">
        <v>76</v>
      </c>
      <c r="H1435" s="7" t="s">
        <v>1031</v>
      </c>
      <c r="I1435" s="7" t="s">
        <v>25</v>
      </c>
      <c r="J1435" s="13" t="str">
        <f>HYPERLINK("https://www.airitibooks.com/Detail/Detail?PublicationID=P20200227202", "https://www.airitibooks.com/Detail/Detail?PublicationID=P20200227202")</f>
        <v>https://www.airitibooks.com/Detail/Detail?PublicationID=P20200227202</v>
      </c>
      <c r="K1435" s="13" t="str">
        <f>HYPERLINK("https://ntsu.idm.oclc.org/login?url=https://www.airitibooks.com/Detail/Detail?PublicationID=P20200227202", "https://ntsu.idm.oclc.org/login?url=https://www.airitibooks.com/Detail/Detail?PublicationID=P20200227202")</f>
        <v>https://ntsu.idm.oclc.org/login?url=https://www.airitibooks.com/Detail/Detail?PublicationID=P20200227202</v>
      </c>
    </row>
    <row r="1436" spans="1:11" ht="51" x14ac:dyDescent="0.4">
      <c r="A1436" s="10" t="s">
        <v>13745</v>
      </c>
      <c r="B1436" s="10" t="s">
        <v>13746</v>
      </c>
      <c r="C1436" s="10" t="s">
        <v>12491</v>
      </c>
      <c r="D1436" s="10" t="s">
        <v>13747</v>
      </c>
      <c r="E1436" s="10" t="s">
        <v>7391</v>
      </c>
      <c r="F1436" s="10" t="s">
        <v>4029</v>
      </c>
      <c r="G1436" s="10" t="s">
        <v>76</v>
      </c>
      <c r="H1436" s="7" t="s">
        <v>1031</v>
      </c>
      <c r="I1436" s="7" t="s">
        <v>25</v>
      </c>
      <c r="J1436" s="13" t="str">
        <f>HYPERLINK("https://www.airitibooks.com/Detail/Detail?PublicationID=P20200321689", "https://www.airitibooks.com/Detail/Detail?PublicationID=P20200321689")</f>
        <v>https://www.airitibooks.com/Detail/Detail?PublicationID=P20200321689</v>
      </c>
      <c r="K1436" s="13" t="str">
        <f>HYPERLINK("https://ntsu.idm.oclc.org/login?url=https://www.airitibooks.com/Detail/Detail?PublicationID=P20200321689", "https://ntsu.idm.oclc.org/login?url=https://www.airitibooks.com/Detail/Detail?PublicationID=P20200321689")</f>
        <v>https://ntsu.idm.oclc.org/login?url=https://www.airitibooks.com/Detail/Detail?PublicationID=P20200321689</v>
      </c>
    </row>
    <row r="1437" spans="1:11" ht="51" x14ac:dyDescent="0.4">
      <c r="A1437" s="10" t="s">
        <v>13757</v>
      </c>
      <c r="B1437" s="10" t="s">
        <v>13758</v>
      </c>
      <c r="C1437" s="10" t="s">
        <v>12491</v>
      </c>
      <c r="D1437" s="10" t="s">
        <v>13759</v>
      </c>
      <c r="E1437" s="10" t="s">
        <v>7391</v>
      </c>
      <c r="F1437" s="10" t="s">
        <v>5255</v>
      </c>
      <c r="G1437" s="10" t="s">
        <v>76</v>
      </c>
      <c r="H1437" s="7" t="s">
        <v>1031</v>
      </c>
      <c r="I1437" s="7" t="s">
        <v>25</v>
      </c>
      <c r="J1437" s="13" t="str">
        <f>HYPERLINK("https://www.airitibooks.com/Detail/Detail?PublicationID=P20200321725", "https://www.airitibooks.com/Detail/Detail?PublicationID=P20200321725")</f>
        <v>https://www.airitibooks.com/Detail/Detail?PublicationID=P20200321725</v>
      </c>
      <c r="K1437" s="13" t="str">
        <f>HYPERLINK("https://ntsu.idm.oclc.org/login?url=https://www.airitibooks.com/Detail/Detail?PublicationID=P20200321725", "https://ntsu.idm.oclc.org/login?url=https://www.airitibooks.com/Detail/Detail?PublicationID=P20200321725")</f>
        <v>https://ntsu.idm.oclc.org/login?url=https://www.airitibooks.com/Detail/Detail?PublicationID=P20200321725</v>
      </c>
    </row>
    <row r="1438" spans="1:11" ht="51" x14ac:dyDescent="0.4">
      <c r="A1438" s="10" t="s">
        <v>14042</v>
      </c>
      <c r="B1438" s="10" t="s">
        <v>14043</v>
      </c>
      <c r="C1438" s="10" t="s">
        <v>3705</v>
      </c>
      <c r="D1438" s="10" t="s">
        <v>14044</v>
      </c>
      <c r="E1438" s="10" t="s">
        <v>7391</v>
      </c>
      <c r="F1438" s="10" t="s">
        <v>14045</v>
      </c>
      <c r="G1438" s="10" t="s">
        <v>76</v>
      </c>
      <c r="H1438" s="7" t="s">
        <v>24</v>
      </c>
      <c r="I1438" s="7" t="s">
        <v>25</v>
      </c>
      <c r="J1438" s="13" t="str">
        <f>HYPERLINK("https://www.airitibooks.com/Detail/Detail?PublicationID=P20200430231", "https://www.airitibooks.com/Detail/Detail?PublicationID=P20200430231")</f>
        <v>https://www.airitibooks.com/Detail/Detail?PublicationID=P20200430231</v>
      </c>
      <c r="K1438" s="13" t="str">
        <f>HYPERLINK("https://ntsu.idm.oclc.org/login?url=https://www.airitibooks.com/Detail/Detail?PublicationID=P20200430231", "https://ntsu.idm.oclc.org/login?url=https://www.airitibooks.com/Detail/Detail?PublicationID=P20200430231")</f>
        <v>https://ntsu.idm.oclc.org/login?url=https://www.airitibooks.com/Detail/Detail?PublicationID=P20200430231</v>
      </c>
    </row>
    <row r="1439" spans="1:11" ht="51" x14ac:dyDescent="0.4">
      <c r="A1439" s="10" t="s">
        <v>14063</v>
      </c>
      <c r="B1439" s="10" t="s">
        <v>14064</v>
      </c>
      <c r="C1439" s="10" t="s">
        <v>3705</v>
      </c>
      <c r="D1439" s="10" t="s">
        <v>14065</v>
      </c>
      <c r="E1439" s="10" t="s">
        <v>7391</v>
      </c>
      <c r="F1439" s="10" t="s">
        <v>2268</v>
      </c>
      <c r="G1439" s="10" t="s">
        <v>76</v>
      </c>
      <c r="H1439" s="7" t="s">
        <v>24</v>
      </c>
      <c r="I1439" s="7" t="s">
        <v>25</v>
      </c>
      <c r="J1439" s="13" t="str">
        <f>HYPERLINK("https://www.airitibooks.com/Detail/Detail?PublicationID=P20200430238", "https://www.airitibooks.com/Detail/Detail?PublicationID=P20200430238")</f>
        <v>https://www.airitibooks.com/Detail/Detail?PublicationID=P20200430238</v>
      </c>
      <c r="K1439" s="13" t="str">
        <f>HYPERLINK("https://ntsu.idm.oclc.org/login?url=https://www.airitibooks.com/Detail/Detail?PublicationID=P20200430238", "https://ntsu.idm.oclc.org/login?url=https://www.airitibooks.com/Detail/Detail?PublicationID=P20200430238")</f>
        <v>https://ntsu.idm.oclc.org/login?url=https://www.airitibooks.com/Detail/Detail?PublicationID=P20200430238</v>
      </c>
    </row>
    <row r="1440" spans="1:11" ht="51" x14ac:dyDescent="0.4">
      <c r="A1440" s="10" t="s">
        <v>14089</v>
      </c>
      <c r="B1440" s="10" t="s">
        <v>14090</v>
      </c>
      <c r="C1440" s="10" t="s">
        <v>13117</v>
      </c>
      <c r="D1440" s="10" t="s">
        <v>14091</v>
      </c>
      <c r="E1440" s="10" t="s">
        <v>7391</v>
      </c>
      <c r="F1440" s="10" t="s">
        <v>104</v>
      </c>
      <c r="G1440" s="10" t="s">
        <v>76</v>
      </c>
      <c r="H1440" s="7" t="s">
        <v>1031</v>
      </c>
      <c r="I1440" s="7" t="s">
        <v>25</v>
      </c>
      <c r="J1440" s="13" t="str">
        <f>HYPERLINK("https://www.airitibooks.com/Detail/Detail?PublicationID=P20200507390", "https://www.airitibooks.com/Detail/Detail?PublicationID=P20200507390")</f>
        <v>https://www.airitibooks.com/Detail/Detail?PublicationID=P20200507390</v>
      </c>
      <c r="K1440" s="13" t="str">
        <f>HYPERLINK("https://ntsu.idm.oclc.org/login?url=https://www.airitibooks.com/Detail/Detail?PublicationID=P20200507390", "https://ntsu.idm.oclc.org/login?url=https://www.airitibooks.com/Detail/Detail?PublicationID=P20200507390")</f>
        <v>https://ntsu.idm.oclc.org/login?url=https://www.airitibooks.com/Detail/Detail?PublicationID=P20200507390</v>
      </c>
    </row>
    <row r="1441" spans="1:11" ht="51" x14ac:dyDescent="0.4">
      <c r="A1441" s="10" t="s">
        <v>14215</v>
      </c>
      <c r="B1441" s="10" t="s">
        <v>14216</v>
      </c>
      <c r="C1441" s="10" t="s">
        <v>11995</v>
      </c>
      <c r="D1441" s="10" t="s">
        <v>14217</v>
      </c>
      <c r="E1441" s="10" t="s">
        <v>7391</v>
      </c>
      <c r="F1441" s="10" t="s">
        <v>4029</v>
      </c>
      <c r="G1441" s="10" t="s">
        <v>76</v>
      </c>
      <c r="H1441" s="7" t="s">
        <v>24</v>
      </c>
      <c r="I1441" s="7" t="s">
        <v>25</v>
      </c>
      <c r="J1441" s="13" t="str">
        <f>HYPERLINK("https://www.airitibooks.com/Detail/Detail?PublicationID=P20200521177", "https://www.airitibooks.com/Detail/Detail?PublicationID=P20200521177")</f>
        <v>https://www.airitibooks.com/Detail/Detail?PublicationID=P20200521177</v>
      </c>
      <c r="K1441" s="13" t="str">
        <f>HYPERLINK("https://ntsu.idm.oclc.org/login?url=https://www.airitibooks.com/Detail/Detail?PublicationID=P20200521177", "https://ntsu.idm.oclc.org/login?url=https://www.airitibooks.com/Detail/Detail?PublicationID=P20200521177")</f>
        <v>https://ntsu.idm.oclc.org/login?url=https://www.airitibooks.com/Detail/Detail?PublicationID=P20200521177</v>
      </c>
    </row>
    <row r="1442" spans="1:11" ht="51" x14ac:dyDescent="0.4">
      <c r="A1442" s="10" t="s">
        <v>14257</v>
      </c>
      <c r="B1442" s="10" t="s">
        <v>14258</v>
      </c>
      <c r="C1442" s="10" t="s">
        <v>11995</v>
      </c>
      <c r="D1442" s="10" t="s">
        <v>14259</v>
      </c>
      <c r="E1442" s="10" t="s">
        <v>7391</v>
      </c>
      <c r="F1442" s="10" t="s">
        <v>4029</v>
      </c>
      <c r="G1442" s="10" t="s">
        <v>76</v>
      </c>
      <c r="H1442" s="7" t="s">
        <v>24</v>
      </c>
      <c r="I1442" s="7" t="s">
        <v>25</v>
      </c>
      <c r="J1442" s="13" t="str">
        <f>HYPERLINK("https://www.airitibooks.com/Detail/Detail?PublicationID=P20200521228", "https://www.airitibooks.com/Detail/Detail?PublicationID=P20200521228")</f>
        <v>https://www.airitibooks.com/Detail/Detail?PublicationID=P20200521228</v>
      </c>
      <c r="K1442" s="13" t="str">
        <f>HYPERLINK("https://ntsu.idm.oclc.org/login?url=https://www.airitibooks.com/Detail/Detail?PublicationID=P20200521228", "https://ntsu.idm.oclc.org/login?url=https://www.airitibooks.com/Detail/Detail?PublicationID=P20200521228")</f>
        <v>https://ntsu.idm.oclc.org/login?url=https://www.airitibooks.com/Detail/Detail?PublicationID=P20200521228</v>
      </c>
    </row>
    <row r="1443" spans="1:11" ht="51" x14ac:dyDescent="0.4">
      <c r="A1443" s="10" t="s">
        <v>14332</v>
      </c>
      <c r="B1443" s="10" t="s">
        <v>14333</v>
      </c>
      <c r="C1443" s="10" t="s">
        <v>9828</v>
      </c>
      <c r="D1443" s="10" t="s">
        <v>14334</v>
      </c>
      <c r="E1443" s="10" t="s">
        <v>7391</v>
      </c>
      <c r="F1443" s="10" t="s">
        <v>13632</v>
      </c>
      <c r="G1443" s="10" t="s">
        <v>76</v>
      </c>
      <c r="H1443" s="7" t="s">
        <v>1031</v>
      </c>
      <c r="I1443" s="7" t="s">
        <v>25</v>
      </c>
      <c r="J1443" s="13" t="str">
        <f>HYPERLINK("https://www.airitibooks.com/Detail/Detail?PublicationID=P20200605513", "https://www.airitibooks.com/Detail/Detail?PublicationID=P20200605513")</f>
        <v>https://www.airitibooks.com/Detail/Detail?PublicationID=P20200605513</v>
      </c>
      <c r="K1443" s="13" t="str">
        <f>HYPERLINK("https://ntsu.idm.oclc.org/login?url=https://www.airitibooks.com/Detail/Detail?PublicationID=P20200605513", "https://ntsu.idm.oclc.org/login?url=https://www.airitibooks.com/Detail/Detail?PublicationID=P20200605513")</f>
        <v>https://ntsu.idm.oclc.org/login?url=https://www.airitibooks.com/Detail/Detail?PublicationID=P20200605513</v>
      </c>
    </row>
    <row r="1444" spans="1:11" ht="51" x14ac:dyDescent="0.4">
      <c r="A1444" s="10" t="s">
        <v>14627</v>
      </c>
      <c r="B1444" s="10" t="s">
        <v>14628</v>
      </c>
      <c r="C1444" s="10" t="s">
        <v>9828</v>
      </c>
      <c r="D1444" s="10" t="s">
        <v>14629</v>
      </c>
      <c r="E1444" s="10" t="s">
        <v>7391</v>
      </c>
      <c r="F1444" s="10" t="s">
        <v>8194</v>
      </c>
      <c r="G1444" s="10" t="s">
        <v>76</v>
      </c>
      <c r="H1444" s="7" t="s">
        <v>1031</v>
      </c>
      <c r="I1444" s="7" t="s">
        <v>25</v>
      </c>
      <c r="J1444" s="13" t="str">
        <f>HYPERLINK("https://www.airitibooks.com/Detail/Detail?PublicationID=P20200820207", "https://www.airitibooks.com/Detail/Detail?PublicationID=P20200820207")</f>
        <v>https://www.airitibooks.com/Detail/Detail?PublicationID=P20200820207</v>
      </c>
      <c r="K1444" s="13" t="str">
        <f>HYPERLINK("https://ntsu.idm.oclc.org/login?url=https://www.airitibooks.com/Detail/Detail?PublicationID=P20200820207", "https://ntsu.idm.oclc.org/login?url=https://www.airitibooks.com/Detail/Detail?PublicationID=P20200820207")</f>
        <v>https://ntsu.idm.oclc.org/login?url=https://www.airitibooks.com/Detail/Detail?PublicationID=P20200820207</v>
      </c>
    </row>
    <row r="1445" spans="1:11" ht="51" x14ac:dyDescent="0.4">
      <c r="A1445" s="10" t="s">
        <v>14640</v>
      </c>
      <c r="B1445" s="10" t="s">
        <v>14641</v>
      </c>
      <c r="C1445" s="10" t="s">
        <v>9828</v>
      </c>
      <c r="D1445" s="10" t="s">
        <v>14642</v>
      </c>
      <c r="E1445" s="10" t="s">
        <v>7391</v>
      </c>
      <c r="F1445" s="10" t="s">
        <v>2898</v>
      </c>
      <c r="G1445" s="10" t="s">
        <v>76</v>
      </c>
      <c r="H1445" s="7" t="s">
        <v>1031</v>
      </c>
      <c r="I1445" s="7" t="s">
        <v>25</v>
      </c>
      <c r="J1445" s="13" t="str">
        <f>HYPERLINK("https://www.airitibooks.com/Detail/Detail?PublicationID=P20200828103", "https://www.airitibooks.com/Detail/Detail?PublicationID=P20200828103")</f>
        <v>https://www.airitibooks.com/Detail/Detail?PublicationID=P20200828103</v>
      </c>
      <c r="K1445" s="13" t="str">
        <f>HYPERLINK("https://ntsu.idm.oclc.org/login?url=https://www.airitibooks.com/Detail/Detail?PublicationID=P20200828103", "https://ntsu.idm.oclc.org/login?url=https://www.airitibooks.com/Detail/Detail?PublicationID=P20200828103")</f>
        <v>https://ntsu.idm.oclc.org/login?url=https://www.airitibooks.com/Detail/Detail?PublicationID=P20200828103</v>
      </c>
    </row>
    <row r="1446" spans="1:11" ht="51" x14ac:dyDescent="0.4">
      <c r="A1446" s="10" t="s">
        <v>14643</v>
      </c>
      <c r="B1446" s="10" t="s">
        <v>14644</v>
      </c>
      <c r="C1446" s="10" t="s">
        <v>9828</v>
      </c>
      <c r="D1446" s="10" t="s">
        <v>14645</v>
      </c>
      <c r="E1446" s="10" t="s">
        <v>7391</v>
      </c>
      <c r="F1446" s="10" t="s">
        <v>3731</v>
      </c>
      <c r="G1446" s="10" t="s">
        <v>76</v>
      </c>
      <c r="H1446" s="7" t="s">
        <v>1031</v>
      </c>
      <c r="I1446" s="7" t="s">
        <v>25</v>
      </c>
      <c r="J1446" s="13" t="str">
        <f>HYPERLINK("https://www.airitibooks.com/Detail/Detail?PublicationID=P20200828113", "https://www.airitibooks.com/Detail/Detail?PublicationID=P20200828113")</f>
        <v>https://www.airitibooks.com/Detail/Detail?PublicationID=P20200828113</v>
      </c>
      <c r="K1446" s="13" t="str">
        <f>HYPERLINK("https://ntsu.idm.oclc.org/login?url=https://www.airitibooks.com/Detail/Detail?PublicationID=P20200828113", "https://ntsu.idm.oclc.org/login?url=https://www.airitibooks.com/Detail/Detail?PublicationID=P20200828113")</f>
        <v>https://ntsu.idm.oclc.org/login?url=https://www.airitibooks.com/Detail/Detail?PublicationID=P20200828113</v>
      </c>
    </row>
    <row r="1447" spans="1:11" ht="51" x14ac:dyDescent="0.4">
      <c r="A1447" s="10" t="s">
        <v>14646</v>
      </c>
      <c r="B1447" s="10" t="s">
        <v>14647</v>
      </c>
      <c r="C1447" s="10" t="s">
        <v>9828</v>
      </c>
      <c r="D1447" s="10" t="s">
        <v>14648</v>
      </c>
      <c r="E1447" s="10" t="s">
        <v>7391</v>
      </c>
      <c r="F1447" s="10" t="s">
        <v>3731</v>
      </c>
      <c r="G1447" s="10" t="s">
        <v>76</v>
      </c>
      <c r="H1447" s="7" t="s">
        <v>1031</v>
      </c>
      <c r="I1447" s="7" t="s">
        <v>25</v>
      </c>
      <c r="J1447" s="13" t="str">
        <f>HYPERLINK("https://www.airitibooks.com/Detail/Detail?PublicationID=P20200828122", "https://www.airitibooks.com/Detail/Detail?PublicationID=P20200828122")</f>
        <v>https://www.airitibooks.com/Detail/Detail?PublicationID=P20200828122</v>
      </c>
      <c r="K1447" s="13" t="str">
        <f>HYPERLINK("https://ntsu.idm.oclc.org/login?url=https://www.airitibooks.com/Detail/Detail?PublicationID=P20200828122", "https://ntsu.idm.oclc.org/login?url=https://www.airitibooks.com/Detail/Detail?PublicationID=P20200828122")</f>
        <v>https://ntsu.idm.oclc.org/login?url=https://www.airitibooks.com/Detail/Detail?PublicationID=P20200828122</v>
      </c>
    </row>
    <row r="1448" spans="1:11" ht="51" x14ac:dyDescent="0.4">
      <c r="A1448" s="10" t="s">
        <v>14649</v>
      </c>
      <c r="B1448" s="10" t="s">
        <v>14650</v>
      </c>
      <c r="C1448" s="10" t="s">
        <v>9828</v>
      </c>
      <c r="D1448" s="10" t="s">
        <v>14651</v>
      </c>
      <c r="E1448" s="10" t="s">
        <v>7391</v>
      </c>
      <c r="F1448" s="10" t="s">
        <v>3731</v>
      </c>
      <c r="G1448" s="10" t="s">
        <v>76</v>
      </c>
      <c r="H1448" s="7" t="s">
        <v>1031</v>
      </c>
      <c r="I1448" s="7" t="s">
        <v>25</v>
      </c>
      <c r="J1448" s="13" t="str">
        <f>HYPERLINK("https://www.airitibooks.com/Detail/Detail?PublicationID=P20200828124", "https://www.airitibooks.com/Detail/Detail?PublicationID=P20200828124")</f>
        <v>https://www.airitibooks.com/Detail/Detail?PublicationID=P20200828124</v>
      </c>
      <c r="K1448" s="13" t="str">
        <f>HYPERLINK("https://ntsu.idm.oclc.org/login?url=https://www.airitibooks.com/Detail/Detail?PublicationID=P20200828124", "https://ntsu.idm.oclc.org/login?url=https://www.airitibooks.com/Detail/Detail?PublicationID=P20200828124")</f>
        <v>https://ntsu.idm.oclc.org/login?url=https://www.airitibooks.com/Detail/Detail?PublicationID=P20200828124</v>
      </c>
    </row>
    <row r="1449" spans="1:11" ht="51" x14ac:dyDescent="0.4">
      <c r="A1449" s="10" t="s">
        <v>14652</v>
      </c>
      <c r="B1449" s="10" t="s">
        <v>14653</v>
      </c>
      <c r="C1449" s="10" t="s">
        <v>9828</v>
      </c>
      <c r="D1449" s="10" t="s">
        <v>9927</v>
      </c>
      <c r="E1449" s="10" t="s">
        <v>7391</v>
      </c>
      <c r="F1449" s="10" t="s">
        <v>3731</v>
      </c>
      <c r="G1449" s="10" t="s">
        <v>76</v>
      </c>
      <c r="H1449" s="7" t="s">
        <v>1031</v>
      </c>
      <c r="I1449" s="7" t="s">
        <v>25</v>
      </c>
      <c r="J1449" s="13" t="str">
        <f>HYPERLINK("https://www.airitibooks.com/Detail/Detail?PublicationID=P20200828138", "https://www.airitibooks.com/Detail/Detail?PublicationID=P20200828138")</f>
        <v>https://www.airitibooks.com/Detail/Detail?PublicationID=P20200828138</v>
      </c>
      <c r="K1449" s="13" t="str">
        <f>HYPERLINK("https://ntsu.idm.oclc.org/login?url=https://www.airitibooks.com/Detail/Detail?PublicationID=P20200828138", "https://ntsu.idm.oclc.org/login?url=https://www.airitibooks.com/Detail/Detail?PublicationID=P20200828138")</f>
        <v>https://ntsu.idm.oclc.org/login?url=https://www.airitibooks.com/Detail/Detail?PublicationID=P20200828138</v>
      </c>
    </row>
    <row r="1450" spans="1:11" ht="51" x14ac:dyDescent="0.4">
      <c r="A1450" s="10" t="s">
        <v>8485</v>
      </c>
      <c r="B1450" s="10" t="s">
        <v>8486</v>
      </c>
      <c r="C1450" s="10" t="s">
        <v>7164</v>
      </c>
      <c r="D1450" s="10" t="s">
        <v>8487</v>
      </c>
      <c r="E1450" s="10" t="s">
        <v>7391</v>
      </c>
      <c r="F1450" s="10" t="s">
        <v>1462</v>
      </c>
      <c r="G1450" s="10" t="s">
        <v>55</v>
      </c>
      <c r="H1450" s="7" t="s">
        <v>24</v>
      </c>
      <c r="I1450" s="7" t="s">
        <v>25</v>
      </c>
      <c r="J1450" s="13" t="str">
        <f>HYPERLINK("https://www.airitibooks.com/Detail/Detail?PublicationID=P20180208196", "https://www.airitibooks.com/Detail/Detail?PublicationID=P20180208196")</f>
        <v>https://www.airitibooks.com/Detail/Detail?PublicationID=P20180208196</v>
      </c>
      <c r="K1450" s="13" t="str">
        <f>HYPERLINK("https://ntsu.idm.oclc.org/login?url=https://www.airitibooks.com/Detail/Detail?PublicationID=P20180208196", "https://ntsu.idm.oclc.org/login?url=https://www.airitibooks.com/Detail/Detail?PublicationID=P20180208196")</f>
        <v>https://ntsu.idm.oclc.org/login?url=https://www.airitibooks.com/Detail/Detail?PublicationID=P20180208196</v>
      </c>
    </row>
    <row r="1451" spans="1:11" ht="51" x14ac:dyDescent="0.4">
      <c r="A1451" s="10" t="s">
        <v>9347</v>
      </c>
      <c r="B1451" s="10" t="s">
        <v>9348</v>
      </c>
      <c r="C1451" s="10" t="s">
        <v>938</v>
      </c>
      <c r="D1451" s="10" t="s">
        <v>9349</v>
      </c>
      <c r="E1451" s="10" t="s">
        <v>7391</v>
      </c>
      <c r="F1451" s="10" t="s">
        <v>946</v>
      </c>
      <c r="G1451" s="10" t="s">
        <v>55</v>
      </c>
      <c r="H1451" s="7" t="s">
        <v>24</v>
      </c>
      <c r="I1451" s="7" t="s">
        <v>25</v>
      </c>
      <c r="J1451" s="13" t="str">
        <f>HYPERLINK("https://www.airitibooks.com/Detail/Detail?PublicationID=P20180604002", "https://www.airitibooks.com/Detail/Detail?PublicationID=P20180604002")</f>
        <v>https://www.airitibooks.com/Detail/Detail?PublicationID=P20180604002</v>
      </c>
      <c r="K1451" s="13" t="str">
        <f>HYPERLINK("https://ntsu.idm.oclc.org/login?url=https://www.airitibooks.com/Detail/Detail?PublicationID=P20180604002", "https://ntsu.idm.oclc.org/login?url=https://www.airitibooks.com/Detail/Detail?PublicationID=P20180604002")</f>
        <v>https://ntsu.idm.oclc.org/login?url=https://www.airitibooks.com/Detail/Detail?PublicationID=P20180604002</v>
      </c>
    </row>
    <row r="1452" spans="1:11" ht="51" x14ac:dyDescent="0.4">
      <c r="A1452" s="10" t="s">
        <v>9403</v>
      </c>
      <c r="B1452" s="10" t="s">
        <v>9404</v>
      </c>
      <c r="C1452" s="10" t="s">
        <v>240</v>
      </c>
      <c r="D1452" s="10" t="s">
        <v>9405</v>
      </c>
      <c r="E1452" s="10" t="s">
        <v>7391</v>
      </c>
      <c r="F1452" s="10" t="s">
        <v>9406</v>
      </c>
      <c r="G1452" s="10" t="s">
        <v>55</v>
      </c>
      <c r="H1452" s="7" t="s">
        <v>24</v>
      </c>
      <c r="I1452" s="7" t="s">
        <v>25</v>
      </c>
      <c r="J1452" s="13" t="str">
        <f>HYPERLINK("https://www.airitibooks.com/Detail/Detail?PublicationID=P20180613022", "https://www.airitibooks.com/Detail/Detail?PublicationID=P20180613022")</f>
        <v>https://www.airitibooks.com/Detail/Detail?PublicationID=P20180613022</v>
      </c>
      <c r="K1452" s="13" t="str">
        <f>HYPERLINK("https://ntsu.idm.oclc.org/login?url=https://www.airitibooks.com/Detail/Detail?PublicationID=P20180613022", "https://ntsu.idm.oclc.org/login?url=https://www.airitibooks.com/Detail/Detail?PublicationID=P20180613022")</f>
        <v>https://ntsu.idm.oclc.org/login?url=https://www.airitibooks.com/Detail/Detail?PublicationID=P20180613022</v>
      </c>
    </row>
    <row r="1453" spans="1:11" ht="51" x14ac:dyDescent="0.4">
      <c r="A1453" s="10" t="s">
        <v>10464</v>
      </c>
      <c r="B1453" s="10" t="s">
        <v>10465</v>
      </c>
      <c r="C1453" s="10" t="s">
        <v>439</v>
      </c>
      <c r="D1453" s="10" t="s">
        <v>10466</v>
      </c>
      <c r="E1453" s="10" t="s">
        <v>7391</v>
      </c>
      <c r="F1453" s="10" t="s">
        <v>59</v>
      </c>
      <c r="G1453" s="10" t="s">
        <v>55</v>
      </c>
      <c r="H1453" s="7" t="s">
        <v>24</v>
      </c>
      <c r="I1453" s="7" t="s">
        <v>25</v>
      </c>
      <c r="J1453" s="13" t="str">
        <f>HYPERLINK("https://www.airitibooks.com/Detail/Detail?PublicationID=P20181221101", "https://www.airitibooks.com/Detail/Detail?PublicationID=P20181221101")</f>
        <v>https://www.airitibooks.com/Detail/Detail?PublicationID=P20181221101</v>
      </c>
      <c r="K1453" s="13" t="str">
        <f>HYPERLINK("https://ntsu.idm.oclc.org/login?url=https://www.airitibooks.com/Detail/Detail?PublicationID=P20181221101", "https://ntsu.idm.oclc.org/login?url=https://www.airitibooks.com/Detail/Detail?PublicationID=P20181221101")</f>
        <v>https://ntsu.idm.oclc.org/login?url=https://www.airitibooks.com/Detail/Detail?PublicationID=P20181221101</v>
      </c>
    </row>
    <row r="1454" spans="1:11" ht="51" x14ac:dyDescent="0.4">
      <c r="A1454" s="10" t="s">
        <v>10514</v>
      </c>
      <c r="B1454" s="10" t="s">
        <v>10515</v>
      </c>
      <c r="C1454" s="10" t="s">
        <v>1034</v>
      </c>
      <c r="D1454" s="10" t="s">
        <v>10516</v>
      </c>
      <c r="E1454" s="10" t="s">
        <v>7391</v>
      </c>
      <c r="F1454" s="10" t="s">
        <v>1462</v>
      </c>
      <c r="G1454" s="10" t="s">
        <v>55</v>
      </c>
      <c r="H1454" s="7" t="s">
        <v>24</v>
      </c>
      <c r="I1454" s="7" t="s">
        <v>25</v>
      </c>
      <c r="J1454" s="13" t="str">
        <f>HYPERLINK("https://www.airitibooks.com/Detail/Detail?PublicationID=P20181225007", "https://www.airitibooks.com/Detail/Detail?PublicationID=P20181225007")</f>
        <v>https://www.airitibooks.com/Detail/Detail?PublicationID=P20181225007</v>
      </c>
      <c r="K1454" s="13" t="str">
        <f>HYPERLINK("https://ntsu.idm.oclc.org/login?url=https://www.airitibooks.com/Detail/Detail?PublicationID=P20181225007", "https://ntsu.idm.oclc.org/login?url=https://www.airitibooks.com/Detail/Detail?PublicationID=P20181225007")</f>
        <v>https://ntsu.idm.oclc.org/login?url=https://www.airitibooks.com/Detail/Detail?PublicationID=P20181225007</v>
      </c>
    </row>
    <row r="1455" spans="1:11" ht="85" x14ac:dyDescent="0.4">
      <c r="A1455" s="10" t="s">
        <v>10520</v>
      </c>
      <c r="B1455" s="10" t="s">
        <v>10521</v>
      </c>
      <c r="C1455" s="10" t="s">
        <v>1504</v>
      </c>
      <c r="D1455" s="10" t="s">
        <v>10522</v>
      </c>
      <c r="E1455" s="10" t="s">
        <v>7391</v>
      </c>
      <c r="F1455" s="10" t="s">
        <v>2205</v>
      </c>
      <c r="G1455" s="10" t="s">
        <v>55</v>
      </c>
      <c r="H1455" s="7" t="s">
        <v>24</v>
      </c>
      <c r="I1455" s="7" t="s">
        <v>25</v>
      </c>
      <c r="J1455" s="13" t="str">
        <f>HYPERLINK("https://www.airitibooks.com/Detail/Detail?PublicationID=P20181225050", "https://www.airitibooks.com/Detail/Detail?PublicationID=P20181225050")</f>
        <v>https://www.airitibooks.com/Detail/Detail?PublicationID=P20181225050</v>
      </c>
      <c r="K1455" s="13" t="str">
        <f>HYPERLINK("https://ntsu.idm.oclc.org/login?url=https://www.airitibooks.com/Detail/Detail?PublicationID=P20181225050", "https://ntsu.idm.oclc.org/login?url=https://www.airitibooks.com/Detail/Detail?PublicationID=P20181225050")</f>
        <v>https://ntsu.idm.oclc.org/login?url=https://www.airitibooks.com/Detail/Detail?PublicationID=P20181225050</v>
      </c>
    </row>
    <row r="1456" spans="1:11" ht="51" x14ac:dyDescent="0.4">
      <c r="A1456" s="10" t="s">
        <v>10527</v>
      </c>
      <c r="B1456" s="10" t="s">
        <v>10528</v>
      </c>
      <c r="C1456" s="10" t="s">
        <v>1504</v>
      </c>
      <c r="D1456" s="10" t="s">
        <v>10529</v>
      </c>
      <c r="E1456" s="10" t="s">
        <v>7391</v>
      </c>
      <c r="F1456" s="10" t="s">
        <v>2205</v>
      </c>
      <c r="G1456" s="10" t="s">
        <v>55</v>
      </c>
      <c r="H1456" s="7" t="s">
        <v>24</v>
      </c>
      <c r="I1456" s="7" t="s">
        <v>25</v>
      </c>
      <c r="J1456" s="13" t="str">
        <f>HYPERLINK("https://www.airitibooks.com/Detail/Detail?PublicationID=P20181225052", "https://www.airitibooks.com/Detail/Detail?PublicationID=P20181225052")</f>
        <v>https://www.airitibooks.com/Detail/Detail?PublicationID=P20181225052</v>
      </c>
      <c r="K1456" s="13" t="str">
        <f>HYPERLINK("https://ntsu.idm.oclc.org/login?url=https://www.airitibooks.com/Detail/Detail?PublicationID=P20181225052", "https://ntsu.idm.oclc.org/login?url=https://www.airitibooks.com/Detail/Detail?PublicationID=P20181225052")</f>
        <v>https://ntsu.idm.oclc.org/login?url=https://www.airitibooks.com/Detail/Detail?PublicationID=P20181225052</v>
      </c>
    </row>
    <row r="1457" spans="1:11" ht="68" x14ac:dyDescent="0.4">
      <c r="A1457" s="10" t="s">
        <v>10532</v>
      </c>
      <c r="B1457" s="10" t="s">
        <v>10533</v>
      </c>
      <c r="C1457" s="10" t="s">
        <v>1504</v>
      </c>
      <c r="D1457" s="10" t="s">
        <v>10534</v>
      </c>
      <c r="E1457" s="10" t="s">
        <v>7391</v>
      </c>
      <c r="F1457" s="10" t="s">
        <v>2176</v>
      </c>
      <c r="G1457" s="10" t="s">
        <v>55</v>
      </c>
      <c r="H1457" s="7" t="s">
        <v>24</v>
      </c>
      <c r="I1457" s="7" t="s">
        <v>25</v>
      </c>
      <c r="J1457" s="13" t="str">
        <f>HYPERLINK("https://www.airitibooks.com/Detail/Detail?PublicationID=P20181225055", "https://www.airitibooks.com/Detail/Detail?PublicationID=P20181225055")</f>
        <v>https://www.airitibooks.com/Detail/Detail?PublicationID=P20181225055</v>
      </c>
      <c r="K1457" s="13" t="str">
        <f>HYPERLINK("https://ntsu.idm.oclc.org/login?url=https://www.airitibooks.com/Detail/Detail?PublicationID=P20181225055", "https://ntsu.idm.oclc.org/login?url=https://www.airitibooks.com/Detail/Detail?PublicationID=P20181225055")</f>
        <v>https://ntsu.idm.oclc.org/login?url=https://www.airitibooks.com/Detail/Detail?PublicationID=P20181225055</v>
      </c>
    </row>
    <row r="1458" spans="1:11" ht="51" x14ac:dyDescent="0.4">
      <c r="A1458" s="10" t="s">
        <v>10535</v>
      </c>
      <c r="B1458" s="10" t="s">
        <v>10536</v>
      </c>
      <c r="C1458" s="10" t="s">
        <v>1504</v>
      </c>
      <c r="D1458" s="10" t="s">
        <v>10519</v>
      </c>
      <c r="E1458" s="10" t="s">
        <v>7391</v>
      </c>
      <c r="F1458" s="10" t="s">
        <v>2201</v>
      </c>
      <c r="G1458" s="10" t="s">
        <v>55</v>
      </c>
      <c r="H1458" s="7" t="s">
        <v>24</v>
      </c>
      <c r="I1458" s="7" t="s">
        <v>25</v>
      </c>
      <c r="J1458" s="13" t="str">
        <f>HYPERLINK("https://www.airitibooks.com/Detail/Detail?PublicationID=P20181225056", "https://www.airitibooks.com/Detail/Detail?PublicationID=P20181225056")</f>
        <v>https://www.airitibooks.com/Detail/Detail?PublicationID=P20181225056</v>
      </c>
      <c r="K1458" s="13" t="str">
        <f>HYPERLINK("https://ntsu.idm.oclc.org/login?url=https://www.airitibooks.com/Detail/Detail?PublicationID=P20181225056", "https://ntsu.idm.oclc.org/login?url=https://www.airitibooks.com/Detail/Detail?PublicationID=P20181225056")</f>
        <v>https://ntsu.idm.oclc.org/login?url=https://www.airitibooks.com/Detail/Detail?PublicationID=P20181225056</v>
      </c>
    </row>
    <row r="1459" spans="1:11" ht="51" x14ac:dyDescent="0.4">
      <c r="A1459" s="10" t="s">
        <v>10537</v>
      </c>
      <c r="B1459" s="10" t="s">
        <v>10538</v>
      </c>
      <c r="C1459" s="10" t="s">
        <v>1504</v>
      </c>
      <c r="D1459" s="10" t="s">
        <v>10529</v>
      </c>
      <c r="E1459" s="10" t="s">
        <v>7391</v>
      </c>
      <c r="F1459" s="10" t="s">
        <v>2205</v>
      </c>
      <c r="G1459" s="10" t="s">
        <v>55</v>
      </c>
      <c r="H1459" s="7" t="s">
        <v>24</v>
      </c>
      <c r="I1459" s="7" t="s">
        <v>25</v>
      </c>
      <c r="J1459" s="13" t="str">
        <f>HYPERLINK("https://www.airitibooks.com/Detail/Detail?PublicationID=P20181225057", "https://www.airitibooks.com/Detail/Detail?PublicationID=P20181225057")</f>
        <v>https://www.airitibooks.com/Detail/Detail?PublicationID=P20181225057</v>
      </c>
      <c r="K1459" s="13" t="str">
        <f>HYPERLINK("https://ntsu.idm.oclc.org/login?url=https://www.airitibooks.com/Detail/Detail?PublicationID=P20181225057", "https://ntsu.idm.oclc.org/login?url=https://www.airitibooks.com/Detail/Detail?PublicationID=P20181225057")</f>
        <v>https://ntsu.idm.oclc.org/login?url=https://www.airitibooks.com/Detail/Detail?PublicationID=P20181225057</v>
      </c>
    </row>
    <row r="1460" spans="1:11" ht="68" x14ac:dyDescent="0.4">
      <c r="A1460" s="10" t="s">
        <v>10539</v>
      </c>
      <c r="B1460" s="10" t="s">
        <v>10540</v>
      </c>
      <c r="C1460" s="10" t="s">
        <v>1504</v>
      </c>
      <c r="D1460" s="10" t="s">
        <v>10541</v>
      </c>
      <c r="E1460" s="10" t="s">
        <v>7391</v>
      </c>
      <c r="F1460" s="10" t="s">
        <v>2180</v>
      </c>
      <c r="G1460" s="10" t="s">
        <v>55</v>
      </c>
      <c r="H1460" s="7" t="s">
        <v>24</v>
      </c>
      <c r="I1460" s="7" t="s">
        <v>25</v>
      </c>
      <c r="J1460" s="13" t="str">
        <f>HYPERLINK("https://www.airitibooks.com/Detail/Detail?PublicationID=P20181225058", "https://www.airitibooks.com/Detail/Detail?PublicationID=P20181225058")</f>
        <v>https://www.airitibooks.com/Detail/Detail?PublicationID=P20181225058</v>
      </c>
      <c r="K1460" s="13" t="str">
        <f>HYPERLINK("https://ntsu.idm.oclc.org/login?url=https://www.airitibooks.com/Detail/Detail?PublicationID=P20181225058", "https://ntsu.idm.oclc.org/login?url=https://www.airitibooks.com/Detail/Detail?PublicationID=P20181225058")</f>
        <v>https://ntsu.idm.oclc.org/login?url=https://www.airitibooks.com/Detail/Detail?PublicationID=P20181225058</v>
      </c>
    </row>
    <row r="1461" spans="1:11" ht="68" x14ac:dyDescent="0.4">
      <c r="A1461" s="10" t="s">
        <v>10542</v>
      </c>
      <c r="B1461" s="10" t="s">
        <v>10543</v>
      </c>
      <c r="C1461" s="10" t="s">
        <v>1504</v>
      </c>
      <c r="D1461" s="10" t="s">
        <v>10544</v>
      </c>
      <c r="E1461" s="10" t="s">
        <v>7391</v>
      </c>
      <c r="F1461" s="10" t="s">
        <v>2184</v>
      </c>
      <c r="G1461" s="10" t="s">
        <v>55</v>
      </c>
      <c r="H1461" s="7" t="s">
        <v>24</v>
      </c>
      <c r="I1461" s="7" t="s">
        <v>25</v>
      </c>
      <c r="J1461" s="13" t="str">
        <f>HYPERLINK("https://www.airitibooks.com/Detail/Detail?PublicationID=P20181225060", "https://www.airitibooks.com/Detail/Detail?PublicationID=P20181225060")</f>
        <v>https://www.airitibooks.com/Detail/Detail?PublicationID=P20181225060</v>
      </c>
      <c r="K1461" s="13" t="str">
        <f>HYPERLINK("https://ntsu.idm.oclc.org/login?url=https://www.airitibooks.com/Detail/Detail?PublicationID=P20181225060", "https://ntsu.idm.oclc.org/login?url=https://www.airitibooks.com/Detail/Detail?PublicationID=P20181225060")</f>
        <v>https://ntsu.idm.oclc.org/login?url=https://www.airitibooks.com/Detail/Detail?PublicationID=P20181225060</v>
      </c>
    </row>
    <row r="1462" spans="1:11" ht="68" x14ac:dyDescent="0.4">
      <c r="A1462" s="10" t="s">
        <v>10545</v>
      </c>
      <c r="B1462" s="10" t="s">
        <v>10546</v>
      </c>
      <c r="C1462" s="10" t="s">
        <v>1504</v>
      </c>
      <c r="D1462" s="10" t="s">
        <v>10547</v>
      </c>
      <c r="E1462" s="10" t="s">
        <v>7391</v>
      </c>
      <c r="F1462" s="10" t="s">
        <v>2205</v>
      </c>
      <c r="G1462" s="10" t="s">
        <v>55</v>
      </c>
      <c r="H1462" s="7" t="s">
        <v>24</v>
      </c>
      <c r="I1462" s="7" t="s">
        <v>25</v>
      </c>
      <c r="J1462" s="13" t="str">
        <f>HYPERLINK("https://www.airitibooks.com/Detail/Detail?PublicationID=P20181225063", "https://www.airitibooks.com/Detail/Detail?PublicationID=P20181225063")</f>
        <v>https://www.airitibooks.com/Detail/Detail?PublicationID=P20181225063</v>
      </c>
      <c r="K1462" s="13" t="str">
        <f>HYPERLINK("https://ntsu.idm.oclc.org/login?url=https://www.airitibooks.com/Detail/Detail?PublicationID=P20181225063", "https://ntsu.idm.oclc.org/login?url=https://www.airitibooks.com/Detail/Detail?PublicationID=P20181225063")</f>
        <v>https://ntsu.idm.oclc.org/login?url=https://www.airitibooks.com/Detail/Detail?PublicationID=P20181225063</v>
      </c>
    </row>
    <row r="1463" spans="1:11" ht="51" x14ac:dyDescent="0.4">
      <c r="A1463" s="10" t="s">
        <v>10548</v>
      </c>
      <c r="B1463" s="10" t="s">
        <v>10549</v>
      </c>
      <c r="C1463" s="10" t="s">
        <v>1504</v>
      </c>
      <c r="D1463" s="10" t="s">
        <v>10550</v>
      </c>
      <c r="E1463" s="10" t="s">
        <v>7391</v>
      </c>
      <c r="F1463" s="10" t="s">
        <v>2201</v>
      </c>
      <c r="G1463" s="10" t="s">
        <v>55</v>
      </c>
      <c r="H1463" s="7" t="s">
        <v>24</v>
      </c>
      <c r="I1463" s="7" t="s">
        <v>25</v>
      </c>
      <c r="J1463" s="13" t="str">
        <f>HYPERLINK("https://www.airitibooks.com/Detail/Detail?PublicationID=P20181225064", "https://www.airitibooks.com/Detail/Detail?PublicationID=P20181225064")</f>
        <v>https://www.airitibooks.com/Detail/Detail?PublicationID=P20181225064</v>
      </c>
      <c r="K1463" s="13" t="str">
        <f>HYPERLINK("https://ntsu.idm.oclc.org/login?url=https://www.airitibooks.com/Detail/Detail?PublicationID=P20181225064", "https://ntsu.idm.oclc.org/login?url=https://www.airitibooks.com/Detail/Detail?PublicationID=P20181225064")</f>
        <v>https://ntsu.idm.oclc.org/login?url=https://www.airitibooks.com/Detail/Detail?PublicationID=P20181225064</v>
      </c>
    </row>
    <row r="1464" spans="1:11" ht="51" x14ac:dyDescent="0.4">
      <c r="A1464" s="10" t="s">
        <v>10551</v>
      </c>
      <c r="B1464" s="10" t="s">
        <v>10552</v>
      </c>
      <c r="C1464" s="10" t="s">
        <v>1504</v>
      </c>
      <c r="D1464" s="10" t="s">
        <v>10553</v>
      </c>
      <c r="E1464" s="10" t="s">
        <v>7391</v>
      </c>
      <c r="F1464" s="10" t="s">
        <v>2211</v>
      </c>
      <c r="G1464" s="10" t="s">
        <v>55</v>
      </c>
      <c r="H1464" s="7" t="s">
        <v>24</v>
      </c>
      <c r="I1464" s="7" t="s">
        <v>25</v>
      </c>
      <c r="J1464" s="13" t="str">
        <f>HYPERLINK("https://www.airitibooks.com/Detail/Detail?PublicationID=P20181225065", "https://www.airitibooks.com/Detail/Detail?PublicationID=P20181225065")</f>
        <v>https://www.airitibooks.com/Detail/Detail?PublicationID=P20181225065</v>
      </c>
      <c r="K1464" s="13" t="str">
        <f>HYPERLINK("https://ntsu.idm.oclc.org/login?url=https://www.airitibooks.com/Detail/Detail?PublicationID=P20181225065", "https://ntsu.idm.oclc.org/login?url=https://www.airitibooks.com/Detail/Detail?PublicationID=P20181225065")</f>
        <v>https://ntsu.idm.oclc.org/login?url=https://www.airitibooks.com/Detail/Detail?PublicationID=P20181225065</v>
      </c>
    </row>
    <row r="1465" spans="1:11" ht="51" x14ac:dyDescent="0.4">
      <c r="A1465" s="10" t="s">
        <v>10554</v>
      </c>
      <c r="B1465" s="10" t="s">
        <v>10555</v>
      </c>
      <c r="C1465" s="10" t="s">
        <v>1504</v>
      </c>
      <c r="D1465" s="10" t="s">
        <v>10556</v>
      </c>
      <c r="E1465" s="10" t="s">
        <v>7391</v>
      </c>
      <c r="F1465" s="10" t="s">
        <v>2184</v>
      </c>
      <c r="G1465" s="10" t="s">
        <v>55</v>
      </c>
      <c r="H1465" s="7" t="s">
        <v>24</v>
      </c>
      <c r="I1465" s="7" t="s">
        <v>25</v>
      </c>
      <c r="J1465" s="13" t="str">
        <f>HYPERLINK("https://www.airitibooks.com/Detail/Detail?PublicationID=P20181225066", "https://www.airitibooks.com/Detail/Detail?PublicationID=P20181225066")</f>
        <v>https://www.airitibooks.com/Detail/Detail?PublicationID=P20181225066</v>
      </c>
      <c r="K1465" s="13" t="str">
        <f>HYPERLINK("https://ntsu.idm.oclc.org/login?url=https://www.airitibooks.com/Detail/Detail?PublicationID=P20181225066", "https://ntsu.idm.oclc.org/login?url=https://www.airitibooks.com/Detail/Detail?PublicationID=P20181225066")</f>
        <v>https://ntsu.idm.oclc.org/login?url=https://www.airitibooks.com/Detail/Detail?PublicationID=P20181225066</v>
      </c>
    </row>
    <row r="1466" spans="1:11" ht="51" x14ac:dyDescent="0.4">
      <c r="A1466" s="10" t="s">
        <v>10557</v>
      </c>
      <c r="B1466" s="10" t="s">
        <v>10558</v>
      </c>
      <c r="C1466" s="10" t="s">
        <v>1504</v>
      </c>
      <c r="D1466" s="10" t="s">
        <v>6883</v>
      </c>
      <c r="E1466" s="10" t="s">
        <v>7391</v>
      </c>
      <c r="F1466" s="10" t="s">
        <v>2211</v>
      </c>
      <c r="G1466" s="10" t="s">
        <v>55</v>
      </c>
      <c r="H1466" s="7" t="s">
        <v>24</v>
      </c>
      <c r="I1466" s="7" t="s">
        <v>25</v>
      </c>
      <c r="J1466" s="13" t="str">
        <f>HYPERLINK("https://www.airitibooks.com/Detail/Detail?PublicationID=P20181225067", "https://www.airitibooks.com/Detail/Detail?PublicationID=P20181225067")</f>
        <v>https://www.airitibooks.com/Detail/Detail?PublicationID=P20181225067</v>
      </c>
      <c r="K1466" s="13" t="str">
        <f>HYPERLINK("https://ntsu.idm.oclc.org/login?url=https://www.airitibooks.com/Detail/Detail?PublicationID=P20181225067", "https://ntsu.idm.oclc.org/login?url=https://www.airitibooks.com/Detail/Detail?PublicationID=P20181225067")</f>
        <v>https://ntsu.idm.oclc.org/login?url=https://www.airitibooks.com/Detail/Detail?PublicationID=P20181225067</v>
      </c>
    </row>
    <row r="1467" spans="1:11" ht="51" x14ac:dyDescent="0.4">
      <c r="A1467" s="10" t="s">
        <v>10562</v>
      </c>
      <c r="B1467" s="10" t="s">
        <v>10563</v>
      </c>
      <c r="C1467" s="10" t="s">
        <v>1504</v>
      </c>
      <c r="D1467" s="10" t="s">
        <v>6925</v>
      </c>
      <c r="E1467" s="10" t="s">
        <v>7391</v>
      </c>
      <c r="F1467" s="10" t="s">
        <v>2201</v>
      </c>
      <c r="G1467" s="10" t="s">
        <v>55</v>
      </c>
      <c r="H1467" s="7" t="s">
        <v>24</v>
      </c>
      <c r="I1467" s="7" t="s">
        <v>25</v>
      </c>
      <c r="J1467" s="13" t="str">
        <f>HYPERLINK("https://www.airitibooks.com/Detail/Detail?PublicationID=P20181225069", "https://www.airitibooks.com/Detail/Detail?PublicationID=P20181225069")</f>
        <v>https://www.airitibooks.com/Detail/Detail?PublicationID=P20181225069</v>
      </c>
      <c r="K1467" s="13" t="str">
        <f>HYPERLINK("https://ntsu.idm.oclc.org/login?url=https://www.airitibooks.com/Detail/Detail?PublicationID=P20181225069", "https://ntsu.idm.oclc.org/login?url=https://www.airitibooks.com/Detail/Detail?PublicationID=P20181225069")</f>
        <v>https://ntsu.idm.oclc.org/login?url=https://www.airitibooks.com/Detail/Detail?PublicationID=P20181225069</v>
      </c>
    </row>
    <row r="1468" spans="1:11" ht="51" x14ac:dyDescent="0.4">
      <c r="A1468" s="10" t="s">
        <v>10565</v>
      </c>
      <c r="B1468" s="10" t="s">
        <v>10566</v>
      </c>
      <c r="C1468" s="10" t="s">
        <v>1034</v>
      </c>
      <c r="D1468" s="10" t="s">
        <v>10567</v>
      </c>
      <c r="E1468" s="10" t="s">
        <v>7391</v>
      </c>
      <c r="F1468" s="10" t="s">
        <v>10568</v>
      </c>
      <c r="G1468" s="10" t="s">
        <v>55</v>
      </c>
      <c r="H1468" s="7" t="s">
        <v>24</v>
      </c>
      <c r="I1468" s="7" t="s">
        <v>25</v>
      </c>
      <c r="J1468" s="13" t="str">
        <f>HYPERLINK("https://www.airitibooks.com/Detail/Detail?PublicationID=P20181226052", "https://www.airitibooks.com/Detail/Detail?PublicationID=P20181226052")</f>
        <v>https://www.airitibooks.com/Detail/Detail?PublicationID=P20181226052</v>
      </c>
      <c r="K1468" s="13" t="str">
        <f>HYPERLINK("https://ntsu.idm.oclc.org/login?url=https://www.airitibooks.com/Detail/Detail?PublicationID=P20181226052", "https://ntsu.idm.oclc.org/login?url=https://www.airitibooks.com/Detail/Detail?PublicationID=P20181226052")</f>
        <v>https://ntsu.idm.oclc.org/login?url=https://www.airitibooks.com/Detail/Detail?PublicationID=P20181226052</v>
      </c>
    </row>
    <row r="1469" spans="1:11" ht="51" x14ac:dyDescent="0.4">
      <c r="A1469" s="10" t="s">
        <v>11077</v>
      </c>
      <c r="B1469" s="10" t="s">
        <v>11078</v>
      </c>
      <c r="C1469" s="10" t="s">
        <v>11037</v>
      </c>
      <c r="D1469" s="10" t="s">
        <v>11079</v>
      </c>
      <c r="E1469" s="10" t="s">
        <v>7391</v>
      </c>
      <c r="F1469" s="10" t="s">
        <v>11039</v>
      </c>
      <c r="G1469" s="10" t="s">
        <v>55</v>
      </c>
      <c r="H1469" s="7" t="s">
        <v>1031</v>
      </c>
      <c r="I1469" s="7" t="s">
        <v>25</v>
      </c>
      <c r="J1469" s="13" t="str">
        <f>HYPERLINK("https://www.airitibooks.com/Detail/Detail?PublicationID=P20190419101", "https://www.airitibooks.com/Detail/Detail?PublicationID=P20190419101")</f>
        <v>https://www.airitibooks.com/Detail/Detail?PublicationID=P20190419101</v>
      </c>
      <c r="K1469" s="13" t="str">
        <f>HYPERLINK("https://ntsu.idm.oclc.org/login?url=https://www.airitibooks.com/Detail/Detail?PublicationID=P20190419101", "https://ntsu.idm.oclc.org/login?url=https://www.airitibooks.com/Detail/Detail?PublicationID=P20190419101")</f>
        <v>https://ntsu.idm.oclc.org/login?url=https://www.airitibooks.com/Detail/Detail?PublicationID=P20190419101</v>
      </c>
    </row>
    <row r="1470" spans="1:11" ht="51" x14ac:dyDescent="0.4">
      <c r="A1470" s="10" t="s">
        <v>11080</v>
      </c>
      <c r="B1470" s="10" t="s">
        <v>11081</v>
      </c>
      <c r="C1470" s="10" t="s">
        <v>11037</v>
      </c>
      <c r="D1470" s="10" t="s">
        <v>11082</v>
      </c>
      <c r="E1470" s="10" t="s">
        <v>7391</v>
      </c>
      <c r="F1470" s="10" t="s">
        <v>512</v>
      </c>
      <c r="G1470" s="10" t="s">
        <v>55</v>
      </c>
      <c r="H1470" s="7" t="s">
        <v>1031</v>
      </c>
      <c r="I1470" s="7" t="s">
        <v>25</v>
      </c>
      <c r="J1470" s="13" t="str">
        <f>HYPERLINK("https://www.airitibooks.com/Detail/Detail?PublicationID=P20190419102", "https://www.airitibooks.com/Detail/Detail?PublicationID=P20190419102")</f>
        <v>https://www.airitibooks.com/Detail/Detail?PublicationID=P20190419102</v>
      </c>
      <c r="K1470" s="13" t="str">
        <f>HYPERLINK("https://ntsu.idm.oclc.org/login?url=https://www.airitibooks.com/Detail/Detail?PublicationID=P20190419102", "https://ntsu.idm.oclc.org/login?url=https://www.airitibooks.com/Detail/Detail?PublicationID=P20190419102")</f>
        <v>https://ntsu.idm.oclc.org/login?url=https://www.airitibooks.com/Detail/Detail?PublicationID=P20190419102</v>
      </c>
    </row>
    <row r="1471" spans="1:11" ht="51" x14ac:dyDescent="0.4">
      <c r="A1471" s="10" t="s">
        <v>11083</v>
      </c>
      <c r="B1471" s="10" t="s">
        <v>11084</v>
      </c>
      <c r="C1471" s="10" t="s">
        <v>11037</v>
      </c>
      <c r="D1471" s="10" t="s">
        <v>11085</v>
      </c>
      <c r="E1471" s="10" t="s">
        <v>7391</v>
      </c>
      <c r="F1471" s="10" t="s">
        <v>11086</v>
      </c>
      <c r="G1471" s="10" t="s">
        <v>55</v>
      </c>
      <c r="H1471" s="7" t="s">
        <v>1031</v>
      </c>
      <c r="I1471" s="7" t="s">
        <v>25</v>
      </c>
      <c r="J1471" s="13" t="str">
        <f>HYPERLINK("https://www.airitibooks.com/Detail/Detail?PublicationID=P20190419122", "https://www.airitibooks.com/Detail/Detail?PublicationID=P20190419122")</f>
        <v>https://www.airitibooks.com/Detail/Detail?PublicationID=P20190419122</v>
      </c>
      <c r="K1471" s="13" t="str">
        <f>HYPERLINK("https://ntsu.idm.oclc.org/login?url=https://www.airitibooks.com/Detail/Detail?PublicationID=P20190419122", "https://ntsu.idm.oclc.org/login?url=https://www.airitibooks.com/Detail/Detail?PublicationID=P20190419122")</f>
        <v>https://ntsu.idm.oclc.org/login?url=https://www.airitibooks.com/Detail/Detail?PublicationID=P20190419122</v>
      </c>
    </row>
    <row r="1472" spans="1:11" ht="51" x14ac:dyDescent="0.4">
      <c r="A1472" s="10" t="s">
        <v>11116</v>
      </c>
      <c r="B1472" s="10" t="s">
        <v>11117</v>
      </c>
      <c r="C1472" s="10" t="s">
        <v>9828</v>
      </c>
      <c r="D1472" s="10" t="s">
        <v>11118</v>
      </c>
      <c r="E1472" s="10" t="s">
        <v>7391</v>
      </c>
      <c r="F1472" s="10" t="s">
        <v>11039</v>
      </c>
      <c r="G1472" s="10" t="s">
        <v>55</v>
      </c>
      <c r="H1472" s="7" t="s">
        <v>1031</v>
      </c>
      <c r="I1472" s="7" t="s">
        <v>25</v>
      </c>
      <c r="J1472" s="13" t="str">
        <f>HYPERLINK("https://www.airitibooks.com/Detail/Detail?PublicationID=P20190423016", "https://www.airitibooks.com/Detail/Detail?PublicationID=P20190423016")</f>
        <v>https://www.airitibooks.com/Detail/Detail?PublicationID=P20190423016</v>
      </c>
      <c r="K1472" s="13" t="str">
        <f>HYPERLINK("https://ntsu.idm.oclc.org/login?url=https://www.airitibooks.com/Detail/Detail?PublicationID=P20190423016", "https://ntsu.idm.oclc.org/login?url=https://www.airitibooks.com/Detail/Detail?PublicationID=P20190423016")</f>
        <v>https://ntsu.idm.oclc.org/login?url=https://www.airitibooks.com/Detail/Detail?PublicationID=P20190423016</v>
      </c>
    </row>
    <row r="1473" spans="1:11" ht="85" x14ac:dyDescent="0.4">
      <c r="A1473" s="10" t="s">
        <v>11194</v>
      </c>
      <c r="B1473" s="10" t="s">
        <v>11195</v>
      </c>
      <c r="C1473" s="10" t="s">
        <v>11191</v>
      </c>
      <c r="D1473" s="10" t="s">
        <v>11196</v>
      </c>
      <c r="E1473" s="10" t="s">
        <v>7391</v>
      </c>
      <c r="F1473" s="10" t="s">
        <v>11197</v>
      </c>
      <c r="G1473" s="10" t="s">
        <v>55</v>
      </c>
      <c r="H1473" s="7" t="s">
        <v>24</v>
      </c>
      <c r="I1473" s="7" t="s">
        <v>25</v>
      </c>
      <c r="J1473" s="13" t="str">
        <f>HYPERLINK("https://www.airitibooks.com/Detail/Detail?PublicationID=P20190425119", "https://www.airitibooks.com/Detail/Detail?PublicationID=P20190425119")</f>
        <v>https://www.airitibooks.com/Detail/Detail?PublicationID=P20190425119</v>
      </c>
      <c r="K1473" s="13" t="str">
        <f>HYPERLINK("https://ntsu.idm.oclc.org/login?url=https://www.airitibooks.com/Detail/Detail?PublicationID=P20190425119", "https://ntsu.idm.oclc.org/login?url=https://www.airitibooks.com/Detail/Detail?PublicationID=P20190425119")</f>
        <v>https://ntsu.idm.oclc.org/login?url=https://www.airitibooks.com/Detail/Detail?PublicationID=P20190425119</v>
      </c>
    </row>
    <row r="1474" spans="1:11" ht="51" x14ac:dyDescent="0.4">
      <c r="A1474" s="10" t="s">
        <v>11257</v>
      </c>
      <c r="B1474" s="10" t="s">
        <v>11258</v>
      </c>
      <c r="C1474" s="10" t="s">
        <v>1504</v>
      </c>
      <c r="D1474" s="10" t="s">
        <v>11259</v>
      </c>
      <c r="E1474" s="10" t="s">
        <v>7391</v>
      </c>
      <c r="F1474" s="10" t="s">
        <v>2184</v>
      </c>
      <c r="G1474" s="10" t="s">
        <v>55</v>
      </c>
      <c r="H1474" s="7" t="s">
        <v>24</v>
      </c>
      <c r="I1474" s="7" t="s">
        <v>25</v>
      </c>
      <c r="J1474" s="13" t="str">
        <f>HYPERLINK("https://www.airitibooks.com/Detail/Detail?PublicationID=P20190503047", "https://www.airitibooks.com/Detail/Detail?PublicationID=P20190503047")</f>
        <v>https://www.airitibooks.com/Detail/Detail?PublicationID=P20190503047</v>
      </c>
      <c r="K1474" s="13" t="str">
        <f>HYPERLINK("https://ntsu.idm.oclc.org/login?url=https://www.airitibooks.com/Detail/Detail?PublicationID=P20190503047", "https://ntsu.idm.oclc.org/login?url=https://www.airitibooks.com/Detail/Detail?PublicationID=P20190503047")</f>
        <v>https://ntsu.idm.oclc.org/login?url=https://www.airitibooks.com/Detail/Detail?PublicationID=P20190503047</v>
      </c>
    </row>
    <row r="1475" spans="1:11" ht="51" x14ac:dyDescent="0.4">
      <c r="A1475" s="10" t="s">
        <v>11260</v>
      </c>
      <c r="B1475" s="10" t="s">
        <v>11261</v>
      </c>
      <c r="C1475" s="10" t="s">
        <v>1504</v>
      </c>
      <c r="D1475" s="10" t="s">
        <v>11262</v>
      </c>
      <c r="E1475" s="10" t="s">
        <v>7391</v>
      </c>
      <c r="F1475" s="10" t="s">
        <v>11263</v>
      </c>
      <c r="G1475" s="10" t="s">
        <v>55</v>
      </c>
      <c r="H1475" s="7" t="s">
        <v>24</v>
      </c>
      <c r="I1475" s="7" t="s">
        <v>25</v>
      </c>
      <c r="J1475" s="13" t="str">
        <f>HYPERLINK("https://www.airitibooks.com/Detail/Detail?PublicationID=P20190503049", "https://www.airitibooks.com/Detail/Detail?PublicationID=P20190503049")</f>
        <v>https://www.airitibooks.com/Detail/Detail?PublicationID=P20190503049</v>
      </c>
      <c r="K1475" s="13" t="str">
        <f>HYPERLINK("https://ntsu.idm.oclc.org/login?url=https://www.airitibooks.com/Detail/Detail?PublicationID=P20190503049", "https://ntsu.idm.oclc.org/login?url=https://www.airitibooks.com/Detail/Detail?PublicationID=P20190503049")</f>
        <v>https://ntsu.idm.oclc.org/login?url=https://www.airitibooks.com/Detail/Detail?PublicationID=P20190503049</v>
      </c>
    </row>
    <row r="1476" spans="1:11" ht="51" x14ac:dyDescent="0.4">
      <c r="A1476" s="10" t="s">
        <v>11264</v>
      </c>
      <c r="B1476" s="10" t="s">
        <v>11265</v>
      </c>
      <c r="C1476" s="10" t="s">
        <v>1504</v>
      </c>
      <c r="D1476" s="10" t="s">
        <v>10525</v>
      </c>
      <c r="E1476" s="10" t="s">
        <v>7391</v>
      </c>
      <c r="F1476" s="10" t="s">
        <v>2201</v>
      </c>
      <c r="G1476" s="10" t="s">
        <v>55</v>
      </c>
      <c r="H1476" s="7" t="s">
        <v>24</v>
      </c>
      <c r="I1476" s="7" t="s">
        <v>25</v>
      </c>
      <c r="J1476" s="13" t="str">
        <f>HYPERLINK("https://www.airitibooks.com/Detail/Detail?PublicationID=P20190503050", "https://www.airitibooks.com/Detail/Detail?PublicationID=P20190503050")</f>
        <v>https://www.airitibooks.com/Detail/Detail?PublicationID=P20190503050</v>
      </c>
      <c r="K1476" s="13" t="str">
        <f>HYPERLINK("https://ntsu.idm.oclc.org/login?url=https://www.airitibooks.com/Detail/Detail?PublicationID=P20190503050", "https://ntsu.idm.oclc.org/login?url=https://www.airitibooks.com/Detail/Detail?PublicationID=P20190503050")</f>
        <v>https://ntsu.idm.oclc.org/login?url=https://www.airitibooks.com/Detail/Detail?PublicationID=P20190503050</v>
      </c>
    </row>
    <row r="1477" spans="1:11" ht="51" x14ac:dyDescent="0.4">
      <c r="A1477" s="10" t="s">
        <v>11266</v>
      </c>
      <c r="B1477" s="10" t="s">
        <v>11267</v>
      </c>
      <c r="C1477" s="10" t="s">
        <v>1504</v>
      </c>
      <c r="D1477" s="10" t="s">
        <v>2214</v>
      </c>
      <c r="E1477" s="10" t="s">
        <v>7391</v>
      </c>
      <c r="F1477" s="10" t="s">
        <v>2205</v>
      </c>
      <c r="G1477" s="10" t="s">
        <v>55</v>
      </c>
      <c r="H1477" s="7" t="s">
        <v>24</v>
      </c>
      <c r="I1477" s="7" t="s">
        <v>25</v>
      </c>
      <c r="J1477" s="13" t="str">
        <f>HYPERLINK("https://www.airitibooks.com/Detail/Detail?PublicationID=P20190503053", "https://www.airitibooks.com/Detail/Detail?PublicationID=P20190503053")</f>
        <v>https://www.airitibooks.com/Detail/Detail?PublicationID=P20190503053</v>
      </c>
      <c r="K1477" s="13" t="str">
        <f>HYPERLINK("https://ntsu.idm.oclc.org/login?url=https://www.airitibooks.com/Detail/Detail?PublicationID=P20190503053", "https://ntsu.idm.oclc.org/login?url=https://www.airitibooks.com/Detail/Detail?PublicationID=P20190503053")</f>
        <v>https://ntsu.idm.oclc.org/login?url=https://www.airitibooks.com/Detail/Detail?PublicationID=P20190503053</v>
      </c>
    </row>
    <row r="1478" spans="1:11" ht="51" x14ac:dyDescent="0.4">
      <c r="A1478" s="10" t="s">
        <v>11268</v>
      </c>
      <c r="B1478" s="10" t="s">
        <v>11269</v>
      </c>
      <c r="C1478" s="10" t="s">
        <v>1504</v>
      </c>
      <c r="D1478" s="10" t="s">
        <v>11270</v>
      </c>
      <c r="E1478" s="10" t="s">
        <v>7391</v>
      </c>
      <c r="F1478" s="10" t="s">
        <v>11271</v>
      </c>
      <c r="G1478" s="10" t="s">
        <v>55</v>
      </c>
      <c r="H1478" s="7" t="s">
        <v>24</v>
      </c>
      <c r="I1478" s="7" t="s">
        <v>25</v>
      </c>
      <c r="J1478" s="13" t="str">
        <f>HYPERLINK("https://www.airitibooks.com/Detail/Detail?PublicationID=P20190503054", "https://www.airitibooks.com/Detail/Detail?PublicationID=P20190503054")</f>
        <v>https://www.airitibooks.com/Detail/Detail?PublicationID=P20190503054</v>
      </c>
      <c r="K1478" s="13" t="str">
        <f>HYPERLINK("https://ntsu.idm.oclc.org/login?url=https://www.airitibooks.com/Detail/Detail?PublicationID=P20190503054", "https://ntsu.idm.oclc.org/login?url=https://www.airitibooks.com/Detail/Detail?PublicationID=P20190503054")</f>
        <v>https://ntsu.idm.oclc.org/login?url=https://www.airitibooks.com/Detail/Detail?PublicationID=P20190503054</v>
      </c>
    </row>
    <row r="1479" spans="1:11" ht="51" x14ac:dyDescent="0.4">
      <c r="A1479" s="10" t="s">
        <v>11272</v>
      </c>
      <c r="B1479" s="10" t="s">
        <v>11273</v>
      </c>
      <c r="C1479" s="10" t="s">
        <v>1504</v>
      </c>
      <c r="D1479" s="10" t="s">
        <v>11274</v>
      </c>
      <c r="E1479" s="10" t="s">
        <v>7391</v>
      </c>
      <c r="F1479" s="10" t="s">
        <v>2201</v>
      </c>
      <c r="G1479" s="10" t="s">
        <v>55</v>
      </c>
      <c r="H1479" s="7" t="s">
        <v>24</v>
      </c>
      <c r="I1479" s="7" t="s">
        <v>25</v>
      </c>
      <c r="J1479" s="13" t="str">
        <f>HYPERLINK("https://www.airitibooks.com/Detail/Detail?PublicationID=P20190503055", "https://www.airitibooks.com/Detail/Detail?PublicationID=P20190503055")</f>
        <v>https://www.airitibooks.com/Detail/Detail?PublicationID=P20190503055</v>
      </c>
      <c r="K1479" s="13" t="str">
        <f>HYPERLINK("https://ntsu.idm.oclc.org/login?url=https://www.airitibooks.com/Detail/Detail?PublicationID=P20190503055", "https://ntsu.idm.oclc.org/login?url=https://www.airitibooks.com/Detail/Detail?PublicationID=P20190503055")</f>
        <v>https://ntsu.idm.oclc.org/login?url=https://www.airitibooks.com/Detail/Detail?PublicationID=P20190503055</v>
      </c>
    </row>
    <row r="1480" spans="1:11" ht="51" x14ac:dyDescent="0.4">
      <c r="A1480" s="10" t="s">
        <v>11277</v>
      </c>
      <c r="B1480" s="10" t="s">
        <v>11278</v>
      </c>
      <c r="C1480" s="10" t="s">
        <v>1504</v>
      </c>
      <c r="D1480" s="10" t="s">
        <v>2241</v>
      </c>
      <c r="E1480" s="10" t="s">
        <v>7391</v>
      </c>
      <c r="F1480" s="10" t="s">
        <v>2205</v>
      </c>
      <c r="G1480" s="10" t="s">
        <v>55</v>
      </c>
      <c r="H1480" s="7" t="s">
        <v>24</v>
      </c>
      <c r="I1480" s="7" t="s">
        <v>25</v>
      </c>
      <c r="J1480" s="13" t="str">
        <f>HYPERLINK("https://www.airitibooks.com/Detail/Detail?PublicationID=P20190503059", "https://www.airitibooks.com/Detail/Detail?PublicationID=P20190503059")</f>
        <v>https://www.airitibooks.com/Detail/Detail?PublicationID=P20190503059</v>
      </c>
      <c r="K1480" s="13" t="str">
        <f>HYPERLINK("https://ntsu.idm.oclc.org/login?url=https://www.airitibooks.com/Detail/Detail?PublicationID=P20190503059", "https://ntsu.idm.oclc.org/login?url=https://www.airitibooks.com/Detail/Detail?PublicationID=P20190503059")</f>
        <v>https://ntsu.idm.oclc.org/login?url=https://www.airitibooks.com/Detail/Detail?PublicationID=P20190503059</v>
      </c>
    </row>
    <row r="1481" spans="1:11" ht="68" x14ac:dyDescent="0.4">
      <c r="A1481" s="10" t="s">
        <v>11279</v>
      </c>
      <c r="B1481" s="10" t="s">
        <v>11280</v>
      </c>
      <c r="C1481" s="10" t="s">
        <v>1504</v>
      </c>
      <c r="D1481" s="10" t="s">
        <v>11281</v>
      </c>
      <c r="E1481" s="10" t="s">
        <v>7391</v>
      </c>
      <c r="F1481" s="10" t="s">
        <v>2184</v>
      </c>
      <c r="G1481" s="10" t="s">
        <v>55</v>
      </c>
      <c r="H1481" s="7" t="s">
        <v>24</v>
      </c>
      <c r="I1481" s="7" t="s">
        <v>25</v>
      </c>
      <c r="J1481" s="13" t="str">
        <f>HYPERLINK("https://www.airitibooks.com/Detail/Detail?PublicationID=P20190503061", "https://www.airitibooks.com/Detail/Detail?PublicationID=P20190503061")</f>
        <v>https://www.airitibooks.com/Detail/Detail?PublicationID=P20190503061</v>
      </c>
      <c r="K1481" s="13" t="str">
        <f>HYPERLINK("https://ntsu.idm.oclc.org/login?url=https://www.airitibooks.com/Detail/Detail?PublicationID=P20190503061", "https://ntsu.idm.oclc.org/login?url=https://www.airitibooks.com/Detail/Detail?PublicationID=P20190503061")</f>
        <v>https://ntsu.idm.oclc.org/login?url=https://www.airitibooks.com/Detail/Detail?PublicationID=P20190503061</v>
      </c>
    </row>
    <row r="1482" spans="1:11" ht="51" x14ac:dyDescent="0.4">
      <c r="A1482" s="10" t="s">
        <v>11282</v>
      </c>
      <c r="B1482" s="10" t="s">
        <v>11283</v>
      </c>
      <c r="C1482" s="10" t="s">
        <v>1504</v>
      </c>
      <c r="D1482" s="10" t="s">
        <v>2204</v>
      </c>
      <c r="E1482" s="10" t="s">
        <v>7391</v>
      </c>
      <c r="F1482" s="10" t="s">
        <v>3042</v>
      </c>
      <c r="G1482" s="10" t="s">
        <v>55</v>
      </c>
      <c r="H1482" s="7" t="s">
        <v>24</v>
      </c>
      <c r="I1482" s="7" t="s">
        <v>25</v>
      </c>
      <c r="J1482" s="13" t="str">
        <f>HYPERLINK("https://www.airitibooks.com/Detail/Detail?PublicationID=P20190503064", "https://www.airitibooks.com/Detail/Detail?PublicationID=P20190503064")</f>
        <v>https://www.airitibooks.com/Detail/Detail?PublicationID=P20190503064</v>
      </c>
      <c r="K1482" s="13" t="str">
        <f>HYPERLINK("https://ntsu.idm.oclc.org/login?url=https://www.airitibooks.com/Detail/Detail?PublicationID=P20190503064", "https://ntsu.idm.oclc.org/login?url=https://www.airitibooks.com/Detail/Detail?PublicationID=P20190503064")</f>
        <v>https://ntsu.idm.oclc.org/login?url=https://www.airitibooks.com/Detail/Detail?PublicationID=P20190503064</v>
      </c>
    </row>
    <row r="1483" spans="1:11" ht="51" x14ac:dyDescent="0.4">
      <c r="A1483" s="10" t="s">
        <v>11443</v>
      </c>
      <c r="B1483" s="10" t="s">
        <v>11444</v>
      </c>
      <c r="C1483" s="10" t="s">
        <v>9828</v>
      </c>
      <c r="D1483" s="10" t="s">
        <v>11445</v>
      </c>
      <c r="E1483" s="10" t="s">
        <v>7391</v>
      </c>
      <c r="F1483" s="10" t="s">
        <v>11039</v>
      </c>
      <c r="G1483" s="10" t="s">
        <v>55</v>
      </c>
      <c r="H1483" s="7" t="s">
        <v>1031</v>
      </c>
      <c r="I1483" s="7" t="s">
        <v>25</v>
      </c>
      <c r="J1483" s="13" t="str">
        <f>HYPERLINK("https://www.airitibooks.com/Detail/Detail?PublicationID=P20190521021", "https://www.airitibooks.com/Detail/Detail?PublicationID=P20190521021")</f>
        <v>https://www.airitibooks.com/Detail/Detail?PublicationID=P20190521021</v>
      </c>
      <c r="K1483" s="13" t="str">
        <f>HYPERLINK("https://ntsu.idm.oclc.org/login?url=https://www.airitibooks.com/Detail/Detail?PublicationID=P20190521021", "https://ntsu.idm.oclc.org/login?url=https://www.airitibooks.com/Detail/Detail?PublicationID=P20190521021")</f>
        <v>https://ntsu.idm.oclc.org/login?url=https://www.airitibooks.com/Detail/Detail?PublicationID=P20190521021</v>
      </c>
    </row>
    <row r="1484" spans="1:11" ht="51" x14ac:dyDescent="0.4">
      <c r="A1484" s="10" t="s">
        <v>12820</v>
      </c>
      <c r="B1484" s="10" t="s">
        <v>12821</v>
      </c>
      <c r="C1484" s="10" t="s">
        <v>12491</v>
      </c>
      <c r="D1484" s="10" t="s">
        <v>12822</v>
      </c>
      <c r="E1484" s="10" t="s">
        <v>7391</v>
      </c>
      <c r="F1484" s="10" t="s">
        <v>12823</v>
      </c>
      <c r="G1484" s="10" t="s">
        <v>55</v>
      </c>
      <c r="H1484" s="7" t="s">
        <v>1031</v>
      </c>
      <c r="I1484" s="7" t="s">
        <v>25</v>
      </c>
      <c r="J1484" s="13" t="str">
        <f>HYPERLINK("https://www.airitibooks.com/Detail/Detail?PublicationID=P20191031157", "https://www.airitibooks.com/Detail/Detail?PublicationID=P20191031157")</f>
        <v>https://www.airitibooks.com/Detail/Detail?PublicationID=P20191031157</v>
      </c>
      <c r="K1484" s="13" t="str">
        <f>HYPERLINK("https://ntsu.idm.oclc.org/login?url=https://www.airitibooks.com/Detail/Detail?PublicationID=P20191031157", "https://ntsu.idm.oclc.org/login?url=https://www.airitibooks.com/Detail/Detail?PublicationID=P20191031157")</f>
        <v>https://ntsu.idm.oclc.org/login?url=https://www.airitibooks.com/Detail/Detail?PublicationID=P20191031157</v>
      </c>
    </row>
    <row r="1485" spans="1:11" ht="51" x14ac:dyDescent="0.4">
      <c r="A1485" s="10" t="s">
        <v>12827</v>
      </c>
      <c r="B1485" s="10" t="s">
        <v>12828</v>
      </c>
      <c r="C1485" s="10" t="s">
        <v>12491</v>
      </c>
      <c r="D1485" s="10" t="s">
        <v>12829</v>
      </c>
      <c r="E1485" s="10" t="s">
        <v>7391</v>
      </c>
      <c r="F1485" s="10" t="s">
        <v>10568</v>
      </c>
      <c r="G1485" s="10" t="s">
        <v>55</v>
      </c>
      <c r="H1485" s="7" t="s">
        <v>1031</v>
      </c>
      <c r="I1485" s="7" t="s">
        <v>25</v>
      </c>
      <c r="J1485" s="13" t="str">
        <f>HYPERLINK("https://www.airitibooks.com/Detail/Detail?PublicationID=P20191031159", "https://www.airitibooks.com/Detail/Detail?PublicationID=P20191031159")</f>
        <v>https://www.airitibooks.com/Detail/Detail?PublicationID=P20191031159</v>
      </c>
      <c r="K1485" s="13" t="str">
        <f>HYPERLINK("https://ntsu.idm.oclc.org/login?url=https://www.airitibooks.com/Detail/Detail?PublicationID=P20191031159", "https://ntsu.idm.oclc.org/login?url=https://www.airitibooks.com/Detail/Detail?PublicationID=P20191031159")</f>
        <v>https://ntsu.idm.oclc.org/login?url=https://www.airitibooks.com/Detail/Detail?PublicationID=P20191031159</v>
      </c>
    </row>
    <row r="1486" spans="1:11" ht="51" x14ac:dyDescent="0.4">
      <c r="A1486" s="10" t="s">
        <v>13601</v>
      </c>
      <c r="B1486" s="10" t="s">
        <v>13602</v>
      </c>
      <c r="C1486" s="10" t="s">
        <v>12491</v>
      </c>
      <c r="D1486" s="10" t="s">
        <v>13603</v>
      </c>
      <c r="E1486" s="10" t="s">
        <v>7391</v>
      </c>
      <c r="F1486" s="10" t="s">
        <v>13604</v>
      </c>
      <c r="G1486" s="10" t="s">
        <v>55</v>
      </c>
      <c r="H1486" s="7" t="s">
        <v>1031</v>
      </c>
      <c r="I1486" s="7" t="s">
        <v>25</v>
      </c>
      <c r="J1486" s="13" t="str">
        <f>HYPERLINK("https://www.airitibooks.com/Detail/Detail?PublicationID=P20200307051", "https://www.airitibooks.com/Detail/Detail?PublicationID=P20200307051")</f>
        <v>https://www.airitibooks.com/Detail/Detail?PublicationID=P20200307051</v>
      </c>
      <c r="K1486" s="13" t="str">
        <f>HYPERLINK("https://ntsu.idm.oclc.org/login?url=https://www.airitibooks.com/Detail/Detail?PublicationID=P20200307051", "https://ntsu.idm.oclc.org/login?url=https://www.airitibooks.com/Detail/Detail?PublicationID=P20200307051")</f>
        <v>https://ntsu.idm.oclc.org/login?url=https://www.airitibooks.com/Detail/Detail?PublicationID=P20200307051</v>
      </c>
    </row>
    <row r="1487" spans="1:11" ht="51" x14ac:dyDescent="0.4">
      <c r="A1487" s="10" t="s">
        <v>13605</v>
      </c>
      <c r="B1487" s="10" t="s">
        <v>13606</v>
      </c>
      <c r="C1487" s="10" t="s">
        <v>12491</v>
      </c>
      <c r="D1487" s="10" t="s">
        <v>13607</v>
      </c>
      <c r="E1487" s="10" t="s">
        <v>7391</v>
      </c>
      <c r="F1487" s="10" t="s">
        <v>13608</v>
      </c>
      <c r="G1487" s="10" t="s">
        <v>55</v>
      </c>
      <c r="H1487" s="7" t="s">
        <v>1031</v>
      </c>
      <c r="I1487" s="7" t="s">
        <v>25</v>
      </c>
      <c r="J1487" s="13" t="str">
        <f>HYPERLINK("https://www.airitibooks.com/Detail/Detail?PublicationID=P20200307053", "https://www.airitibooks.com/Detail/Detail?PublicationID=P20200307053")</f>
        <v>https://www.airitibooks.com/Detail/Detail?PublicationID=P20200307053</v>
      </c>
      <c r="K1487" s="13" t="str">
        <f>HYPERLINK("https://ntsu.idm.oclc.org/login?url=https://www.airitibooks.com/Detail/Detail?PublicationID=P20200307053", "https://ntsu.idm.oclc.org/login?url=https://www.airitibooks.com/Detail/Detail?PublicationID=P20200307053")</f>
        <v>https://ntsu.idm.oclc.org/login?url=https://www.airitibooks.com/Detail/Detail?PublicationID=P20200307053</v>
      </c>
    </row>
    <row r="1488" spans="1:11" ht="51" x14ac:dyDescent="0.4">
      <c r="A1488" s="10" t="s">
        <v>13609</v>
      </c>
      <c r="B1488" s="10" t="s">
        <v>13610</v>
      </c>
      <c r="C1488" s="10" t="s">
        <v>12491</v>
      </c>
      <c r="D1488" s="10" t="s">
        <v>13611</v>
      </c>
      <c r="E1488" s="10" t="s">
        <v>7391</v>
      </c>
      <c r="F1488" s="10" t="s">
        <v>946</v>
      </c>
      <c r="G1488" s="10" t="s">
        <v>55</v>
      </c>
      <c r="H1488" s="7" t="s">
        <v>1031</v>
      </c>
      <c r="I1488" s="7" t="s">
        <v>25</v>
      </c>
      <c r="J1488" s="13" t="str">
        <f>HYPERLINK("https://www.airitibooks.com/Detail/Detail?PublicationID=P20200307079", "https://www.airitibooks.com/Detail/Detail?PublicationID=P20200307079")</f>
        <v>https://www.airitibooks.com/Detail/Detail?PublicationID=P20200307079</v>
      </c>
      <c r="K1488" s="13" t="str">
        <f>HYPERLINK("https://ntsu.idm.oclc.org/login?url=https://www.airitibooks.com/Detail/Detail?PublicationID=P20200307079", "https://ntsu.idm.oclc.org/login?url=https://www.airitibooks.com/Detail/Detail?PublicationID=P20200307079")</f>
        <v>https://ntsu.idm.oclc.org/login?url=https://www.airitibooks.com/Detail/Detail?PublicationID=P20200307079</v>
      </c>
    </row>
    <row r="1489" spans="1:11" ht="51" x14ac:dyDescent="0.4">
      <c r="A1489" s="10" t="s">
        <v>13754</v>
      </c>
      <c r="B1489" s="10" t="s">
        <v>13755</v>
      </c>
      <c r="C1489" s="10" t="s">
        <v>12491</v>
      </c>
      <c r="D1489" s="10" t="s">
        <v>13756</v>
      </c>
      <c r="E1489" s="10" t="s">
        <v>7391</v>
      </c>
      <c r="F1489" s="10" t="s">
        <v>1462</v>
      </c>
      <c r="G1489" s="10" t="s">
        <v>55</v>
      </c>
      <c r="H1489" s="7" t="s">
        <v>1031</v>
      </c>
      <c r="I1489" s="7" t="s">
        <v>25</v>
      </c>
      <c r="J1489" s="13" t="str">
        <f>HYPERLINK("https://www.airitibooks.com/Detail/Detail?PublicationID=P20200321704", "https://www.airitibooks.com/Detail/Detail?PublicationID=P20200321704")</f>
        <v>https://www.airitibooks.com/Detail/Detail?PublicationID=P20200321704</v>
      </c>
      <c r="K1489" s="13" t="str">
        <f>HYPERLINK("https://ntsu.idm.oclc.org/login?url=https://www.airitibooks.com/Detail/Detail?PublicationID=P20200321704", "https://ntsu.idm.oclc.org/login?url=https://www.airitibooks.com/Detail/Detail?PublicationID=P20200321704")</f>
        <v>https://ntsu.idm.oclc.org/login?url=https://www.airitibooks.com/Detail/Detail?PublicationID=P20200321704</v>
      </c>
    </row>
    <row r="1490" spans="1:11" ht="51" x14ac:dyDescent="0.4">
      <c r="A1490" s="10" t="s">
        <v>14205</v>
      </c>
      <c r="B1490" s="10" t="s">
        <v>14206</v>
      </c>
      <c r="C1490" s="10" t="s">
        <v>11995</v>
      </c>
      <c r="D1490" s="10" t="s">
        <v>14207</v>
      </c>
      <c r="E1490" s="10" t="s">
        <v>7391</v>
      </c>
      <c r="F1490" s="10" t="s">
        <v>14208</v>
      </c>
      <c r="G1490" s="10" t="s">
        <v>55</v>
      </c>
      <c r="H1490" s="7" t="s">
        <v>24</v>
      </c>
      <c r="I1490" s="7" t="s">
        <v>25</v>
      </c>
      <c r="J1490" s="13" t="str">
        <f>HYPERLINK("https://www.airitibooks.com/Detail/Detail?PublicationID=P20200521144", "https://www.airitibooks.com/Detail/Detail?PublicationID=P20200521144")</f>
        <v>https://www.airitibooks.com/Detail/Detail?PublicationID=P20200521144</v>
      </c>
      <c r="K1490" s="13" t="str">
        <f>HYPERLINK("https://ntsu.idm.oclc.org/login?url=https://www.airitibooks.com/Detail/Detail?PublicationID=P20200521144", "https://ntsu.idm.oclc.org/login?url=https://www.airitibooks.com/Detail/Detail?PublicationID=P20200521144")</f>
        <v>https://ntsu.idm.oclc.org/login?url=https://www.airitibooks.com/Detail/Detail?PublicationID=P20200521144</v>
      </c>
    </row>
    <row r="1491" spans="1:11" ht="51" x14ac:dyDescent="0.4">
      <c r="A1491" s="10" t="s">
        <v>14209</v>
      </c>
      <c r="B1491" s="10" t="s">
        <v>14210</v>
      </c>
      <c r="C1491" s="10" t="s">
        <v>11995</v>
      </c>
      <c r="D1491" s="10" t="s">
        <v>14211</v>
      </c>
      <c r="E1491" s="10" t="s">
        <v>7391</v>
      </c>
      <c r="F1491" s="10" t="s">
        <v>2201</v>
      </c>
      <c r="G1491" s="10" t="s">
        <v>55</v>
      </c>
      <c r="H1491" s="7" t="s">
        <v>24</v>
      </c>
      <c r="I1491" s="7" t="s">
        <v>25</v>
      </c>
      <c r="J1491" s="13" t="str">
        <f>HYPERLINK("https://www.airitibooks.com/Detail/Detail?PublicationID=P20200521161", "https://www.airitibooks.com/Detail/Detail?PublicationID=P20200521161")</f>
        <v>https://www.airitibooks.com/Detail/Detail?PublicationID=P20200521161</v>
      </c>
      <c r="K1491" s="13" t="str">
        <f>HYPERLINK("https://ntsu.idm.oclc.org/login?url=https://www.airitibooks.com/Detail/Detail?PublicationID=P20200521161", "https://ntsu.idm.oclc.org/login?url=https://www.airitibooks.com/Detail/Detail?PublicationID=P20200521161")</f>
        <v>https://ntsu.idm.oclc.org/login?url=https://www.airitibooks.com/Detail/Detail?PublicationID=P20200521161</v>
      </c>
    </row>
    <row r="1492" spans="1:11" ht="51" x14ac:dyDescent="0.4">
      <c r="A1492" s="10" t="s">
        <v>14212</v>
      </c>
      <c r="B1492" s="10" t="s">
        <v>14213</v>
      </c>
      <c r="C1492" s="10" t="s">
        <v>7164</v>
      </c>
      <c r="D1492" s="10" t="s">
        <v>14214</v>
      </c>
      <c r="E1492" s="10" t="s">
        <v>7391</v>
      </c>
      <c r="F1492" s="10" t="s">
        <v>2508</v>
      </c>
      <c r="G1492" s="10" t="s">
        <v>55</v>
      </c>
      <c r="H1492" s="7" t="s">
        <v>24</v>
      </c>
      <c r="I1492" s="7" t="s">
        <v>25</v>
      </c>
      <c r="J1492" s="13" t="str">
        <f>HYPERLINK("https://www.airitibooks.com/Detail/Detail?PublicationID=P20200521173", "https://www.airitibooks.com/Detail/Detail?PublicationID=P20200521173")</f>
        <v>https://www.airitibooks.com/Detail/Detail?PublicationID=P20200521173</v>
      </c>
      <c r="K1492" s="13" t="str">
        <f>HYPERLINK("https://ntsu.idm.oclc.org/login?url=https://www.airitibooks.com/Detail/Detail?PublicationID=P20200521173", "https://ntsu.idm.oclc.org/login?url=https://www.airitibooks.com/Detail/Detail?PublicationID=P20200521173")</f>
        <v>https://ntsu.idm.oclc.org/login?url=https://www.airitibooks.com/Detail/Detail?PublicationID=P20200521173</v>
      </c>
    </row>
    <row r="1493" spans="1:11" ht="51" x14ac:dyDescent="0.4">
      <c r="A1493" s="10" t="s">
        <v>14218</v>
      </c>
      <c r="B1493" s="10" t="s">
        <v>14219</v>
      </c>
      <c r="C1493" s="10" t="s">
        <v>11995</v>
      </c>
      <c r="D1493" s="10" t="s">
        <v>14220</v>
      </c>
      <c r="E1493" s="10" t="s">
        <v>7391</v>
      </c>
      <c r="F1493" s="10" t="s">
        <v>14221</v>
      </c>
      <c r="G1493" s="10" t="s">
        <v>55</v>
      </c>
      <c r="H1493" s="7" t="s">
        <v>24</v>
      </c>
      <c r="I1493" s="7" t="s">
        <v>25</v>
      </c>
      <c r="J1493" s="13" t="str">
        <f>HYPERLINK("https://www.airitibooks.com/Detail/Detail?PublicationID=P20200521182", "https://www.airitibooks.com/Detail/Detail?PublicationID=P20200521182")</f>
        <v>https://www.airitibooks.com/Detail/Detail?PublicationID=P20200521182</v>
      </c>
      <c r="K1493" s="13" t="str">
        <f>HYPERLINK("https://ntsu.idm.oclc.org/login?url=https://www.airitibooks.com/Detail/Detail?PublicationID=P20200521182", "https://ntsu.idm.oclc.org/login?url=https://www.airitibooks.com/Detail/Detail?PublicationID=P20200521182")</f>
        <v>https://ntsu.idm.oclc.org/login?url=https://www.airitibooks.com/Detail/Detail?PublicationID=P20200521182</v>
      </c>
    </row>
    <row r="1494" spans="1:11" ht="51" x14ac:dyDescent="0.4">
      <c r="A1494" s="10" t="s">
        <v>14222</v>
      </c>
      <c r="B1494" s="10" t="s">
        <v>14223</v>
      </c>
      <c r="C1494" s="10" t="s">
        <v>11995</v>
      </c>
      <c r="D1494" s="10" t="s">
        <v>14224</v>
      </c>
      <c r="E1494" s="10" t="s">
        <v>7391</v>
      </c>
      <c r="F1494" s="10" t="s">
        <v>6902</v>
      </c>
      <c r="G1494" s="10" t="s">
        <v>55</v>
      </c>
      <c r="H1494" s="7" t="s">
        <v>24</v>
      </c>
      <c r="I1494" s="7" t="s">
        <v>25</v>
      </c>
      <c r="J1494" s="13" t="str">
        <f>HYPERLINK("https://www.airitibooks.com/Detail/Detail?PublicationID=P20200521185", "https://www.airitibooks.com/Detail/Detail?PublicationID=P20200521185")</f>
        <v>https://www.airitibooks.com/Detail/Detail?PublicationID=P20200521185</v>
      </c>
      <c r="K1494" s="13" t="str">
        <f>HYPERLINK("https://ntsu.idm.oclc.org/login?url=https://www.airitibooks.com/Detail/Detail?PublicationID=P20200521185", "https://ntsu.idm.oclc.org/login?url=https://www.airitibooks.com/Detail/Detail?PublicationID=P20200521185")</f>
        <v>https://ntsu.idm.oclc.org/login?url=https://www.airitibooks.com/Detail/Detail?PublicationID=P20200521185</v>
      </c>
    </row>
    <row r="1495" spans="1:11" ht="51" x14ac:dyDescent="0.4">
      <c r="A1495" s="10" t="s">
        <v>14225</v>
      </c>
      <c r="B1495" s="10" t="s">
        <v>14226</v>
      </c>
      <c r="C1495" s="10" t="s">
        <v>11995</v>
      </c>
      <c r="D1495" s="10" t="s">
        <v>14227</v>
      </c>
      <c r="E1495" s="10" t="s">
        <v>7391</v>
      </c>
      <c r="F1495" s="10" t="s">
        <v>6902</v>
      </c>
      <c r="G1495" s="10" t="s">
        <v>55</v>
      </c>
      <c r="H1495" s="7" t="s">
        <v>24</v>
      </c>
      <c r="I1495" s="7" t="s">
        <v>25</v>
      </c>
      <c r="J1495" s="13" t="str">
        <f>HYPERLINK("https://www.airitibooks.com/Detail/Detail?PublicationID=P20200521186", "https://www.airitibooks.com/Detail/Detail?PublicationID=P20200521186")</f>
        <v>https://www.airitibooks.com/Detail/Detail?PublicationID=P20200521186</v>
      </c>
      <c r="K1495" s="13" t="str">
        <f>HYPERLINK("https://ntsu.idm.oclc.org/login?url=https://www.airitibooks.com/Detail/Detail?PublicationID=P20200521186", "https://ntsu.idm.oclc.org/login?url=https://www.airitibooks.com/Detail/Detail?PublicationID=P20200521186")</f>
        <v>https://ntsu.idm.oclc.org/login?url=https://www.airitibooks.com/Detail/Detail?PublicationID=P20200521186</v>
      </c>
    </row>
    <row r="1496" spans="1:11" ht="51" x14ac:dyDescent="0.4">
      <c r="A1496" s="10" t="s">
        <v>14950</v>
      </c>
      <c r="B1496" s="10" t="s">
        <v>14951</v>
      </c>
      <c r="C1496" s="10" t="s">
        <v>12989</v>
      </c>
      <c r="D1496" s="10" t="s">
        <v>14952</v>
      </c>
      <c r="E1496" s="10" t="s">
        <v>7391</v>
      </c>
      <c r="F1496" s="10" t="s">
        <v>13608</v>
      </c>
      <c r="G1496" s="10" t="s">
        <v>55</v>
      </c>
      <c r="H1496" s="7" t="s">
        <v>1031</v>
      </c>
      <c r="I1496" s="7" t="s">
        <v>25</v>
      </c>
      <c r="J1496" s="13" t="str">
        <f>HYPERLINK("https://www.airitibooks.com/Detail/Detail?PublicationID=P20201120184", "https://www.airitibooks.com/Detail/Detail?PublicationID=P20201120184")</f>
        <v>https://www.airitibooks.com/Detail/Detail?PublicationID=P20201120184</v>
      </c>
      <c r="K1496" s="13" t="str">
        <f>HYPERLINK("https://ntsu.idm.oclc.org/login?url=https://www.airitibooks.com/Detail/Detail?PublicationID=P20201120184", "https://ntsu.idm.oclc.org/login?url=https://www.airitibooks.com/Detail/Detail?PublicationID=P20201120184")</f>
        <v>https://ntsu.idm.oclc.org/login?url=https://www.airitibooks.com/Detail/Detail?PublicationID=P20201120184</v>
      </c>
    </row>
    <row r="1497" spans="1:11" ht="51" x14ac:dyDescent="0.4">
      <c r="A1497" s="10" t="s">
        <v>15534</v>
      </c>
      <c r="B1497" s="10" t="s">
        <v>15535</v>
      </c>
      <c r="C1497" s="10" t="s">
        <v>13223</v>
      </c>
      <c r="D1497" s="10" t="s">
        <v>15536</v>
      </c>
      <c r="E1497" s="10" t="s">
        <v>7391</v>
      </c>
      <c r="F1497" s="10" t="s">
        <v>15537</v>
      </c>
      <c r="G1497" s="10" t="s">
        <v>55</v>
      </c>
      <c r="H1497" s="7" t="s">
        <v>1031</v>
      </c>
      <c r="I1497" s="7" t="s">
        <v>25</v>
      </c>
      <c r="J1497" s="13" t="str">
        <f>HYPERLINK("https://www.airitibooks.com/Detail/Detail?PublicationID=P20210726212", "https://www.airitibooks.com/Detail/Detail?PublicationID=P20210726212")</f>
        <v>https://www.airitibooks.com/Detail/Detail?PublicationID=P20210726212</v>
      </c>
      <c r="K1497" s="13" t="str">
        <f>HYPERLINK("https://ntsu.idm.oclc.org/login?url=https://www.airitibooks.com/Detail/Detail?PublicationID=P20210726212", "https://ntsu.idm.oclc.org/login?url=https://www.airitibooks.com/Detail/Detail?PublicationID=P20210726212")</f>
        <v>https://ntsu.idm.oclc.org/login?url=https://www.airitibooks.com/Detail/Detail?PublicationID=P20210726212</v>
      </c>
    </row>
    <row r="1498" spans="1:11" ht="51" x14ac:dyDescent="0.4">
      <c r="A1498" s="10" t="s">
        <v>7388</v>
      </c>
      <c r="B1498" s="10" t="s">
        <v>7389</v>
      </c>
      <c r="C1498" s="10" t="s">
        <v>7164</v>
      </c>
      <c r="D1498" s="10" t="s">
        <v>7390</v>
      </c>
      <c r="E1498" s="10" t="s">
        <v>7391</v>
      </c>
      <c r="F1498" s="10" t="s">
        <v>475</v>
      </c>
      <c r="G1498" s="10" t="s">
        <v>87</v>
      </c>
      <c r="H1498" s="7" t="s">
        <v>24</v>
      </c>
      <c r="I1498" s="7" t="s">
        <v>25</v>
      </c>
      <c r="J1498" s="13" t="str">
        <f>HYPERLINK("https://www.airitibooks.com/Detail/Detail?PublicationID=P20171103171", "https://www.airitibooks.com/Detail/Detail?PublicationID=P20171103171")</f>
        <v>https://www.airitibooks.com/Detail/Detail?PublicationID=P20171103171</v>
      </c>
      <c r="K1498" s="13" t="str">
        <f>HYPERLINK("https://ntsu.idm.oclc.org/login?url=https://www.airitibooks.com/Detail/Detail?PublicationID=P20171103171", "https://ntsu.idm.oclc.org/login?url=https://www.airitibooks.com/Detail/Detail?PublicationID=P20171103171")</f>
        <v>https://ntsu.idm.oclc.org/login?url=https://www.airitibooks.com/Detail/Detail?PublicationID=P20171103171</v>
      </c>
    </row>
    <row r="1499" spans="1:11" ht="85" x14ac:dyDescent="0.4">
      <c r="A1499" s="10" t="s">
        <v>8187</v>
      </c>
      <c r="B1499" s="10" t="s">
        <v>8188</v>
      </c>
      <c r="C1499" s="10" t="s">
        <v>746</v>
      </c>
      <c r="D1499" s="10" t="s">
        <v>8189</v>
      </c>
      <c r="E1499" s="10" t="s">
        <v>7391</v>
      </c>
      <c r="F1499" s="10" t="s">
        <v>475</v>
      </c>
      <c r="G1499" s="10" t="s">
        <v>87</v>
      </c>
      <c r="H1499" s="7" t="s">
        <v>24</v>
      </c>
      <c r="I1499" s="7" t="s">
        <v>25</v>
      </c>
      <c r="J1499" s="13" t="str">
        <f>HYPERLINK("https://www.airitibooks.com/Detail/Detail?PublicationID=P20180119035", "https://www.airitibooks.com/Detail/Detail?PublicationID=P20180119035")</f>
        <v>https://www.airitibooks.com/Detail/Detail?PublicationID=P20180119035</v>
      </c>
      <c r="K1499" s="13" t="str">
        <f>HYPERLINK("https://ntsu.idm.oclc.org/login?url=https://www.airitibooks.com/Detail/Detail?PublicationID=P20180119035", "https://ntsu.idm.oclc.org/login?url=https://www.airitibooks.com/Detail/Detail?PublicationID=P20180119035")</f>
        <v>https://ntsu.idm.oclc.org/login?url=https://www.airitibooks.com/Detail/Detail?PublicationID=P20180119035</v>
      </c>
    </row>
    <row r="1500" spans="1:11" ht="51" x14ac:dyDescent="0.4">
      <c r="A1500" s="10" t="s">
        <v>8210</v>
      </c>
      <c r="B1500" s="10" t="s">
        <v>8211</v>
      </c>
      <c r="C1500" s="10" t="s">
        <v>7164</v>
      </c>
      <c r="D1500" s="10" t="s">
        <v>8212</v>
      </c>
      <c r="E1500" s="10" t="s">
        <v>7391</v>
      </c>
      <c r="F1500" s="10" t="s">
        <v>475</v>
      </c>
      <c r="G1500" s="10" t="s">
        <v>87</v>
      </c>
      <c r="H1500" s="7" t="s">
        <v>24</v>
      </c>
      <c r="I1500" s="7" t="s">
        <v>25</v>
      </c>
      <c r="J1500" s="13" t="str">
        <f>HYPERLINK("https://www.airitibooks.com/Detail/Detail?PublicationID=P20180119066", "https://www.airitibooks.com/Detail/Detail?PublicationID=P20180119066")</f>
        <v>https://www.airitibooks.com/Detail/Detail?PublicationID=P20180119066</v>
      </c>
      <c r="K1500" s="13" t="str">
        <f>HYPERLINK("https://ntsu.idm.oclc.org/login?url=https://www.airitibooks.com/Detail/Detail?PublicationID=P20180119066", "https://ntsu.idm.oclc.org/login?url=https://www.airitibooks.com/Detail/Detail?PublicationID=P20180119066")</f>
        <v>https://ntsu.idm.oclc.org/login?url=https://www.airitibooks.com/Detail/Detail?PublicationID=P20180119066</v>
      </c>
    </row>
    <row r="1501" spans="1:11" ht="51" x14ac:dyDescent="0.4">
      <c r="A1501" s="10" t="s">
        <v>8226</v>
      </c>
      <c r="B1501" s="10" t="s">
        <v>8227</v>
      </c>
      <c r="C1501" s="10" t="s">
        <v>7164</v>
      </c>
      <c r="D1501" s="10" t="s">
        <v>8228</v>
      </c>
      <c r="E1501" s="10" t="s">
        <v>7391</v>
      </c>
      <c r="F1501" s="10" t="s">
        <v>475</v>
      </c>
      <c r="G1501" s="10" t="s">
        <v>87</v>
      </c>
      <c r="H1501" s="7" t="s">
        <v>24</v>
      </c>
      <c r="I1501" s="7" t="s">
        <v>25</v>
      </c>
      <c r="J1501" s="13" t="str">
        <f>HYPERLINK("https://www.airitibooks.com/Detail/Detail?PublicationID=P20180119083", "https://www.airitibooks.com/Detail/Detail?PublicationID=P20180119083")</f>
        <v>https://www.airitibooks.com/Detail/Detail?PublicationID=P20180119083</v>
      </c>
      <c r="K1501" s="13" t="str">
        <f>HYPERLINK("https://ntsu.idm.oclc.org/login?url=https://www.airitibooks.com/Detail/Detail?PublicationID=P20180119083", "https://ntsu.idm.oclc.org/login?url=https://www.airitibooks.com/Detail/Detail?PublicationID=P20180119083")</f>
        <v>https://ntsu.idm.oclc.org/login?url=https://www.airitibooks.com/Detail/Detail?PublicationID=P20180119083</v>
      </c>
    </row>
    <row r="1502" spans="1:11" ht="51" x14ac:dyDescent="0.4">
      <c r="A1502" s="10" t="s">
        <v>8229</v>
      </c>
      <c r="B1502" s="10" t="s">
        <v>8230</v>
      </c>
      <c r="C1502" s="10" t="s">
        <v>7164</v>
      </c>
      <c r="D1502" s="10" t="s">
        <v>8231</v>
      </c>
      <c r="E1502" s="10" t="s">
        <v>7391</v>
      </c>
      <c r="F1502" s="10" t="s">
        <v>475</v>
      </c>
      <c r="G1502" s="10" t="s">
        <v>87</v>
      </c>
      <c r="H1502" s="7" t="s">
        <v>24</v>
      </c>
      <c r="I1502" s="7" t="s">
        <v>25</v>
      </c>
      <c r="J1502" s="13" t="str">
        <f>HYPERLINK("https://www.airitibooks.com/Detail/Detail?PublicationID=P20180119084", "https://www.airitibooks.com/Detail/Detail?PublicationID=P20180119084")</f>
        <v>https://www.airitibooks.com/Detail/Detail?PublicationID=P20180119084</v>
      </c>
      <c r="K1502" s="13" t="str">
        <f>HYPERLINK("https://ntsu.idm.oclc.org/login?url=https://www.airitibooks.com/Detail/Detail?PublicationID=P20180119084", "https://ntsu.idm.oclc.org/login?url=https://www.airitibooks.com/Detail/Detail?PublicationID=P20180119084")</f>
        <v>https://ntsu.idm.oclc.org/login?url=https://www.airitibooks.com/Detail/Detail?PublicationID=P20180119084</v>
      </c>
    </row>
    <row r="1503" spans="1:11" ht="51" x14ac:dyDescent="0.4">
      <c r="A1503" s="10" t="s">
        <v>8267</v>
      </c>
      <c r="B1503" s="10" t="s">
        <v>8268</v>
      </c>
      <c r="C1503" s="10" t="s">
        <v>7164</v>
      </c>
      <c r="D1503" s="10" t="s">
        <v>8269</v>
      </c>
      <c r="E1503" s="10" t="s">
        <v>7391</v>
      </c>
      <c r="F1503" s="10" t="s">
        <v>138</v>
      </c>
      <c r="G1503" s="10" t="s">
        <v>87</v>
      </c>
      <c r="H1503" s="7" t="s">
        <v>24</v>
      </c>
      <c r="I1503" s="7" t="s">
        <v>25</v>
      </c>
      <c r="J1503" s="13" t="str">
        <f>HYPERLINK("https://www.airitibooks.com/Detail/Detail?PublicationID=P20180119108", "https://www.airitibooks.com/Detail/Detail?PublicationID=P20180119108")</f>
        <v>https://www.airitibooks.com/Detail/Detail?PublicationID=P20180119108</v>
      </c>
      <c r="K1503" s="13" t="str">
        <f>HYPERLINK("https://ntsu.idm.oclc.org/login?url=https://www.airitibooks.com/Detail/Detail?PublicationID=P20180119108", "https://ntsu.idm.oclc.org/login?url=https://www.airitibooks.com/Detail/Detail?PublicationID=P20180119108")</f>
        <v>https://ntsu.idm.oclc.org/login?url=https://www.airitibooks.com/Detail/Detail?PublicationID=P20180119108</v>
      </c>
    </row>
    <row r="1504" spans="1:11" ht="51" x14ac:dyDescent="0.4">
      <c r="A1504" s="10" t="s">
        <v>8290</v>
      </c>
      <c r="B1504" s="10" t="s">
        <v>8291</v>
      </c>
      <c r="C1504" s="10" t="s">
        <v>7164</v>
      </c>
      <c r="D1504" s="10" t="s">
        <v>8292</v>
      </c>
      <c r="E1504" s="10" t="s">
        <v>7391</v>
      </c>
      <c r="F1504" s="10" t="s">
        <v>7178</v>
      </c>
      <c r="G1504" s="10" t="s">
        <v>87</v>
      </c>
      <c r="H1504" s="7" t="s">
        <v>24</v>
      </c>
      <c r="I1504" s="7" t="s">
        <v>25</v>
      </c>
      <c r="J1504" s="13" t="str">
        <f>HYPERLINK("https://www.airitibooks.com/Detail/Detail?PublicationID=P20180119130", "https://www.airitibooks.com/Detail/Detail?PublicationID=P20180119130")</f>
        <v>https://www.airitibooks.com/Detail/Detail?PublicationID=P20180119130</v>
      </c>
      <c r="K1504" s="13" t="str">
        <f>HYPERLINK("https://ntsu.idm.oclc.org/login?url=https://www.airitibooks.com/Detail/Detail?PublicationID=P20180119130", "https://ntsu.idm.oclc.org/login?url=https://www.airitibooks.com/Detail/Detail?PublicationID=P20180119130")</f>
        <v>https://ntsu.idm.oclc.org/login?url=https://www.airitibooks.com/Detail/Detail?PublicationID=P20180119130</v>
      </c>
    </row>
    <row r="1505" spans="1:11" ht="51" x14ac:dyDescent="0.4">
      <c r="A1505" s="10" t="s">
        <v>8293</v>
      </c>
      <c r="B1505" s="10" t="s">
        <v>8294</v>
      </c>
      <c r="C1505" s="10" t="s">
        <v>7164</v>
      </c>
      <c r="D1505" s="10" t="s">
        <v>8295</v>
      </c>
      <c r="E1505" s="10" t="s">
        <v>7391</v>
      </c>
      <c r="F1505" s="10" t="s">
        <v>475</v>
      </c>
      <c r="G1505" s="10" t="s">
        <v>87</v>
      </c>
      <c r="H1505" s="7" t="s">
        <v>24</v>
      </c>
      <c r="I1505" s="7" t="s">
        <v>25</v>
      </c>
      <c r="J1505" s="13" t="str">
        <f>HYPERLINK("https://www.airitibooks.com/Detail/Detail?PublicationID=P20180119131", "https://www.airitibooks.com/Detail/Detail?PublicationID=P20180119131")</f>
        <v>https://www.airitibooks.com/Detail/Detail?PublicationID=P20180119131</v>
      </c>
      <c r="K1505" s="13" t="str">
        <f>HYPERLINK("https://ntsu.idm.oclc.org/login?url=https://www.airitibooks.com/Detail/Detail?PublicationID=P20180119131", "https://ntsu.idm.oclc.org/login?url=https://www.airitibooks.com/Detail/Detail?PublicationID=P20180119131")</f>
        <v>https://ntsu.idm.oclc.org/login?url=https://www.airitibooks.com/Detail/Detail?PublicationID=P20180119131</v>
      </c>
    </row>
    <row r="1506" spans="1:11" ht="51" x14ac:dyDescent="0.4">
      <c r="A1506" s="10" t="s">
        <v>8371</v>
      </c>
      <c r="B1506" s="10" t="s">
        <v>8372</v>
      </c>
      <c r="C1506" s="10" t="s">
        <v>568</v>
      </c>
      <c r="D1506" s="10" t="s">
        <v>8373</v>
      </c>
      <c r="E1506" s="10" t="s">
        <v>7391</v>
      </c>
      <c r="F1506" s="10" t="s">
        <v>2982</v>
      </c>
      <c r="G1506" s="10" t="s">
        <v>87</v>
      </c>
      <c r="H1506" s="7" t="s">
        <v>24</v>
      </c>
      <c r="I1506" s="7" t="s">
        <v>25</v>
      </c>
      <c r="J1506" s="13" t="str">
        <f>HYPERLINK("https://www.airitibooks.com/Detail/Detail?PublicationID=P20180126028", "https://www.airitibooks.com/Detail/Detail?PublicationID=P20180126028")</f>
        <v>https://www.airitibooks.com/Detail/Detail?PublicationID=P20180126028</v>
      </c>
      <c r="K1506" s="13" t="str">
        <f>HYPERLINK("https://ntsu.idm.oclc.org/login?url=https://www.airitibooks.com/Detail/Detail?PublicationID=P20180126028", "https://ntsu.idm.oclc.org/login?url=https://www.airitibooks.com/Detail/Detail?PublicationID=P20180126028")</f>
        <v>https://ntsu.idm.oclc.org/login?url=https://www.airitibooks.com/Detail/Detail?PublicationID=P20180126028</v>
      </c>
    </row>
    <row r="1507" spans="1:11" ht="68" x14ac:dyDescent="0.4">
      <c r="A1507" s="10" t="s">
        <v>8494</v>
      </c>
      <c r="B1507" s="10" t="s">
        <v>8495</v>
      </c>
      <c r="C1507" s="10" t="s">
        <v>7164</v>
      </c>
      <c r="D1507" s="10" t="s">
        <v>8496</v>
      </c>
      <c r="E1507" s="10" t="s">
        <v>7391</v>
      </c>
      <c r="F1507" s="10" t="s">
        <v>132</v>
      </c>
      <c r="G1507" s="10" t="s">
        <v>87</v>
      </c>
      <c r="H1507" s="7" t="s">
        <v>24</v>
      </c>
      <c r="I1507" s="7" t="s">
        <v>25</v>
      </c>
      <c r="J1507" s="13" t="str">
        <f>HYPERLINK("https://www.airitibooks.com/Detail/Detail?PublicationID=P20180208205", "https://www.airitibooks.com/Detail/Detail?PublicationID=P20180208205")</f>
        <v>https://www.airitibooks.com/Detail/Detail?PublicationID=P20180208205</v>
      </c>
      <c r="K1507" s="13" t="str">
        <f>HYPERLINK("https://ntsu.idm.oclc.org/login?url=https://www.airitibooks.com/Detail/Detail?PublicationID=P20180208205", "https://ntsu.idm.oclc.org/login?url=https://www.airitibooks.com/Detail/Detail?PublicationID=P20180208205")</f>
        <v>https://ntsu.idm.oclc.org/login?url=https://www.airitibooks.com/Detail/Detail?PublicationID=P20180208205</v>
      </c>
    </row>
    <row r="1508" spans="1:11" ht="51" x14ac:dyDescent="0.4">
      <c r="A1508" s="10" t="s">
        <v>8497</v>
      </c>
      <c r="B1508" s="10" t="s">
        <v>8498</v>
      </c>
      <c r="C1508" s="10" t="s">
        <v>7164</v>
      </c>
      <c r="D1508" s="10" t="s">
        <v>8499</v>
      </c>
      <c r="E1508" s="10" t="s">
        <v>7391</v>
      </c>
      <c r="F1508" s="10" t="s">
        <v>7200</v>
      </c>
      <c r="G1508" s="10" t="s">
        <v>87</v>
      </c>
      <c r="H1508" s="7" t="s">
        <v>24</v>
      </c>
      <c r="I1508" s="7" t="s">
        <v>25</v>
      </c>
      <c r="J1508" s="13" t="str">
        <f>HYPERLINK("https://www.airitibooks.com/Detail/Detail?PublicationID=P20180208206", "https://www.airitibooks.com/Detail/Detail?PublicationID=P20180208206")</f>
        <v>https://www.airitibooks.com/Detail/Detail?PublicationID=P20180208206</v>
      </c>
      <c r="K1508" s="13" t="str">
        <f>HYPERLINK("https://ntsu.idm.oclc.org/login?url=https://www.airitibooks.com/Detail/Detail?PublicationID=P20180208206", "https://ntsu.idm.oclc.org/login?url=https://www.airitibooks.com/Detail/Detail?PublicationID=P20180208206")</f>
        <v>https://ntsu.idm.oclc.org/login?url=https://www.airitibooks.com/Detail/Detail?PublicationID=P20180208206</v>
      </c>
    </row>
    <row r="1509" spans="1:11" ht="51" x14ac:dyDescent="0.4">
      <c r="A1509" s="10" t="s">
        <v>8548</v>
      </c>
      <c r="B1509" s="10" t="s">
        <v>8549</v>
      </c>
      <c r="C1509" s="10" t="s">
        <v>7164</v>
      </c>
      <c r="D1509" s="10" t="s">
        <v>8550</v>
      </c>
      <c r="E1509" s="10" t="s">
        <v>7391</v>
      </c>
      <c r="F1509" s="10" t="s">
        <v>5517</v>
      </c>
      <c r="G1509" s="10" t="s">
        <v>87</v>
      </c>
      <c r="H1509" s="7" t="s">
        <v>24</v>
      </c>
      <c r="I1509" s="7" t="s">
        <v>25</v>
      </c>
      <c r="J1509" s="13" t="str">
        <f>HYPERLINK("https://www.airitibooks.com/Detail/Detail?PublicationID=P20180208305", "https://www.airitibooks.com/Detail/Detail?PublicationID=P20180208305")</f>
        <v>https://www.airitibooks.com/Detail/Detail?PublicationID=P20180208305</v>
      </c>
      <c r="K1509" s="13" t="str">
        <f>HYPERLINK("https://ntsu.idm.oclc.org/login?url=https://www.airitibooks.com/Detail/Detail?PublicationID=P20180208305", "https://ntsu.idm.oclc.org/login?url=https://www.airitibooks.com/Detail/Detail?PublicationID=P20180208305")</f>
        <v>https://ntsu.idm.oclc.org/login?url=https://www.airitibooks.com/Detail/Detail?PublicationID=P20180208305</v>
      </c>
    </row>
    <row r="1510" spans="1:11" ht="51" x14ac:dyDescent="0.4">
      <c r="A1510" s="10" t="s">
        <v>8551</v>
      </c>
      <c r="B1510" s="10" t="s">
        <v>8552</v>
      </c>
      <c r="C1510" s="10" t="s">
        <v>7164</v>
      </c>
      <c r="D1510" s="10" t="s">
        <v>8553</v>
      </c>
      <c r="E1510" s="10" t="s">
        <v>7391</v>
      </c>
      <c r="F1510" s="10" t="s">
        <v>132</v>
      </c>
      <c r="G1510" s="10" t="s">
        <v>87</v>
      </c>
      <c r="H1510" s="7" t="s">
        <v>24</v>
      </c>
      <c r="I1510" s="7" t="s">
        <v>25</v>
      </c>
      <c r="J1510" s="13" t="str">
        <f>HYPERLINK("https://www.airitibooks.com/Detail/Detail?PublicationID=P20180208307", "https://www.airitibooks.com/Detail/Detail?PublicationID=P20180208307")</f>
        <v>https://www.airitibooks.com/Detail/Detail?PublicationID=P20180208307</v>
      </c>
      <c r="K1510" s="13" t="str">
        <f>HYPERLINK("https://ntsu.idm.oclc.org/login?url=https://www.airitibooks.com/Detail/Detail?PublicationID=P20180208307", "https://ntsu.idm.oclc.org/login?url=https://www.airitibooks.com/Detail/Detail?PublicationID=P20180208307")</f>
        <v>https://ntsu.idm.oclc.org/login?url=https://www.airitibooks.com/Detail/Detail?PublicationID=P20180208307</v>
      </c>
    </row>
    <row r="1511" spans="1:11" ht="51" x14ac:dyDescent="0.4">
      <c r="A1511" s="10" t="s">
        <v>8578</v>
      </c>
      <c r="B1511" s="10" t="s">
        <v>8579</v>
      </c>
      <c r="C1511" s="10" t="s">
        <v>7164</v>
      </c>
      <c r="D1511" s="10" t="s">
        <v>8580</v>
      </c>
      <c r="E1511" s="10" t="s">
        <v>7391</v>
      </c>
      <c r="F1511" s="10" t="s">
        <v>7178</v>
      </c>
      <c r="G1511" s="10" t="s">
        <v>87</v>
      </c>
      <c r="H1511" s="7" t="s">
        <v>24</v>
      </c>
      <c r="I1511" s="7" t="s">
        <v>25</v>
      </c>
      <c r="J1511" s="13" t="str">
        <f>HYPERLINK("https://www.airitibooks.com/Detail/Detail?PublicationID=P20180208918", "https://www.airitibooks.com/Detail/Detail?PublicationID=P20180208918")</f>
        <v>https://www.airitibooks.com/Detail/Detail?PublicationID=P20180208918</v>
      </c>
      <c r="K1511" s="13" t="str">
        <f>HYPERLINK("https://ntsu.idm.oclc.org/login?url=https://www.airitibooks.com/Detail/Detail?PublicationID=P20180208918", "https://ntsu.idm.oclc.org/login?url=https://www.airitibooks.com/Detail/Detail?PublicationID=P20180208918")</f>
        <v>https://ntsu.idm.oclc.org/login?url=https://www.airitibooks.com/Detail/Detail?PublicationID=P20180208918</v>
      </c>
    </row>
    <row r="1512" spans="1:11" ht="51" x14ac:dyDescent="0.4">
      <c r="A1512" s="10" t="s">
        <v>8584</v>
      </c>
      <c r="B1512" s="10" t="s">
        <v>8585</v>
      </c>
      <c r="C1512" s="10" t="s">
        <v>7164</v>
      </c>
      <c r="D1512" s="10" t="s">
        <v>8586</v>
      </c>
      <c r="E1512" s="10" t="s">
        <v>7391</v>
      </c>
      <c r="F1512" s="10" t="s">
        <v>475</v>
      </c>
      <c r="G1512" s="10" t="s">
        <v>87</v>
      </c>
      <c r="H1512" s="7" t="s">
        <v>24</v>
      </c>
      <c r="I1512" s="7" t="s">
        <v>25</v>
      </c>
      <c r="J1512" s="13" t="str">
        <f>HYPERLINK("https://www.airitibooks.com/Detail/Detail?PublicationID=P20180208920", "https://www.airitibooks.com/Detail/Detail?PublicationID=P20180208920")</f>
        <v>https://www.airitibooks.com/Detail/Detail?PublicationID=P20180208920</v>
      </c>
      <c r="K1512" s="13" t="str">
        <f>HYPERLINK("https://ntsu.idm.oclc.org/login?url=https://www.airitibooks.com/Detail/Detail?PublicationID=P20180208920", "https://ntsu.idm.oclc.org/login?url=https://www.airitibooks.com/Detail/Detail?PublicationID=P20180208920")</f>
        <v>https://ntsu.idm.oclc.org/login?url=https://www.airitibooks.com/Detail/Detail?PublicationID=P20180208920</v>
      </c>
    </row>
    <row r="1513" spans="1:11" ht="51" x14ac:dyDescent="0.4">
      <c r="A1513" s="10" t="s">
        <v>8607</v>
      </c>
      <c r="B1513" s="10" t="s">
        <v>8608</v>
      </c>
      <c r="C1513" s="10" t="s">
        <v>7164</v>
      </c>
      <c r="D1513" s="10" t="s">
        <v>8609</v>
      </c>
      <c r="E1513" s="10" t="s">
        <v>7391</v>
      </c>
      <c r="F1513" s="10" t="s">
        <v>5517</v>
      </c>
      <c r="G1513" s="10" t="s">
        <v>87</v>
      </c>
      <c r="H1513" s="7" t="s">
        <v>24</v>
      </c>
      <c r="I1513" s="7" t="s">
        <v>25</v>
      </c>
      <c r="J1513" s="13" t="str">
        <f>HYPERLINK("https://www.airitibooks.com/Detail/Detail?PublicationID=P20180208939", "https://www.airitibooks.com/Detail/Detail?PublicationID=P20180208939")</f>
        <v>https://www.airitibooks.com/Detail/Detail?PublicationID=P20180208939</v>
      </c>
      <c r="K1513" s="13" t="str">
        <f>HYPERLINK("https://ntsu.idm.oclc.org/login?url=https://www.airitibooks.com/Detail/Detail?PublicationID=P20180208939", "https://ntsu.idm.oclc.org/login?url=https://www.airitibooks.com/Detail/Detail?PublicationID=P20180208939")</f>
        <v>https://ntsu.idm.oclc.org/login?url=https://www.airitibooks.com/Detail/Detail?PublicationID=P20180208939</v>
      </c>
    </row>
    <row r="1514" spans="1:11" ht="51" x14ac:dyDescent="0.4">
      <c r="A1514" s="10" t="s">
        <v>8617</v>
      </c>
      <c r="B1514" s="10" t="s">
        <v>8618</v>
      </c>
      <c r="C1514" s="10" t="s">
        <v>7164</v>
      </c>
      <c r="D1514" s="10" t="s">
        <v>7661</v>
      </c>
      <c r="E1514" s="10" t="s">
        <v>7391</v>
      </c>
      <c r="F1514" s="10" t="s">
        <v>399</v>
      </c>
      <c r="G1514" s="10" t="s">
        <v>87</v>
      </c>
      <c r="H1514" s="7" t="s">
        <v>24</v>
      </c>
      <c r="I1514" s="7" t="s">
        <v>25</v>
      </c>
      <c r="J1514" s="13" t="str">
        <f>HYPERLINK("https://www.airitibooks.com/Detail/Detail?PublicationID=P20180208945", "https://www.airitibooks.com/Detail/Detail?PublicationID=P20180208945")</f>
        <v>https://www.airitibooks.com/Detail/Detail?PublicationID=P20180208945</v>
      </c>
      <c r="K1514" s="13" t="str">
        <f>HYPERLINK("https://ntsu.idm.oclc.org/login?url=https://www.airitibooks.com/Detail/Detail?PublicationID=P20180208945", "https://ntsu.idm.oclc.org/login?url=https://www.airitibooks.com/Detail/Detail?PublicationID=P20180208945")</f>
        <v>https://ntsu.idm.oclc.org/login?url=https://www.airitibooks.com/Detail/Detail?PublicationID=P20180208945</v>
      </c>
    </row>
    <row r="1515" spans="1:11" ht="68" x14ac:dyDescent="0.4">
      <c r="A1515" s="10" t="s">
        <v>8684</v>
      </c>
      <c r="B1515" s="10" t="s">
        <v>8685</v>
      </c>
      <c r="C1515" s="10" t="s">
        <v>3863</v>
      </c>
      <c r="D1515" s="10" t="s">
        <v>8686</v>
      </c>
      <c r="E1515" s="10" t="s">
        <v>7391</v>
      </c>
      <c r="F1515" s="10" t="s">
        <v>8687</v>
      </c>
      <c r="G1515" s="10" t="s">
        <v>87</v>
      </c>
      <c r="H1515" s="7" t="s">
        <v>24</v>
      </c>
      <c r="I1515" s="7" t="s">
        <v>25</v>
      </c>
      <c r="J1515" s="13" t="str">
        <f>HYPERLINK("https://www.airitibooks.com/Detail/Detail?PublicationID=P20180301003", "https://www.airitibooks.com/Detail/Detail?PublicationID=P20180301003")</f>
        <v>https://www.airitibooks.com/Detail/Detail?PublicationID=P20180301003</v>
      </c>
      <c r="K1515" s="13" t="str">
        <f>HYPERLINK("https://ntsu.idm.oclc.org/login?url=https://www.airitibooks.com/Detail/Detail?PublicationID=P20180301003", "https://ntsu.idm.oclc.org/login?url=https://www.airitibooks.com/Detail/Detail?PublicationID=P20180301003")</f>
        <v>https://ntsu.idm.oclc.org/login?url=https://www.airitibooks.com/Detail/Detail?PublicationID=P20180301003</v>
      </c>
    </row>
    <row r="1516" spans="1:11" ht="68" x14ac:dyDescent="0.4">
      <c r="A1516" s="10" t="s">
        <v>8688</v>
      </c>
      <c r="B1516" s="10" t="s">
        <v>8689</v>
      </c>
      <c r="C1516" s="10" t="s">
        <v>3863</v>
      </c>
      <c r="D1516" s="10" t="s">
        <v>8690</v>
      </c>
      <c r="E1516" s="10" t="s">
        <v>7391</v>
      </c>
      <c r="F1516" s="10" t="s">
        <v>8691</v>
      </c>
      <c r="G1516" s="10" t="s">
        <v>87</v>
      </c>
      <c r="H1516" s="7" t="s">
        <v>24</v>
      </c>
      <c r="I1516" s="7" t="s">
        <v>25</v>
      </c>
      <c r="J1516" s="13" t="str">
        <f>HYPERLINK("https://www.airitibooks.com/Detail/Detail?PublicationID=P20180301004", "https://www.airitibooks.com/Detail/Detail?PublicationID=P20180301004")</f>
        <v>https://www.airitibooks.com/Detail/Detail?PublicationID=P20180301004</v>
      </c>
      <c r="K1516" s="13" t="str">
        <f>HYPERLINK("https://ntsu.idm.oclc.org/login?url=https://www.airitibooks.com/Detail/Detail?PublicationID=P20180301004", "https://ntsu.idm.oclc.org/login?url=https://www.airitibooks.com/Detail/Detail?PublicationID=P20180301004")</f>
        <v>https://ntsu.idm.oclc.org/login?url=https://www.airitibooks.com/Detail/Detail?PublicationID=P20180301004</v>
      </c>
    </row>
    <row r="1517" spans="1:11" ht="51" x14ac:dyDescent="0.4">
      <c r="A1517" s="10" t="s">
        <v>8746</v>
      </c>
      <c r="B1517" s="10" t="s">
        <v>8747</v>
      </c>
      <c r="C1517" s="10" t="s">
        <v>108</v>
      </c>
      <c r="D1517" s="10" t="s">
        <v>8748</v>
      </c>
      <c r="E1517" s="10" t="s">
        <v>7391</v>
      </c>
      <c r="F1517" s="10" t="s">
        <v>8749</v>
      </c>
      <c r="G1517" s="10" t="s">
        <v>87</v>
      </c>
      <c r="H1517" s="7" t="s">
        <v>24</v>
      </c>
      <c r="I1517" s="7" t="s">
        <v>25</v>
      </c>
      <c r="J1517" s="13" t="str">
        <f>HYPERLINK("https://www.airitibooks.com/Detail/Detail?PublicationID=P20180323003", "https://www.airitibooks.com/Detail/Detail?PublicationID=P20180323003")</f>
        <v>https://www.airitibooks.com/Detail/Detail?PublicationID=P20180323003</v>
      </c>
      <c r="K1517" s="13" t="str">
        <f>HYPERLINK("https://ntsu.idm.oclc.org/login?url=https://www.airitibooks.com/Detail/Detail?PublicationID=P20180323003", "https://ntsu.idm.oclc.org/login?url=https://www.airitibooks.com/Detail/Detail?PublicationID=P20180323003")</f>
        <v>https://ntsu.idm.oclc.org/login?url=https://www.airitibooks.com/Detail/Detail?PublicationID=P20180323003</v>
      </c>
    </row>
    <row r="1518" spans="1:11" ht="68" x14ac:dyDescent="0.4">
      <c r="A1518" s="10" t="s">
        <v>8750</v>
      </c>
      <c r="B1518" s="10" t="s">
        <v>8751</v>
      </c>
      <c r="C1518" s="10" t="s">
        <v>108</v>
      </c>
      <c r="D1518" s="10" t="s">
        <v>8752</v>
      </c>
      <c r="E1518" s="10" t="s">
        <v>7391</v>
      </c>
      <c r="F1518" s="10" t="s">
        <v>144</v>
      </c>
      <c r="G1518" s="10" t="s">
        <v>87</v>
      </c>
      <c r="H1518" s="7" t="s">
        <v>24</v>
      </c>
      <c r="I1518" s="7" t="s">
        <v>25</v>
      </c>
      <c r="J1518" s="13" t="str">
        <f>HYPERLINK("https://www.airitibooks.com/Detail/Detail?PublicationID=P20180323004", "https://www.airitibooks.com/Detail/Detail?PublicationID=P20180323004")</f>
        <v>https://www.airitibooks.com/Detail/Detail?PublicationID=P20180323004</v>
      </c>
      <c r="K1518" s="13" t="str">
        <f>HYPERLINK("https://ntsu.idm.oclc.org/login?url=https://www.airitibooks.com/Detail/Detail?PublicationID=P20180323004", "https://ntsu.idm.oclc.org/login?url=https://www.airitibooks.com/Detail/Detail?PublicationID=P20180323004")</f>
        <v>https://ntsu.idm.oclc.org/login?url=https://www.airitibooks.com/Detail/Detail?PublicationID=P20180323004</v>
      </c>
    </row>
    <row r="1519" spans="1:11" ht="51" x14ac:dyDescent="0.4">
      <c r="A1519" s="10" t="s">
        <v>8872</v>
      </c>
      <c r="B1519" s="10" t="s">
        <v>8873</v>
      </c>
      <c r="C1519" s="10" t="s">
        <v>2367</v>
      </c>
      <c r="D1519" s="10" t="s">
        <v>8874</v>
      </c>
      <c r="E1519" s="10" t="s">
        <v>7391</v>
      </c>
      <c r="F1519" s="10" t="s">
        <v>144</v>
      </c>
      <c r="G1519" s="10" t="s">
        <v>87</v>
      </c>
      <c r="H1519" s="7" t="s">
        <v>24</v>
      </c>
      <c r="I1519" s="7" t="s">
        <v>25</v>
      </c>
      <c r="J1519" s="13" t="str">
        <f>HYPERLINK("https://www.airitibooks.com/Detail/Detail?PublicationID=P20180413001", "https://www.airitibooks.com/Detail/Detail?PublicationID=P20180413001")</f>
        <v>https://www.airitibooks.com/Detail/Detail?PublicationID=P20180413001</v>
      </c>
      <c r="K1519" s="13" t="str">
        <f>HYPERLINK("https://ntsu.idm.oclc.org/login?url=https://www.airitibooks.com/Detail/Detail?PublicationID=P20180413001", "https://ntsu.idm.oclc.org/login?url=https://www.airitibooks.com/Detail/Detail?PublicationID=P20180413001")</f>
        <v>https://ntsu.idm.oclc.org/login?url=https://www.airitibooks.com/Detail/Detail?PublicationID=P20180413001</v>
      </c>
    </row>
    <row r="1520" spans="1:11" ht="51" x14ac:dyDescent="0.4">
      <c r="A1520" s="10" t="s">
        <v>9002</v>
      </c>
      <c r="B1520" s="10" t="s">
        <v>9003</v>
      </c>
      <c r="C1520" s="10" t="s">
        <v>428</v>
      </c>
      <c r="D1520" s="10" t="s">
        <v>9004</v>
      </c>
      <c r="E1520" s="10" t="s">
        <v>7391</v>
      </c>
      <c r="F1520" s="10" t="s">
        <v>475</v>
      </c>
      <c r="G1520" s="10" t="s">
        <v>87</v>
      </c>
      <c r="H1520" s="7" t="s">
        <v>24</v>
      </c>
      <c r="I1520" s="7" t="s">
        <v>25</v>
      </c>
      <c r="J1520" s="13" t="str">
        <f>HYPERLINK("https://www.airitibooks.com/Detail/Detail?PublicationID=P20180413094", "https://www.airitibooks.com/Detail/Detail?PublicationID=P20180413094")</f>
        <v>https://www.airitibooks.com/Detail/Detail?PublicationID=P20180413094</v>
      </c>
      <c r="K1520" s="13" t="str">
        <f>HYPERLINK("https://ntsu.idm.oclc.org/login?url=https://www.airitibooks.com/Detail/Detail?PublicationID=P20180413094", "https://ntsu.idm.oclc.org/login?url=https://www.airitibooks.com/Detail/Detail?PublicationID=P20180413094")</f>
        <v>https://ntsu.idm.oclc.org/login?url=https://www.airitibooks.com/Detail/Detail?PublicationID=P20180413094</v>
      </c>
    </row>
    <row r="1521" spans="1:11" ht="51" x14ac:dyDescent="0.4">
      <c r="A1521" s="10" t="s">
        <v>9008</v>
      </c>
      <c r="B1521" s="10" t="s">
        <v>9009</v>
      </c>
      <c r="C1521" s="10" t="s">
        <v>428</v>
      </c>
      <c r="D1521" s="10" t="s">
        <v>7770</v>
      </c>
      <c r="E1521" s="10" t="s">
        <v>7391</v>
      </c>
      <c r="F1521" s="10" t="s">
        <v>232</v>
      </c>
      <c r="G1521" s="10" t="s">
        <v>87</v>
      </c>
      <c r="H1521" s="7" t="s">
        <v>24</v>
      </c>
      <c r="I1521" s="7" t="s">
        <v>25</v>
      </c>
      <c r="J1521" s="13" t="str">
        <f>HYPERLINK("https://www.airitibooks.com/Detail/Detail?PublicationID=P20180413097", "https://www.airitibooks.com/Detail/Detail?PublicationID=P20180413097")</f>
        <v>https://www.airitibooks.com/Detail/Detail?PublicationID=P20180413097</v>
      </c>
      <c r="K1521" s="13" t="str">
        <f>HYPERLINK("https://ntsu.idm.oclc.org/login?url=https://www.airitibooks.com/Detail/Detail?PublicationID=P20180413097", "https://ntsu.idm.oclc.org/login?url=https://www.airitibooks.com/Detail/Detail?PublicationID=P20180413097")</f>
        <v>https://ntsu.idm.oclc.org/login?url=https://www.airitibooks.com/Detail/Detail?PublicationID=P20180413097</v>
      </c>
    </row>
    <row r="1522" spans="1:11" ht="68" x14ac:dyDescent="0.4">
      <c r="A1522" s="10" t="s">
        <v>9070</v>
      </c>
      <c r="B1522" s="10" t="s">
        <v>9071</v>
      </c>
      <c r="C1522" s="10" t="s">
        <v>1484</v>
      </c>
      <c r="D1522" s="10" t="s">
        <v>9072</v>
      </c>
      <c r="E1522" s="10" t="s">
        <v>7391</v>
      </c>
      <c r="F1522" s="10" t="s">
        <v>1208</v>
      </c>
      <c r="G1522" s="10" t="s">
        <v>87</v>
      </c>
      <c r="H1522" s="7" t="s">
        <v>24</v>
      </c>
      <c r="I1522" s="7" t="s">
        <v>25</v>
      </c>
      <c r="J1522" s="13" t="str">
        <f>HYPERLINK("https://www.airitibooks.com/Detail/Detail?PublicationID=P20180413194", "https://www.airitibooks.com/Detail/Detail?PublicationID=P20180413194")</f>
        <v>https://www.airitibooks.com/Detail/Detail?PublicationID=P20180413194</v>
      </c>
      <c r="K1522" s="13" t="str">
        <f>HYPERLINK("https://ntsu.idm.oclc.org/login?url=https://www.airitibooks.com/Detail/Detail?PublicationID=P20180413194", "https://ntsu.idm.oclc.org/login?url=https://www.airitibooks.com/Detail/Detail?PublicationID=P20180413194")</f>
        <v>https://ntsu.idm.oclc.org/login?url=https://www.airitibooks.com/Detail/Detail?PublicationID=P20180413194</v>
      </c>
    </row>
    <row r="1523" spans="1:11" ht="51" x14ac:dyDescent="0.4">
      <c r="A1523" s="10" t="s">
        <v>9103</v>
      </c>
      <c r="B1523" s="10" t="s">
        <v>9104</v>
      </c>
      <c r="C1523" s="10" t="s">
        <v>3359</v>
      </c>
      <c r="D1523" s="10" t="s">
        <v>9105</v>
      </c>
      <c r="E1523" s="10" t="s">
        <v>7391</v>
      </c>
      <c r="F1523" s="10" t="s">
        <v>132</v>
      </c>
      <c r="G1523" s="10" t="s">
        <v>87</v>
      </c>
      <c r="H1523" s="7" t="s">
        <v>24</v>
      </c>
      <c r="I1523" s="7" t="s">
        <v>25</v>
      </c>
      <c r="J1523" s="13" t="str">
        <f>HYPERLINK("https://www.airitibooks.com/Detail/Detail?PublicationID=P20180420046", "https://www.airitibooks.com/Detail/Detail?PublicationID=P20180420046")</f>
        <v>https://www.airitibooks.com/Detail/Detail?PublicationID=P20180420046</v>
      </c>
      <c r="K1523" s="13" t="str">
        <f>HYPERLINK("https://ntsu.idm.oclc.org/login?url=https://www.airitibooks.com/Detail/Detail?PublicationID=P20180420046", "https://ntsu.idm.oclc.org/login?url=https://www.airitibooks.com/Detail/Detail?PublicationID=P20180420046")</f>
        <v>https://ntsu.idm.oclc.org/login?url=https://www.airitibooks.com/Detail/Detail?PublicationID=P20180420046</v>
      </c>
    </row>
    <row r="1524" spans="1:11" ht="68" x14ac:dyDescent="0.4">
      <c r="A1524" s="10" t="s">
        <v>9133</v>
      </c>
      <c r="B1524" s="10" t="s">
        <v>9134</v>
      </c>
      <c r="C1524" s="10" t="s">
        <v>3863</v>
      </c>
      <c r="D1524" s="10" t="s">
        <v>9135</v>
      </c>
      <c r="E1524" s="10" t="s">
        <v>7391</v>
      </c>
      <c r="F1524" s="10" t="s">
        <v>7285</v>
      </c>
      <c r="G1524" s="10" t="s">
        <v>87</v>
      </c>
      <c r="H1524" s="7" t="s">
        <v>24</v>
      </c>
      <c r="I1524" s="7" t="s">
        <v>25</v>
      </c>
      <c r="J1524" s="13" t="str">
        <f>HYPERLINK("https://www.airitibooks.com/Detail/Detail?PublicationID=P20180427080", "https://www.airitibooks.com/Detail/Detail?PublicationID=P20180427080")</f>
        <v>https://www.airitibooks.com/Detail/Detail?PublicationID=P20180427080</v>
      </c>
      <c r="K1524" s="13" t="str">
        <f>HYPERLINK("https://ntsu.idm.oclc.org/login?url=https://www.airitibooks.com/Detail/Detail?PublicationID=P20180427080", "https://ntsu.idm.oclc.org/login?url=https://www.airitibooks.com/Detail/Detail?PublicationID=P20180427080")</f>
        <v>https://ntsu.idm.oclc.org/login?url=https://www.airitibooks.com/Detail/Detail?PublicationID=P20180427080</v>
      </c>
    </row>
    <row r="1525" spans="1:11" ht="51" x14ac:dyDescent="0.4">
      <c r="A1525" s="10" t="s">
        <v>9154</v>
      </c>
      <c r="B1525" s="10" t="s">
        <v>9155</v>
      </c>
      <c r="C1525" s="10" t="s">
        <v>130</v>
      </c>
      <c r="D1525" s="10" t="s">
        <v>9156</v>
      </c>
      <c r="E1525" s="10" t="s">
        <v>7391</v>
      </c>
      <c r="F1525" s="10" t="s">
        <v>232</v>
      </c>
      <c r="G1525" s="10" t="s">
        <v>87</v>
      </c>
      <c r="H1525" s="7" t="s">
        <v>24</v>
      </c>
      <c r="I1525" s="7" t="s">
        <v>25</v>
      </c>
      <c r="J1525" s="13" t="str">
        <f>HYPERLINK("https://www.airitibooks.com/Detail/Detail?PublicationID=P20180511004", "https://www.airitibooks.com/Detail/Detail?PublicationID=P20180511004")</f>
        <v>https://www.airitibooks.com/Detail/Detail?PublicationID=P20180511004</v>
      </c>
      <c r="K1525" s="13" t="str">
        <f>HYPERLINK("https://ntsu.idm.oclc.org/login?url=https://www.airitibooks.com/Detail/Detail?PublicationID=P20180511004", "https://ntsu.idm.oclc.org/login?url=https://www.airitibooks.com/Detail/Detail?PublicationID=P20180511004")</f>
        <v>https://ntsu.idm.oclc.org/login?url=https://www.airitibooks.com/Detail/Detail?PublicationID=P20180511004</v>
      </c>
    </row>
    <row r="1526" spans="1:11" ht="51" x14ac:dyDescent="0.4">
      <c r="A1526" s="10" t="s">
        <v>9160</v>
      </c>
      <c r="B1526" s="10" t="s">
        <v>9161</v>
      </c>
      <c r="C1526" s="10" t="s">
        <v>130</v>
      </c>
      <c r="D1526" s="10" t="s">
        <v>9159</v>
      </c>
      <c r="E1526" s="10" t="s">
        <v>7391</v>
      </c>
      <c r="F1526" s="10" t="s">
        <v>144</v>
      </c>
      <c r="G1526" s="10" t="s">
        <v>87</v>
      </c>
      <c r="H1526" s="7" t="s">
        <v>24</v>
      </c>
      <c r="I1526" s="7" t="s">
        <v>25</v>
      </c>
      <c r="J1526" s="13" t="str">
        <f>HYPERLINK("https://www.airitibooks.com/Detail/Detail?PublicationID=P20180511006", "https://www.airitibooks.com/Detail/Detail?PublicationID=P20180511006")</f>
        <v>https://www.airitibooks.com/Detail/Detail?PublicationID=P20180511006</v>
      </c>
      <c r="K1526" s="13" t="str">
        <f>HYPERLINK("https://ntsu.idm.oclc.org/login?url=https://www.airitibooks.com/Detail/Detail?PublicationID=P20180511006", "https://ntsu.idm.oclc.org/login?url=https://www.airitibooks.com/Detail/Detail?PublicationID=P20180511006")</f>
        <v>https://ntsu.idm.oclc.org/login?url=https://www.airitibooks.com/Detail/Detail?PublicationID=P20180511006</v>
      </c>
    </row>
    <row r="1527" spans="1:11" ht="51" x14ac:dyDescent="0.4">
      <c r="A1527" s="10" t="s">
        <v>9179</v>
      </c>
      <c r="B1527" s="10" t="s">
        <v>9180</v>
      </c>
      <c r="C1527" s="10" t="s">
        <v>746</v>
      </c>
      <c r="D1527" s="10" t="s">
        <v>9181</v>
      </c>
      <c r="E1527" s="10" t="s">
        <v>7391</v>
      </c>
      <c r="F1527" s="10" t="s">
        <v>4055</v>
      </c>
      <c r="G1527" s="10" t="s">
        <v>87</v>
      </c>
      <c r="H1527" s="7" t="s">
        <v>24</v>
      </c>
      <c r="I1527" s="7" t="s">
        <v>25</v>
      </c>
      <c r="J1527" s="13" t="str">
        <f>HYPERLINK("https://www.airitibooks.com/Detail/Detail?PublicationID=P20180511047", "https://www.airitibooks.com/Detail/Detail?PublicationID=P20180511047")</f>
        <v>https://www.airitibooks.com/Detail/Detail?PublicationID=P20180511047</v>
      </c>
      <c r="K1527" s="13" t="str">
        <f>HYPERLINK("https://ntsu.idm.oclc.org/login?url=https://www.airitibooks.com/Detail/Detail?PublicationID=P20180511047", "https://ntsu.idm.oclc.org/login?url=https://www.airitibooks.com/Detail/Detail?PublicationID=P20180511047")</f>
        <v>https://ntsu.idm.oclc.org/login?url=https://www.airitibooks.com/Detail/Detail?PublicationID=P20180511047</v>
      </c>
    </row>
    <row r="1528" spans="1:11" ht="68" x14ac:dyDescent="0.4">
      <c r="A1528" s="10" t="s">
        <v>9240</v>
      </c>
      <c r="B1528" s="10" t="s">
        <v>9241</v>
      </c>
      <c r="C1528" s="10" t="s">
        <v>1484</v>
      </c>
      <c r="D1528" s="10" t="s">
        <v>7148</v>
      </c>
      <c r="E1528" s="10" t="s">
        <v>7391</v>
      </c>
      <c r="F1528" s="10" t="s">
        <v>2063</v>
      </c>
      <c r="G1528" s="10" t="s">
        <v>87</v>
      </c>
      <c r="H1528" s="7" t="s">
        <v>24</v>
      </c>
      <c r="I1528" s="7" t="s">
        <v>25</v>
      </c>
      <c r="J1528" s="13" t="str">
        <f>HYPERLINK("https://www.airitibooks.com/Detail/Detail?PublicationID=P20180518023", "https://www.airitibooks.com/Detail/Detail?PublicationID=P20180518023")</f>
        <v>https://www.airitibooks.com/Detail/Detail?PublicationID=P20180518023</v>
      </c>
      <c r="K1528" s="13" t="str">
        <f>HYPERLINK("https://ntsu.idm.oclc.org/login?url=https://www.airitibooks.com/Detail/Detail?PublicationID=P20180518023", "https://ntsu.idm.oclc.org/login?url=https://www.airitibooks.com/Detail/Detail?PublicationID=P20180518023")</f>
        <v>https://ntsu.idm.oclc.org/login?url=https://www.airitibooks.com/Detail/Detail?PublicationID=P20180518023</v>
      </c>
    </row>
    <row r="1529" spans="1:11" ht="136" x14ac:dyDescent="0.4">
      <c r="A1529" s="10" t="s">
        <v>9437</v>
      </c>
      <c r="B1529" s="10" t="s">
        <v>9438</v>
      </c>
      <c r="C1529" s="10" t="s">
        <v>791</v>
      </c>
      <c r="D1529" s="10" t="s">
        <v>9439</v>
      </c>
      <c r="E1529" s="10" t="s">
        <v>7391</v>
      </c>
      <c r="F1529" s="10" t="s">
        <v>5432</v>
      </c>
      <c r="G1529" s="10" t="s">
        <v>87</v>
      </c>
      <c r="H1529" s="7" t="s">
        <v>24</v>
      </c>
      <c r="I1529" s="7" t="s">
        <v>25</v>
      </c>
      <c r="J1529" s="13" t="str">
        <f>HYPERLINK("https://www.airitibooks.com/Detail/Detail?PublicationID=P20180619002", "https://www.airitibooks.com/Detail/Detail?PublicationID=P20180619002")</f>
        <v>https://www.airitibooks.com/Detail/Detail?PublicationID=P20180619002</v>
      </c>
      <c r="K1529" s="13" t="str">
        <f>HYPERLINK("https://ntsu.idm.oclc.org/login?url=https://www.airitibooks.com/Detail/Detail?PublicationID=P20180619002", "https://ntsu.idm.oclc.org/login?url=https://www.airitibooks.com/Detail/Detail?PublicationID=P20180619002")</f>
        <v>https://ntsu.idm.oclc.org/login?url=https://www.airitibooks.com/Detail/Detail?PublicationID=P20180619002</v>
      </c>
    </row>
    <row r="1530" spans="1:11" ht="51" x14ac:dyDescent="0.4">
      <c r="A1530" s="10" t="s">
        <v>9470</v>
      </c>
      <c r="B1530" s="10" t="s">
        <v>9471</v>
      </c>
      <c r="C1530" s="10" t="s">
        <v>108</v>
      </c>
      <c r="D1530" s="10" t="s">
        <v>9472</v>
      </c>
      <c r="E1530" s="10" t="s">
        <v>7391</v>
      </c>
      <c r="F1530" s="10" t="s">
        <v>144</v>
      </c>
      <c r="G1530" s="10" t="s">
        <v>87</v>
      </c>
      <c r="H1530" s="7" t="s">
        <v>24</v>
      </c>
      <c r="I1530" s="7" t="s">
        <v>25</v>
      </c>
      <c r="J1530" s="13" t="str">
        <f>HYPERLINK("https://www.airitibooks.com/Detail/Detail?PublicationID=P20180626001", "https://www.airitibooks.com/Detail/Detail?PublicationID=P20180626001")</f>
        <v>https://www.airitibooks.com/Detail/Detail?PublicationID=P20180626001</v>
      </c>
      <c r="K1530" s="13" t="str">
        <f>HYPERLINK("https://ntsu.idm.oclc.org/login?url=https://www.airitibooks.com/Detail/Detail?PublicationID=P20180626001", "https://ntsu.idm.oclc.org/login?url=https://www.airitibooks.com/Detail/Detail?PublicationID=P20180626001")</f>
        <v>https://ntsu.idm.oclc.org/login?url=https://www.airitibooks.com/Detail/Detail?PublicationID=P20180626001</v>
      </c>
    </row>
    <row r="1531" spans="1:11" ht="68" x14ac:dyDescent="0.4">
      <c r="A1531" s="10" t="s">
        <v>9475</v>
      </c>
      <c r="B1531" s="10" t="s">
        <v>9476</v>
      </c>
      <c r="C1531" s="10" t="s">
        <v>108</v>
      </c>
      <c r="D1531" s="10" t="s">
        <v>9477</v>
      </c>
      <c r="E1531" s="10" t="s">
        <v>7391</v>
      </c>
      <c r="F1531" s="10" t="s">
        <v>144</v>
      </c>
      <c r="G1531" s="10" t="s">
        <v>87</v>
      </c>
      <c r="H1531" s="7" t="s">
        <v>24</v>
      </c>
      <c r="I1531" s="7" t="s">
        <v>25</v>
      </c>
      <c r="J1531" s="13" t="str">
        <f>HYPERLINK("https://www.airitibooks.com/Detail/Detail?PublicationID=P20180626004", "https://www.airitibooks.com/Detail/Detail?PublicationID=P20180626004")</f>
        <v>https://www.airitibooks.com/Detail/Detail?PublicationID=P20180626004</v>
      </c>
      <c r="K1531" s="13" t="str">
        <f>HYPERLINK("https://ntsu.idm.oclc.org/login?url=https://www.airitibooks.com/Detail/Detail?PublicationID=P20180626004", "https://ntsu.idm.oclc.org/login?url=https://www.airitibooks.com/Detail/Detail?PublicationID=P20180626004")</f>
        <v>https://ntsu.idm.oclc.org/login?url=https://www.airitibooks.com/Detail/Detail?PublicationID=P20180626004</v>
      </c>
    </row>
    <row r="1532" spans="1:11" ht="51" x14ac:dyDescent="0.4">
      <c r="A1532" s="10" t="s">
        <v>9574</v>
      </c>
      <c r="B1532" s="10" t="s">
        <v>9575</v>
      </c>
      <c r="C1532" s="10" t="s">
        <v>568</v>
      </c>
      <c r="D1532" s="10" t="s">
        <v>9576</v>
      </c>
      <c r="E1532" s="10" t="s">
        <v>7391</v>
      </c>
      <c r="F1532" s="10" t="s">
        <v>144</v>
      </c>
      <c r="G1532" s="10" t="s">
        <v>87</v>
      </c>
      <c r="H1532" s="7" t="s">
        <v>24</v>
      </c>
      <c r="I1532" s="7" t="s">
        <v>25</v>
      </c>
      <c r="J1532" s="13" t="str">
        <f>HYPERLINK("https://www.airitibooks.com/Detail/Detail?PublicationID=P20180807049", "https://www.airitibooks.com/Detail/Detail?PublicationID=P20180807049")</f>
        <v>https://www.airitibooks.com/Detail/Detail?PublicationID=P20180807049</v>
      </c>
      <c r="K1532" s="13" t="str">
        <f>HYPERLINK("https://ntsu.idm.oclc.org/login?url=https://www.airitibooks.com/Detail/Detail?PublicationID=P20180807049", "https://ntsu.idm.oclc.org/login?url=https://www.airitibooks.com/Detail/Detail?PublicationID=P20180807049")</f>
        <v>https://ntsu.idm.oclc.org/login?url=https://www.airitibooks.com/Detail/Detail?PublicationID=P20180807049</v>
      </c>
    </row>
    <row r="1533" spans="1:11" ht="51" x14ac:dyDescent="0.4">
      <c r="A1533" s="10" t="s">
        <v>9688</v>
      </c>
      <c r="B1533" s="10" t="s">
        <v>9689</v>
      </c>
      <c r="C1533" s="10" t="s">
        <v>568</v>
      </c>
      <c r="D1533" s="10" t="s">
        <v>9690</v>
      </c>
      <c r="E1533" s="10" t="s">
        <v>7391</v>
      </c>
      <c r="F1533" s="10" t="s">
        <v>7735</v>
      </c>
      <c r="G1533" s="10" t="s">
        <v>87</v>
      </c>
      <c r="H1533" s="7" t="s">
        <v>24</v>
      </c>
      <c r="I1533" s="7" t="s">
        <v>25</v>
      </c>
      <c r="J1533" s="13" t="str">
        <f>HYPERLINK("https://www.airitibooks.com/Detail/Detail?PublicationID=P20180816015", "https://www.airitibooks.com/Detail/Detail?PublicationID=P20180816015")</f>
        <v>https://www.airitibooks.com/Detail/Detail?PublicationID=P20180816015</v>
      </c>
      <c r="K1533" s="13" t="str">
        <f>HYPERLINK("https://ntsu.idm.oclc.org/login?url=https://www.airitibooks.com/Detail/Detail?PublicationID=P20180816015", "https://ntsu.idm.oclc.org/login?url=https://www.airitibooks.com/Detail/Detail?PublicationID=P20180816015")</f>
        <v>https://ntsu.idm.oclc.org/login?url=https://www.airitibooks.com/Detail/Detail?PublicationID=P20180816015</v>
      </c>
    </row>
    <row r="1534" spans="1:11" ht="51" x14ac:dyDescent="0.4">
      <c r="A1534" s="10" t="s">
        <v>9691</v>
      </c>
      <c r="B1534" s="10" t="s">
        <v>9692</v>
      </c>
      <c r="C1534" s="10" t="s">
        <v>568</v>
      </c>
      <c r="D1534" s="10" t="s">
        <v>9693</v>
      </c>
      <c r="E1534" s="10" t="s">
        <v>7391</v>
      </c>
      <c r="F1534" s="10" t="s">
        <v>1440</v>
      </c>
      <c r="G1534" s="10" t="s">
        <v>87</v>
      </c>
      <c r="H1534" s="7" t="s">
        <v>24</v>
      </c>
      <c r="I1534" s="7" t="s">
        <v>25</v>
      </c>
      <c r="J1534" s="13" t="str">
        <f>HYPERLINK("https://www.airitibooks.com/Detail/Detail?PublicationID=P20180816016", "https://www.airitibooks.com/Detail/Detail?PublicationID=P20180816016")</f>
        <v>https://www.airitibooks.com/Detail/Detail?PublicationID=P20180816016</v>
      </c>
      <c r="K1534" s="13" t="str">
        <f>HYPERLINK("https://ntsu.idm.oclc.org/login?url=https://www.airitibooks.com/Detail/Detail?PublicationID=P20180816016", "https://ntsu.idm.oclc.org/login?url=https://www.airitibooks.com/Detail/Detail?PublicationID=P20180816016")</f>
        <v>https://ntsu.idm.oclc.org/login?url=https://www.airitibooks.com/Detail/Detail?PublicationID=P20180816016</v>
      </c>
    </row>
    <row r="1535" spans="1:11" ht="51" x14ac:dyDescent="0.4">
      <c r="A1535" s="10" t="s">
        <v>9694</v>
      </c>
      <c r="B1535" s="10" t="s">
        <v>9695</v>
      </c>
      <c r="C1535" s="10" t="s">
        <v>7822</v>
      </c>
      <c r="D1535" s="10" t="s">
        <v>9696</v>
      </c>
      <c r="E1535" s="10" t="s">
        <v>7391</v>
      </c>
      <c r="F1535" s="10" t="s">
        <v>9697</v>
      </c>
      <c r="G1535" s="10" t="s">
        <v>87</v>
      </c>
      <c r="H1535" s="7" t="s">
        <v>24</v>
      </c>
      <c r="I1535" s="7" t="s">
        <v>25</v>
      </c>
      <c r="J1535" s="13" t="str">
        <f>HYPERLINK("https://www.airitibooks.com/Detail/Detail?PublicationID=P20180816035", "https://www.airitibooks.com/Detail/Detail?PublicationID=P20180816035")</f>
        <v>https://www.airitibooks.com/Detail/Detail?PublicationID=P20180816035</v>
      </c>
      <c r="K1535" s="13" t="str">
        <f>HYPERLINK("https://ntsu.idm.oclc.org/login?url=https://www.airitibooks.com/Detail/Detail?PublicationID=P20180816035", "https://ntsu.idm.oclc.org/login?url=https://www.airitibooks.com/Detail/Detail?PublicationID=P20180816035")</f>
        <v>https://ntsu.idm.oclc.org/login?url=https://www.airitibooks.com/Detail/Detail?PublicationID=P20180816035</v>
      </c>
    </row>
    <row r="1536" spans="1:11" ht="85" x14ac:dyDescent="0.4">
      <c r="A1536" s="10" t="s">
        <v>9776</v>
      </c>
      <c r="B1536" s="10" t="s">
        <v>9777</v>
      </c>
      <c r="C1536" s="10" t="s">
        <v>108</v>
      </c>
      <c r="D1536" s="10" t="s">
        <v>9778</v>
      </c>
      <c r="E1536" s="10" t="s">
        <v>7391</v>
      </c>
      <c r="F1536" s="10" t="s">
        <v>4197</v>
      </c>
      <c r="G1536" s="10" t="s">
        <v>87</v>
      </c>
      <c r="H1536" s="7" t="s">
        <v>24</v>
      </c>
      <c r="I1536" s="7" t="s">
        <v>25</v>
      </c>
      <c r="J1536" s="13" t="str">
        <f>HYPERLINK("https://www.airitibooks.com/Detail/Detail?PublicationID=P20180903004", "https://www.airitibooks.com/Detail/Detail?PublicationID=P20180903004")</f>
        <v>https://www.airitibooks.com/Detail/Detail?PublicationID=P20180903004</v>
      </c>
      <c r="K1536" s="13" t="str">
        <f>HYPERLINK("https://ntsu.idm.oclc.org/login?url=https://www.airitibooks.com/Detail/Detail?PublicationID=P20180903004", "https://ntsu.idm.oclc.org/login?url=https://www.airitibooks.com/Detail/Detail?PublicationID=P20180903004")</f>
        <v>https://ntsu.idm.oclc.org/login?url=https://www.airitibooks.com/Detail/Detail?PublicationID=P20180903004</v>
      </c>
    </row>
    <row r="1537" spans="1:11" ht="102" x14ac:dyDescent="0.4">
      <c r="A1537" s="10" t="s">
        <v>10154</v>
      </c>
      <c r="B1537" s="10" t="s">
        <v>10155</v>
      </c>
      <c r="C1537" s="10" t="s">
        <v>10156</v>
      </c>
      <c r="D1537" s="10" t="s">
        <v>10157</v>
      </c>
      <c r="E1537" s="10" t="s">
        <v>7391</v>
      </c>
      <c r="F1537" s="10" t="s">
        <v>1440</v>
      </c>
      <c r="G1537" s="10" t="s">
        <v>87</v>
      </c>
      <c r="H1537" s="7" t="s">
        <v>24</v>
      </c>
      <c r="I1537" s="7" t="s">
        <v>25</v>
      </c>
      <c r="J1537" s="13" t="str">
        <f>HYPERLINK("https://www.airitibooks.com/Detail/Detail?PublicationID=P20181123012", "https://www.airitibooks.com/Detail/Detail?PublicationID=P20181123012")</f>
        <v>https://www.airitibooks.com/Detail/Detail?PublicationID=P20181123012</v>
      </c>
      <c r="K1537" s="13" t="str">
        <f>HYPERLINK("https://ntsu.idm.oclc.org/login?url=https://www.airitibooks.com/Detail/Detail?PublicationID=P20181123012", "https://ntsu.idm.oclc.org/login?url=https://www.airitibooks.com/Detail/Detail?PublicationID=P20181123012")</f>
        <v>https://ntsu.idm.oclc.org/login?url=https://www.airitibooks.com/Detail/Detail?PublicationID=P20181123012</v>
      </c>
    </row>
    <row r="1538" spans="1:11" ht="51" x14ac:dyDescent="0.4">
      <c r="A1538" s="10" t="s">
        <v>10372</v>
      </c>
      <c r="B1538" s="10" t="s">
        <v>10373</v>
      </c>
      <c r="C1538" s="10" t="s">
        <v>568</v>
      </c>
      <c r="D1538" s="10" t="s">
        <v>10374</v>
      </c>
      <c r="E1538" s="10" t="s">
        <v>7391</v>
      </c>
      <c r="F1538" s="10" t="s">
        <v>1208</v>
      </c>
      <c r="G1538" s="10" t="s">
        <v>87</v>
      </c>
      <c r="H1538" s="7" t="s">
        <v>24</v>
      </c>
      <c r="I1538" s="7" t="s">
        <v>25</v>
      </c>
      <c r="J1538" s="13" t="str">
        <f>HYPERLINK("https://www.airitibooks.com/Detail/Detail?PublicationID=P20181220012", "https://www.airitibooks.com/Detail/Detail?PublicationID=P20181220012")</f>
        <v>https://www.airitibooks.com/Detail/Detail?PublicationID=P20181220012</v>
      </c>
      <c r="K1538" s="13" t="str">
        <f>HYPERLINK("https://ntsu.idm.oclc.org/login?url=https://www.airitibooks.com/Detail/Detail?PublicationID=P20181220012", "https://ntsu.idm.oclc.org/login?url=https://www.airitibooks.com/Detail/Detail?PublicationID=P20181220012")</f>
        <v>https://ntsu.idm.oclc.org/login?url=https://www.airitibooks.com/Detail/Detail?PublicationID=P20181220012</v>
      </c>
    </row>
    <row r="1539" spans="1:11" ht="51" x14ac:dyDescent="0.4">
      <c r="A1539" s="10" t="s">
        <v>10375</v>
      </c>
      <c r="B1539" s="10" t="s">
        <v>10376</v>
      </c>
      <c r="C1539" s="10" t="s">
        <v>568</v>
      </c>
      <c r="D1539" s="10" t="s">
        <v>9693</v>
      </c>
      <c r="E1539" s="10" t="s">
        <v>7391</v>
      </c>
      <c r="F1539" s="10" t="s">
        <v>1440</v>
      </c>
      <c r="G1539" s="10" t="s">
        <v>87</v>
      </c>
      <c r="H1539" s="7" t="s">
        <v>24</v>
      </c>
      <c r="I1539" s="7" t="s">
        <v>25</v>
      </c>
      <c r="J1539" s="13" t="str">
        <f>HYPERLINK("https://www.airitibooks.com/Detail/Detail?PublicationID=P20181220013", "https://www.airitibooks.com/Detail/Detail?PublicationID=P20181220013")</f>
        <v>https://www.airitibooks.com/Detail/Detail?PublicationID=P20181220013</v>
      </c>
      <c r="K1539" s="13" t="str">
        <f>HYPERLINK("https://ntsu.idm.oclc.org/login?url=https://www.airitibooks.com/Detail/Detail?PublicationID=P20181220013", "https://ntsu.idm.oclc.org/login?url=https://www.airitibooks.com/Detail/Detail?PublicationID=P20181220013")</f>
        <v>https://ntsu.idm.oclc.org/login?url=https://www.airitibooks.com/Detail/Detail?PublicationID=P20181220013</v>
      </c>
    </row>
    <row r="1540" spans="1:11" ht="51" x14ac:dyDescent="0.4">
      <c r="A1540" s="10" t="s">
        <v>10377</v>
      </c>
      <c r="B1540" s="10" t="s">
        <v>10378</v>
      </c>
      <c r="C1540" s="10" t="s">
        <v>568</v>
      </c>
      <c r="D1540" s="10" t="s">
        <v>6286</v>
      </c>
      <c r="E1540" s="10" t="s">
        <v>7391</v>
      </c>
      <c r="F1540" s="10" t="s">
        <v>1440</v>
      </c>
      <c r="G1540" s="10" t="s">
        <v>87</v>
      </c>
      <c r="H1540" s="7" t="s">
        <v>24</v>
      </c>
      <c r="I1540" s="7" t="s">
        <v>25</v>
      </c>
      <c r="J1540" s="13" t="str">
        <f>HYPERLINK("https://www.airitibooks.com/Detail/Detail?PublicationID=P20181220014", "https://www.airitibooks.com/Detail/Detail?PublicationID=P20181220014")</f>
        <v>https://www.airitibooks.com/Detail/Detail?PublicationID=P20181220014</v>
      </c>
      <c r="K1540" s="13" t="str">
        <f>HYPERLINK("https://ntsu.idm.oclc.org/login?url=https://www.airitibooks.com/Detail/Detail?PublicationID=P20181220014", "https://ntsu.idm.oclc.org/login?url=https://www.airitibooks.com/Detail/Detail?PublicationID=P20181220014")</f>
        <v>https://ntsu.idm.oclc.org/login?url=https://www.airitibooks.com/Detail/Detail?PublicationID=P20181220014</v>
      </c>
    </row>
    <row r="1541" spans="1:11" ht="51" x14ac:dyDescent="0.4">
      <c r="A1541" s="10" t="s">
        <v>10379</v>
      </c>
      <c r="B1541" s="10" t="s">
        <v>10380</v>
      </c>
      <c r="C1541" s="10" t="s">
        <v>568</v>
      </c>
      <c r="D1541" s="10" t="s">
        <v>10381</v>
      </c>
      <c r="E1541" s="10" t="s">
        <v>7391</v>
      </c>
      <c r="F1541" s="10" t="s">
        <v>1440</v>
      </c>
      <c r="G1541" s="10" t="s">
        <v>87</v>
      </c>
      <c r="H1541" s="7" t="s">
        <v>24</v>
      </c>
      <c r="I1541" s="7" t="s">
        <v>25</v>
      </c>
      <c r="J1541" s="13" t="str">
        <f>HYPERLINK("https://www.airitibooks.com/Detail/Detail?PublicationID=P20181220016", "https://www.airitibooks.com/Detail/Detail?PublicationID=P20181220016")</f>
        <v>https://www.airitibooks.com/Detail/Detail?PublicationID=P20181220016</v>
      </c>
      <c r="K1541" s="13" t="str">
        <f>HYPERLINK("https://ntsu.idm.oclc.org/login?url=https://www.airitibooks.com/Detail/Detail?PublicationID=P20181220016", "https://ntsu.idm.oclc.org/login?url=https://www.airitibooks.com/Detail/Detail?PublicationID=P20181220016")</f>
        <v>https://ntsu.idm.oclc.org/login?url=https://www.airitibooks.com/Detail/Detail?PublicationID=P20181220016</v>
      </c>
    </row>
    <row r="1542" spans="1:11" ht="51" x14ac:dyDescent="0.4">
      <c r="A1542" s="10" t="s">
        <v>8911</v>
      </c>
      <c r="B1542" s="10" t="s">
        <v>10409</v>
      </c>
      <c r="C1542" s="10" t="s">
        <v>938</v>
      </c>
      <c r="D1542" s="10" t="s">
        <v>4463</v>
      </c>
      <c r="E1542" s="10" t="s">
        <v>7391</v>
      </c>
      <c r="F1542" s="10" t="s">
        <v>132</v>
      </c>
      <c r="G1542" s="10" t="s">
        <v>87</v>
      </c>
      <c r="H1542" s="7" t="s">
        <v>24</v>
      </c>
      <c r="I1542" s="7" t="s">
        <v>25</v>
      </c>
      <c r="J1542" s="13" t="str">
        <f>HYPERLINK("https://www.airitibooks.com/Detail/Detail?PublicationID=P20181221013", "https://www.airitibooks.com/Detail/Detail?PublicationID=P20181221013")</f>
        <v>https://www.airitibooks.com/Detail/Detail?PublicationID=P20181221013</v>
      </c>
      <c r="K1542" s="13" t="str">
        <f>HYPERLINK("https://ntsu.idm.oclc.org/login?url=https://www.airitibooks.com/Detail/Detail?PublicationID=P20181221013", "https://ntsu.idm.oclc.org/login?url=https://www.airitibooks.com/Detail/Detail?PublicationID=P20181221013")</f>
        <v>https://ntsu.idm.oclc.org/login?url=https://www.airitibooks.com/Detail/Detail?PublicationID=P20181221013</v>
      </c>
    </row>
    <row r="1543" spans="1:11" ht="85" x14ac:dyDescent="0.4">
      <c r="A1543" s="10" t="s">
        <v>10445</v>
      </c>
      <c r="B1543" s="10" t="s">
        <v>10446</v>
      </c>
      <c r="C1543" s="10" t="s">
        <v>791</v>
      </c>
      <c r="D1543" s="10" t="s">
        <v>10447</v>
      </c>
      <c r="E1543" s="10" t="s">
        <v>7391</v>
      </c>
      <c r="F1543" s="10" t="s">
        <v>399</v>
      </c>
      <c r="G1543" s="10" t="s">
        <v>87</v>
      </c>
      <c r="H1543" s="7" t="s">
        <v>24</v>
      </c>
      <c r="I1543" s="7" t="s">
        <v>25</v>
      </c>
      <c r="J1543" s="13" t="str">
        <f>HYPERLINK("https://www.airitibooks.com/Detail/Detail?PublicationID=P20181221059", "https://www.airitibooks.com/Detail/Detail?PublicationID=P20181221059")</f>
        <v>https://www.airitibooks.com/Detail/Detail?PublicationID=P20181221059</v>
      </c>
      <c r="K1543" s="13" t="str">
        <f>HYPERLINK("https://ntsu.idm.oclc.org/login?url=https://www.airitibooks.com/Detail/Detail?PublicationID=P20181221059", "https://ntsu.idm.oclc.org/login?url=https://www.airitibooks.com/Detail/Detail?PublicationID=P20181221059")</f>
        <v>https://ntsu.idm.oclc.org/login?url=https://www.airitibooks.com/Detail/Detail?PublicationID=P20181221059</v>
      </c>
    </row>
    <row r="1544" spans="1:11" ht="51" x14ac:dyDescent="0.4">
      <c r="A1544" s="10" t="s">
        <v>10458</v>
      </c>
      <c r="B1544" s="10" t="s">
        <v>10459</v>
      </c>
      <c r="C1544" s="10" t="s">
        <v>428</v>
      </c>
      <c r="D1544" s="10" t="s">
        <v>7770</v>
      </c>
      <c r="E1544" s="10" t="s">
        <v>7391</v>
      </c>
      <c r="F1544" s="10" t="s">
        <v>232</v>
      </c>
      <c r="G1544" s="10" t="s">
        <v>87</v>
      </c>
      <c r="H1544" s="7" t="s">
        <v>24</v>
      </c>
      <c r="I1544" s="7" t="s">
        <v>25</v>
      </c>
      <c r="J1544" s="13" t="str">
        <f>HYPERLINK("https://www.airitibooks.com/Detail/Detail?PublicationID=P20181221068", "https://www.airitibooks.com/Detail/Detail?PublicationID=P20181221068")</f>
        <v>https://www.airitibooks.com/Detail/Detail?PublicationID=P20181221068</v>
      </c>
      <c r="K1544" s="13" t="str">
        <f>HYPERLINK("https://ntsu.idm.oclc.org/login?url=https://www.airitibooks.com/Detail/Detail?PublicationID=P20181221068", "https://ntsu.idm.oclc.org/login?url=https://www.airitibooks.com/Detail/Detail?PublicationID=P20181221068")</f>
        <v>https://ntsu.idm.oclc.org/login?url=https://www.airitibooks.com/Detail/Detail?PublicationID=P20181221068</v>
      </c>
    </row>
    <row r="1545" spans="1:11" ht="51" x14ac:dyDescent="0.4">
      <c r="A1545" s="10" t="s">
        <v>10754</v>
      </c>
      <c r="B1545" s="10" t="s">
        <v>10755</v>
      </c>
      <c r="C1545" s="10" t="s">
        <v>152</v>
      </c>
      <c r="D1545" s="10" t="s">
        <v>10756</v>
      </c>
      <c r="E1545" s="10" t="s">
        <v>7391</v>
      </c>
      <c r="F1545" s="10" t="s">
        <v>475</v>
      </c>
      <c r="G1545" s="10" t="s">
        <v>87</v>
      </c>
      <c r="H1545" s="7" t="s">
        <v>24</v>
      </c>
      <c r="I1545" s="7" t="s">
        <v>25</v>
      </c>
      <c r="J1545" s="13" t="str">
        <f>HYPERLINK("https://www.airitibooks.com/Detail/Detail?PublicationID=P20190218037", "https://www.airitibooks.com/Detail/Detail?PublicationID=P20190218037")</f>
        <v>https://www.airitibooks.com/Detail/Detail?PublicationID=P20190218037</v>
      </c>
      <c r="K1545" s="13" t="str">
        <f>HYPERLINK("https://ntsu.idm.oclc.org/login?url=https://www.airitibooks.com/Detail/Detail?PublicationID=P20190218037", "https://ntsu.idm.oclc.org/login?url=https://www.airitibooks.com/Detail/Detail?PublicationID=P20190218037")</f>
        <v>https://ntsu.idm.oclc.org/login?url=https://www.airitibooks.com/Detail/Detail?PublicationID=P20190218037</v>
      </c>
    </row>
    <row r="1546" spans="1:11" ht="51" x14ac:dyDescent="0.4">
      <c r="A1546" s="10" t="s">
        <v>10799</v>
      </c>
      <c r="B1546" s="10" t="s">
        <v>10800</v>
      </c>
      <c r="C1546" s="10" t="s">
        <v>2367</v>
      </c>
      <c r="D1546" s="10" t="s">
        <v>10801</v>
      </c>
      <c r="E1546" s="10" t="s">
        <v>7391</v>
      </c>
      <c r="F1546" s="10" t="s">
        <v>7178</v>
      </c>
      <c r="G1546" s="10" t="s">
        <v>87</v>
      </c>
      <c r="H1546" s="7" t="s">
        <v>24</v>
      </c>
      <c r="I1546" s="7" t="s">
        <v>25</v>
      </c>
      <c r="J1546" s="13" t="str">
        <f>HYPERLINK("https://www.airitibooks.com/Detail/Detail?PublicationID=P20190220019", "https://www.airitibooks.com/Detail/Detail?PublicationID=P20190220019")</f>
        <v>https://www.airitibooks.com/Detail/Detail?PublicationID=P20190220019</v>
      </c>
      <c r="K1546" s="13" t="str">
        <f>HYPERLINK("https://ntsu.idm.oclc.org/login?url=https://www.airitibooks.com/Detail/Detail?PublicationID=P20190220019", "https://ntsu.idm.oclc.org/login?url=https://www.airitibooks.com/Detail/Detail?PublicationID=P20190220019")</f>
        <v>https://ntsu.idm.oclc.org/login?url=https://www.airitibooks.com/Detail/Detail?PublicationID=P20190220019</v>
      </c>
    </row>
    <row r="1547" spans="1:11" ht="51" x14ac:dyDescent="0.4">
      <c r="A1547" s="10" t="s">
        <v>10934</v>
      </c>
      <c r="B1547" s="10" t="s">
        <v>10935</v>
      </c>
      <c r="C1547" s="10" t="s">
        <v>1946</v>
      </c>
      <c r="D1547" s="10" t="s">
        <v>10936</v>
      </c>
      <c r="E1547" s="10" t="s">
        <v>7391</v>
      </c>
      <c r="F1547" s="10" t="s">
        <v>7178</v>
      </c>
      <c r="G1547" s="10" t="s">
        <v>87</v>
      </c>
      <c r="H1547" s="7" t="s">
        <v>24</v>
      </c>
      <c r="I1547" s="7" t="s">
        <v>25</v>
      </c>
      <c r="J1547" s="13" t="str">
        <f>HYPERLINK("https://www.airitibooks.com/Detail/Detail?PublicationID=P20190322053", "https://www.airitibooks.com/Detail/Detail?PublicationID=P20190322053")</f>
        <v>https://www.airitibooks.com/Detail/Detail?PublicationID=P20190322053</v>
      </c>
      <c r="K1547" s="13" t="str">
        <f>HYPERLINK("https://ntsu.idm.oclc.org/login?url=https://www.airitibooks.com/Detail/Detail?PublicationID=P20190322053", "https://ntsu.idm.oclc.org/login?url=https://www.airitibooks.com/Detail/Detail?PublicationID=P20190322053")</f>
        <v>https://ntsu.idm.oclc.org/login?url=https://www.airitibooks.com/Detail/Detail?PublicationID=P20190322053</v>
      </c>
    </row>
    <row r="1548" spans="1:11" ht="51" x14ac:dyDescent="0.4">
      <c r="A1548" s="10" t="s">
        <v>10937</v>
      </c>
      <c r="B1548" s="10" t="s">
        <v>10938</v>
      </c>
      <c r="C1548" s="10" t="s">
        <v>1946</v>
      </c>
      <c r="D1548" s="10" t="s">
        <v>10939</v>
      </c>
      <c r="E1548" s="10" t="s">
        <v>7391</v>
      </c>
      <c r="F1548" s="10" t="s">
        <v>7178</v>
      </c>
      <c r="G1548" s="10" t="s">
        <v>87</v>
      </c>
      <c r="H1548" s="7" t="s">
        <v>24</v>
      </c>
      <c r="I1548" s="7" t="s">
        <v>25</v>
      </c>
      <c r="J1548" s="13" t="str">
        <f>HYPERLINK("https://www.airitibooks.com/Detail/Detail?PublicationID=P20190322071", "https://www.airitibooks.com/Detail/Detail?PublicationID=P20190322071")</f>
        <v>https://www.airitibooks.com/Detail/Detail?PublicationID=P20190322071</v>
      </c>
      <c r="K1548" s="13" t="str">
        <f>HYPERLINK("https://ntsu.idm.oclc.org/login?url=https://www.airitibooks.com/Detail/Detail?PublicationID=P20190322071", "https://ntsu.idm.oclc.org/login?url=https://www.airitibooks.com/Detail/Detail?PublicationID=P20190322071")</f>
        <v>https://ntsu.idm.oclc.org/login?url=https://www.airitibooks.com/Detail/Detail?PublicationID=P20190322071</v>
      </c>
    </row>
    <row r="1549" spans="1:11" ht="51" x14ac:dyDescent="0.4">
      <c r="A1549" s="10" t="s">
        <v>10949</v>
      </c>
      <c r="B1549" s="10" t="s">
        <v>10950</v>
      </c>
      <c r="C1549" s="10" t="s">
        <v>108</v>
      </c>
      <c r="D1549" s="10" t="s">
        <v>10951</v>
      </c>
      <c r="E1549" s="10" t="s">
        <v>7391</v>
      </c>
      <c r="F1549" s="10" t="s">
        <v>144</v>
      </c>
      <c r="G1549" s="10" t="s">
        <v>87</v>
      </c>
      <c r="H1549" s="7" t="s">
        <v>24</v>
      </c>
      <c r="I1549" s="7" t="s">
        <v>25</v>
      </c>
      <c r="J1549" s="13" t="str">
        <f>HYPERLINK("https://www.airitibooks.com/Detail/Detail?PublicationID=P20190322100", "https://www.airitibooks.com/Detail/Detail?PublicationID=P20190322100")</f>
        <v>https://www.airitibooks.com/Detail/Detail?PublicationID=P20190322100</v>
      </c>
      <c r="K1549" s="13" t="str">
        <f>HYPERLINK("https://ntsu.idm.oclc.org/login?url=https://www.airitibooks.com/Detail/Detail?PublicationID=P20190322100", "https://ntsu.idm.oclc.org/login?url=https://www.airitibooks.com/Detail/Detail?PublicationID=P20190322100")</f>
        <v>https://ntsu.idm.oclc.org/login?url=https://www.airitibooks.com/Detail/Detail?PublicationID=P20190322100</v>
      </c>
    </row>
    <row r="1550" spans="1:11" ht="51" x14ac:dyDescent="0.4">
      <c r="A1550" s="10" t="s">
        <v>11005</v>
      </c>
      <c r="B1550" s="10" t="s">
        <v>11006</v>
      </c>
      <c r="C1550" s="10" t="s">
        <v>10921</v>
      </c>
      <c r="D1550" s="10" t="s">
        <v>11007</v>
      </c>
      <c r="E1550" s="10" t="s">
        <v>7391</v>
      </c>
      <c r="F1550" s="10" t="s">
        <v>7178</v>
      </c>
      <c r="G1550" s="10" t="s">
        <v>87</v>
      </c>
      <c r="H1550" s="7" t="s">
        <v>24</v>
      </c>
      <c r="I1550" s="7" t="s">
        <v>25</v>
      </c>
      <c r="J1550" s="13" t="str">
        <f>HYPERLINK("https://www.airitibooks.com/Detail/Detail?PublicationID=P20190329136", "https://www.airitibooks.com/Detail/Detail?PublicationID=P20190329136")</f>
        <v>https://www.airitibooks.com/Detail/Detail?PublicationID=P20190329136</v>
      </c>
      <c r="K1550" s="13" t="str">
        <f>HYPERLINK("https://ntsu.idm.oclc.org/login?url=https://www.airitibooks.com/Detail/Detail?PublicationID=P20190329136", "https://ntsu.idm.oclc.org/login?url=https://www.airitibooks.com/Detail/Detail?PublicationID=P20190329136")</f>
        <v>https://ntsu.idm.oclc.org/login?url=https://www.airitibooks.com/Detail/Detail?PublicationID=P20190329136</v>
      </c>
    </row>
    <row r="1551" spans="1:11" ht="51" x14ac:dyDescent="0.4">
      <c r="A1551" s="10" t="s">
        <v>11183</v>
      </c>
      <c r="B1551" s="10" t="s">
        <v>11184</v>
      </c>
      <c r="C1551" s="10" t="s">
        <v>3280</v>
      </c>
      <c r="D1551" s="10" t="s">
        <v>3281</v>
      </c>
      <c r="E1551" s="10" t="s">
        <v>7391</v>
      </c>
      <c r="F1551" s="10" t="s">
        <v>1208</v>
      </c>
      <c r="G1551" s="10" t="s">
        <v>87</v>
      </c>
      <c r="H1551" s="7" t="s">
        <v>24</v>
      </c>
      <c r="I1551" s="7" t="s">
        <v>25</v>
      </c>
      <c r="J1551" s="13" t="str">
        <f>HYPERLINK("https://www.airitibooks.com/Detail/Detail?PublicationID=P20190425042", "https://www.airitibooks.com/Detail/Detail?PublicationID=P20190425042")</f>
        <v>https://www.airitibooks.com/Detail/Detail?PublicationID=P20190425042</v>
      </c>
      <c r="K1551" s="13" t="str">
        <f>HYPERLINK("https://ntsu.idm.oclc.org/login?url=https://www.airitibooks.com/Detail/Detail?PublicationID=P20190425042", "https://ntsu.idm.oclc.org/login?url=https://www.airitibooks.com/Detail/Detail?PublicationID=P20190425042")</f>
        <v>https://ntsu.idm.oclc.org/login?url=https://www.airitibooks.com/Detail/Detail?PublicationID=P20190425042</v>
      </c>
    </row>
    <row r="1552" spans="1:11" ht="68" x14ac:dyDescent="0.4">
      <c r="A1552" s="10" t="s">
        <v>11572</v>
      </c>
      <c r="B1552" s="10" t="s">
        <v>11573</v>
      </c>
      <c r="C1552" s="10" t="s">
        <v>130</v>
      </c>
      <c r="D1552" s="10" t="s">
        <v>11574</v>
      </c>
      <c r="E1552" s="10" t="s">
        <v>7391</v>
      </c>
      <c r="F1552" s="10" t="s">
        <v>11575</v>
      </c>
      <c r="G1552" s="10" t="s">
        <v>87</v>
      </c>
      <c r="H1552" s="7" t="s">
        <v>24</v>
      </c>
      <c r="I1552" s="7" t="s">
        <v>25</v>
      </c>
      <c r="J1552" s="13" t="str">
        <f>HYPERLINK("https://www.airitibooks.com/Detail/Detail?PublicationID=P20190531032", "https://www.airitibooks.com/Detail/Detail?PublicationID=P20190531032")</f>
        <v>https://www.airitibooks.com/Detail/Detail?PublicationID=P20190531032</v>
      </c>
      <c r="K1552" s="13" t="str">
        <f>HYPERLINK("https://ntsu.idm.oclc.org/login?url=https://www.airitibooks.com/Detail/Detail?PublicationID=P20190531032", "https://ntsu.idm.oclc.org/login?url=https://www.airitibooks.com/Detail/Detail?PublicationID=P20190531032")</f>
        <v>https://ntsu.idm.oclc.org/login?url=https://www.airitibooks.com/Detail/Detail?PublicationID=P20190531032</v>
      </c>
    </row>
    <row r="1553" spans="1:11" ht="51" x14ac:dyDescent="0.4">
      <c r="A1553" s="10" t="s">
        <v>11637</v>
      </c>
      <c r="B1553" s="10" t="s">
        <v>11638</v>
      </c>
      <c r="C1553" s="10" t="s">
        <v>11639</v>
      </c>
      <c r="D1553" s="10" t="s">
        <v>11640</v>
      </c>
      <c r="E1553" s="10" t="s">
        <v>7391</v>
      </c>
      <c r="F1553" s="10" t="s">
        <v>7178</v>
      </c>
      <c r="G1553" s="10" t="s">
        <v>87</v>
      </c>
      <c r="H1553" s="7" t="s">
        <v>1031</v>
      </c>
      <c r="I1553" s="7" t="s">
        <v>25</v>
      </c>
      <c r="J1553" s="13" t="str">
        <f>HYPERLINK("https://www.airitibooks.com/Detail/Detail?PublicationID=P20190606208", "https://www.airitibooks.com/Detail/Detail?PublicationID=P20190606208")</f>
        <v>https://www.airitibooks.com/Detail/Detail?PublicationID=P20190606208</v>
      </c>
      <c r="K1553" s="13" t="str">
        <f>HYPERLINK("https://ntsu.idm.oclc.org/login?url=https://www.airitibooks.com/Detail/Detail?PublicationID=P20190606208", "https://ntsu.idm.oclc.org/login?url=https://www.airitibooks.com/Detail/Detail?PublicationID=P20190606208")</f>
        <v>https://ntsu.idm.oclc.org/login?url=https://www.airitibooks.com/Detail/Detail?PublicationID=P20190606208</v>
      </c>
    </row>
    <row r="1554" spans="1:11" ht="51" x14ac:dyDescent="0.4">
      <c r="A1554" s="10" t="s">
        <v>11730</v>
      </c>
      <c r="B1554" s="10" t="s">
        <v>11731</v>
      </c>
      <c r="C1554" s="10" t="s">
        <v>544</v>
      </c>
      <c r="D1554" s="10" t="s">
        <v>11732</v>
      </c>
      <c r="E1554" s="10" t="s">
        <v>7391</v>
      </c>
      <c r="F1554" s="10" t="s">
        <v>11733</v>
      </c>
      <c r="G1554" s="10" t="s">
        <v>87</v>
      </c>
      <c r="H1554" s="7" t="s">
        <v>24</v>
      </c>
      <c r="I1554" s="7" t="s">
        <v>25</v>
      </c>
      <c r="J1554" s="13" t="str">
        <f>HYPERLINK("https://www.airitibooks.com/Detail/Detail?PublicationID=P20190620010", "https://www.airitibooks.com/Detail/Detail?PublicationID=P20190620010")</f>
        <v>https://www.airitibooks.com/Detail/Detail?PublicationID=P20190620010</v>
      </c>
      <c r="K1554" s="13" t="str">
        <f>HYPERLINK("https://ntsu.idm.oclc.org/login?url=https://www.airitibooks.com/Detail/Detail?PublicationID=P20190620010", "https://ntsu.idm.oclc.org/login?url=https://www.airitibooks.com/Detail/Detail?PublicationID=P20190620010")</f>
        <v>https://ntsu.idm.oclc.org/login?url=https://www.airitibooks.com/Detail/Detail?PublicationID=P20190620010</v>
      </c>
    </row>
    <row r="1555" spans="1:11" ht="51" x14ac:dyDescent="0.4">
      <c r="A1555" s="10" t="s">
        <v>11738</v>
      </c>
      <c r="B1555" s="10" t="s">
        <v>11739</v>
      </c>
      <c r="C1555" s="10" t="s">
        <v>544</v>
      </c>
      <c r="D1555" s="10" t="s">
        <v>11740</v>
      </c>
      <c r="E1555" s="10" t="s">
        <v>7391</v>
      </c>
      <c r="F1555" s="10" t="s">
        <v>8825</v>
      </c>
      <c r="G1555" s="10" t="s">
        <v>87</v>
      </c>
      <c r="H1555" s="7" t="s">
        <v>24</v>
      </c>
      <c r="I1555" s="7" t="s">
        <v>25</v>
      </c>
      <c r="J1555" s="13" t="str">
        <f>HYPERLINK("https://www.airitibooks.com/Detail/Detail?PublicationID=P20190620013", "https://www.airitibooks.com/Detail/Detail?PublicationID=P20190620013")</f>
        <v>https://www.airitibooks.com/Detail/Detail?PublicationID=P20190620013</v>
      </c>
      <c r="K1555" s="13" t="str">
        <f>HYPERLINK("https://ntsu.idm.oclc.org/login?url=https://www.airitibooks.com/Detail/Detail?PublicationID=P20190620013", "https://ntsu.idm.oclc.org/login?url=https://www.airitibooks.com/Detail/Detail?PublicationID=P20190620013")</f>
        <v>https://ntsu.idm.oclc.org/login?url=https://www.airitibooks.com/Detail/Detail?PublicationID=P20190620013</v>
      </c>
    </row>
    <row r="1556" spans="1:11" ht="51" x14ac:dyDescent="0.4">
      <c r="A1556" s="10" t="s">
        <v>11744</v>
      </c>
      <c r="B1556" s="10" t="s">
        <v>11745</v>
      </c>
      <c r="C1556" s="10" t="s">
        <v>544</v>
      </c>
      <c r="D1556" s="10" t="s">
        <v>11746</v>
      </c>
      <c r="E1556" s="10" t="s">
        <v>7391</v>
      </c>
      <c r="F1556" s="10" t="s">
        <v>11747</v>
      </c>
      <c r="G1556" s="10" t="s">
        <v>87</v>
      </c>
      <c r="H1556" s="7" t="s">
        <v>24</v>
      </c>
      <c r="I1556" s="7" t="s">
        <v>25</v>
      </c>
      <c r="J1556" s="13" t="str">
        <f>HYPERLINK("https://www.airitibooks.com/Detail/Detail?PublicationID=P20190620015", "https://www.airitibooks.com/Detail/Detail?PublicationID=P20190620015")</f>
        <v>https://www.airitibooks.com/Detail/Detail?PublicationID=P20190620015</v>
      </c>
      <c r="K1556" s="13" t="str">
        <f>HYPERLINK("https://ntsu.idm.oclc.org/login?url=https://www.airitibooks.com/Detail/Detail?PublicationID=P20190620015", "https://ntsu.idm.oclc.org/login?url=https://www.airitibooks.com/Detail/Detail?PublicationID=P20190620015")</f>
        <v>https://ntsu.idm.oclc.org/login?url=https://www.airitibooks.com/Detail/Detail?PublicationID=P20190620015</v>
      </c>
    </row>
    <row r="1557" spans="1:11" ht="51" x14ac:dyDescent="0.4">
      <c r="A1557" s="10" t="s">
        <v>11752</v>
      </c>
      <c r="B1557" s="10" t="s">
        <v>11753</v>
      </c>
      <c r="C1557" s="10" t="s">
        <v>130</v>
      </c>
      <c r="D1557" s="10" t="s">
        <v>9181</v>
      </c>
      <c r="E1557" s="10" t="s">
        <v>7391</v>
      </c>
      <c r="F1557" s="10" t="s">
        <v>7178</v>
      </c>
      <c r="G1557" s="10" t="s">
        <v>87</v>
      </c>
      <c r="H1557" s="7" t="s">
        <v>24</v>
      </c>
      <c r="I1557" s="7" t="s">
        <v>25</v>
      </c>
      <c r="J1557" s="13" t="str">
        <f>HYPERLINK("https://www.airitibooks.com/Detail/Detail?PublicationID=P20190620020", "https://www.airitibooks.com/Detail/Detail?PublicationID=P20190620020")</f>
        <v>https://www.airitibooks.com/Detail/Detail?PublicationID=P20190620020</v>
      </c>
      <c r="K1557" s="13" t="str">
        <f>HYPERLINK("https://ntsu.idm.oclc.org/login?url=https://www.airitibooks.com/Detail/Detail?PublicationID=P20190620020", "https://ntsu.idm.oclc.org/login?url=https://www.airitibooks.com/Detail/Detail?PublicationID=P20190620020")</f>
        <v>https://ntsu.idm.oclc.org/login?url=https://www.airitibooks.com/Detail/Detail?PublicationID=P20190620020</v>
      </c>
    </row>
    <row r="1558" spans="1:11" ht="51" x14ac:dyDescent="0.4">
      <c r="A1558" s="10" t="s">
        <v>11754</v>
      </c>
      <c r="B1558" s="10" t="s">
        <v>11755</v>
      </c>
      <c r="C1558" s="10" t="s">
        <v>130</v>
      </c>
      <c r="D1558" s="10" t="s">
        <v>11756</v>
      </c>
      <c r="E1558" s="10" t="s">
        <v>7391</v>
      </c>
      <c r="F1558" s="10" t="s">
        <v>1208</v>
      </c>
      <c r="G1558" s="10" t="s">
        <v>87</v>
      </c>
      <c r="H1558" s="7" t="s">
        <v>24</v>
      </c>
      <c r="I1558" s="7" t="s">
        <v>25</v>
      </c>
      <c r="J1558" s="13" t="str">
        <f>HYPERLINK("https://www.airitibooks.com/Detail/Detail?PublicationID=P20190620022", "https://www.airitibooks.com/Detail/Detail?PublicationID=P20190620022")</f>
        <v>https://www.airitibooks.com/Detail/Detail?PublicationID=P20190620022</v>
      </c>
      <c r="K1558" s="13" t="str">
        <f>HYPERLINK("https://ntsu.idm.oclc.org/login?url=https://www.airitibooks.com/Detail/Detail?PublicationID=P20190620022", "https://ntsu.idm.oclc.org/login?url=https://www.airitibooks.com/Detail/Detail?PublicationID=P20190620022")</f>
        <v>https://ntsu.idm.oclc.org/login?url=https://www.airitibooks.com/Detail/Detail?PublicationID=P20190620022</v>
      </c>
    </row>
    <row r="1559" spans="1:11" ht="51" x14ac:dyDescent="0.4">
      <c r="A1559" s="10" t="s">
        <v>12469</v>
      </c>
      <c r="B1559" s="10" t="s">
        <v>12470</v>
      </c>
      <c r="C1559" s="10" t="s">
        <v>12471</v>
      </c>
      <c r="D1559" s="10" t="s">
        <v>5308</v>
      </c>
      <c r="E1559" s="10" t="s">
        <v>7391</v>
      </c>
      <c r="F1559" s="10" t="s">
        <v>12472</v>
      </c>
      <c r="G1559" s="10" t="s">
        <v>87</v>
      </c>
      <c r="H1559" s="7" t="s">
        <v>24</v>
      </c>
      <c r="I1559" s="7" t="s">
        <v>25</v>
      </c>
      <c r="J1559" s="13" t="str">
        <f>HYPERLINK("https://www.airitibooks.com/Detail/Detail?PublicationID=P20191005076", "https://www.airitibooks.com/Detail/Detail?PublicationID=P20191005076")</f>
        <v>https://www.airitibooks.com/Detail/Detail?PublicationID=P20191005076</v>
      </c>
      <c r="K1559" s="13" t="str">
        <f>HYPERLINK("https://ntsu.idm.oclc.org/login?url=https://www.airitibooks.com/Detail/Detail?PublicationID=P20191005076", "https://ntsu.idm.oclc.org/login?url=https://www.airitibooks.com/Detail/Detail?PublicationID=P20191005076")</f>
        <v>https://ntsu.idm.oclc.org/login?url=https://www.airitibooks.com/Detail/Detail?PublicationID=P20191005076</v>
      </c>
    </row>
    <row r="1560" spans="1:11" ht="51" x14ac:dyDescent="0.4">
      <c r="A1560" s="10" t="s">
        <v>12512</v>
      </c>
      <c r="B1560" s="10" t="s">
        <v>12513</v>
      </c>
      <c r="C1560" s="10" t="s">
        <v>12510</v>
      </c>
      <c r="D1560" s="10" t="s">
        <v>12514</v>
      </c>
      <c r="E1560" s="10" t="s">
        <v>7391</v>
      </c>
      <c r="F1560" s="10" t="s">
        <v>7200</v>
      </c>
      <c r="G1560" s="10" t="s">
        <v>87</v>
      </c>
      <c r="H1560" s="7" t="s">
        <v>1031</v>
      </c>
      <c r="I1560" s="7" t="s">
        <v>25</v>
      </c>
      <c r="J1560" s="13" t="str">
        <f>HYPERLINK("https://www.airitibooks.com/Detail/Detail?PublicationID=P20191005156", "https://www.airitibooks.com/Detail/Detail?PublicationID=P20191005156")</f>
        <v>https://www.airitibooks.com/Detail/Detail?PublicationID=P20191005156</v>
      </c>
      <c r="K1560" s="13" t="str">
        <f>HYPERLINK("https://ntsu.idm.oclc.org/login?url=https://www.airitibooks.com/Detail/Detail?PublicationID=P20191005156", "https://ntsu.idm.oclc.org/login?url=https://www.airitibooks.com/Detail/Detail?PublicationID=P20191005156")</f>
        <v>https://ntsu.idm.oclc.org/login?url=https://www.airitibooks.com/Detail/Detail?PublicationID=P20191005156</v>
      </c>
    </row>
    <row r="1561" spans="1:11" ht="51" x14ac:dyDescent="0.4">
      <c r="A1561" s="10" t="s">
        <v>12524</v>
      </c>
      <c r="B1561" s="10" t="s">
        <v>12525</v>
      </c>
      <c r="C1561" s="10" t="s">
        <v>12510</v>
      </c>
      <c r="D1561" s="10" t="s">
        <v>12526</v>
      </c>
      <c r="E1561" s="10" t="s">
        <v>7391</v>
      </c>
      <c r="F1561" s="10" t="s">
        <v>6655</v>
      </c>
      <c r="G1561" s="10" t="s">
        <v>87</v>
      </c>
      <c r="H1561" s="7" t="s">
        <v>1031</v>
      </c>
      <c r="I1561" s="7" t="s">
        <v>25</v>
      </c>
      <c r="J1561" s="13" t="str">
        <f>HYPERLINK("https://www.airitibooks.com/Detail/Detail?PublicationID=P20191005168", "https://www.airitibooks.com/Detail/Detail?PublicationID=P20191005168")</f>
        <v>https://www.airitibooks.com/Detail/Detail?PublicationID=P20191005168</v>
      </c>
      <c r="K1561" s="13" t="str">
        <f>HYPERLINK("https://ntsu.idm.oclc.org/login?url=https://www.airitibooks.com/Detail/Detail?PublicationID=P20191005168", "https://ntsu.idm.oclc.org/login?url=https://www.airitibooks.com/Detail/Detail?PublicationID=P20191005168")</f>
        <v>https://ntsu.idm.oclc.org/login?url=https://www.airitibooks.com/Detail/Detail?PublicationID=P20191005168</v>
      </c>
    </row>
    <row r="1562" spans="1:11" ht="51" x14ac:dyDescent="0.4">
      <c r="A1562" s="10" t="s">
        <v>12939</v>
      </c>
      <c r="B1562" s="10" t="s">
        <v>12940</v>
      </c>
      <c r="C1562" s="10" t="s">
        <v>4873</v>
      </c>
      <c r="D1562" s="10" t="s">
        <v>12941</v>
      </c>
      <c r="E1562" s="10" t="s">
        <v>7391</v>
      </c>
      <c r="F1562" s="10" t="s">
        <v>399</v>
      </c>
      <c r="G1562" s="10" t="s">
        <v>87</v>
      </c>
      <c r="H1562" s="7" t="s">
        <v>24</v>
      </c>
      <c r="I1562" s="7" t="s">
        <v>25</v>
      </c>
      <c r="J1562" s="13" t="str">
        <f>HYPERLINK("https://www.airitibooks.com/Detail/Detail?PublicationID=P20191108005", "https://www.airitibooks.com/Detail/Detail?PublicationID=P20191108005")</f>
        <v>https://www.airitibooks.com/Detail/Detail?PublicationID=P20191108005</v>
      </c>
      <c r="K1562" s="13" t="str">
        <f>HYPERLINK("https://ntsu.idm.oclc.org/login?url=https://www.airitibooks.com/Detail/Detail?PublicationID=P20191108005", "https://ntsu.idm.oclc.org/login?url=https://www.airitibooks.com/Detail/Detail?PublicationID=P20191108005")</f>
        <v>https://ntsu.idm.oclc.org/login?url=https://www.airitibooks.com/Detail/Detail?PublicationID=P20191108005</v>
      </c>
    </row>
    <row r="1563" spans="1:11" ht="51" x14ac:dyDescent="0.4">
      <c r="A1563" s="10" t="s">
        <v>13161</v>
      </c>
      <c r="B1563" s="10" t="s">
        <v>13162</v>
      </c>
      <c r="C1563" s="10" t="s">
        <v>791</v>
      </c>
      <c r="D1563" s="10" t="s">
        <v>13163</v>
      </c>
      <c r="E1563" s="10" t="s">
        <v>7391</v>
      </c>
      <c r="F1563" s="10" t="s">
        <v>12480</v>
      </c>
      <c r="G1563" s="10" t="s">
        <v>87</v>
      </c>
      <c r="H1563" s="7" t="s">
        <v>24</v>
      </c>
      <c r="I1563" s="7" t="s">
        <v>25</v>
      </c>
      <c r="J1563" s="13" t="str">
        <f>HYPERLINK("https://www.airitibooks.com/Detail/Detail?PublicationID=P20191226021", "https://www.airitibooks.com/Detail/Detail?PublicationID=P20191226021")</f>
        <v>https://www.airitibooks.com/Detail/Detail?PublicationID=P20191226021</v>
      </c>
      <c r="K1563" s="13" t="str">
        <f>HYPERLINK("https://ntsu.idm.oclc.org/login?url=https://www.airitibooks.com/Detail/Detail?PublicationID=P20191226021", "https://ntsu.idm.oclc.org/login?url=https://www.airitibooks.com/Detail/Detail?PublicationID=P20191226021")</f>
        <v>https://ntsu.idm.oclc.org/login?url=https://www.airitibooks.com/Detail/Detail?PublicationID=P20191226021</v>
      </c>
    </row>
    <row r="1564" spans="1:11" ht="51" x14ac:dyDescent="0.4">
      <c r="A1564" s="10" t="s">
        <v>13199</v>
      </c>
      <c r="B1564" s="10" t="s">
        <v>13200</v>
      </c>
      <c r="C1564" s="10" t="s">
        <v>9828</v>
      </c>
      <c r="D1564" s="10" t="s">
        <v>13201</v>
      </c>
      <c r="E1564" s="10" t="s">
        <v>7391</v>
      </c>
      <c r="F1564" s="10" t="s">
        <v>12005</v>
      </c>
      <c r="G1564" s="10" t="s">
        <v>87</v>
      </c>
      <c r="H1564" s="7" t="s">
        <v>1031</v>
      </c>
      <c r="I1564" s="7" t="s">
        <v>25</v>
      </c>
      <c r="J1564" s="13" t="str">
        <f>HYPERLINK("https://www.airitibooks.com/Detail/Detail?PublicationID=P20191226063", "https://www.airitibooks.com/Detail/Detail?PublicationID=P20191226063")</f>
        <v>https://www.airitibooks.com/Detail/Detail?PublicationID=P20191226063</v>
      </c>
      <c r="K1564" s="13" t="str">
        <f>HYPERLINK("https://ntsu.idm.oclc.org/login?url=https://www.airitibooks.com/Detail/Detail?PublicationID=P20191226063", "https://ntsu.idm.oclc.org/login?url=https://www.airitibooks.com/Detail/Detail?PublicationID=P20191226063")</f>
        <v>https://ntsu.idm.oclc.org/login?url=https://www.airitibooks.com/Detail/Detail?PublicationID=P20191226063</v>
      </c>
    </row>
    <row r="1565" spans="1:11" ht="51" x14ac:dyDescent="0.4">
      <c r="A1565" s="10" t="s">
        <v>13215</v>
      </c>
      <c r="B1565" s="10" t="s">
        <v>13216</v>
      </c>
      <c r="C1565" s="10" t="s">
        <v>9828</v>
      </c>
      <c r="D1565" s="10" t="s">
        <v>13217</v>
      </c>
      <c r="E1565" s="10" t="s">
        <v>7391</v>
      </c>
      <c r="F1565" s="10" t="s">
        <v>7200</v>
      </c>
      <c r="G1565" s="10" t="s">
        <v>87</v>
      </c>
      <c r="H1565" s="7" t="s">
        <v>1031</v>
      </c>
      <c r="I1565" s="7" t="s">
        <v>25</v>
      </c>
      <c r="J1565" s="13" t="str">
        <f>HYPERLINK("https://www.airitibooks.com/Detail/Detail?PublicationID=P20191226079", "https://www.airitibooks.com/Detail/Detail?PublicationID=P20191226079")</f>
        <v>https://www.airitibooks.com/Detail/Detail?PublicationID=P20191226079</v>
      </c>
      <c r="K1565" s="13" t="str">
        <f>HYPERLINK("https://ntsu.idm.oclc.org/login?url=https://www.airitibooks.com/Detail/Detail?PublicationID=P20191226079", "https://ntsu.idm.oclc.org/login?url=https://www.airitibooks.com/Detail/Detail?PublicationID=P20191226079")</f>
        <v>https://ntsu.idm.oclc.org/login?url=https://www.airitibooks.com/Detail/Detail?PublicationID=P20191226079</v>
      </c>
    </row>
    <row r="1566" spans="1:11" ht="51" x14ac:dyDescent="0.4">
      <c r="A1566" s="10" t="s">
        <v>13361</v>
      </c>
      <c r="B1566" s="10" t="s">
        <v>13362</v>
      </c>
      <c r="C1566" s="10" t="s">
        <v>13194</v>
      </c>
      <c r="D1566" s="10" t="s">
        <v>13363</v>
      </c>
      <c r="E1566" s="10" t="s">
        <v>7391</v>
      </c>
      <c r="F1566" s="10" t="s">
        <v>7178</v>
      </c>
      <c r="G1566" s="10" t="s">
        <v>87</v>
      </c>
      <c r="H1566" s="7" t="s">
        <v>24</v>
      </c>
      <c r="I1566" s="7" t="s">
        <v>25</v>
      </c>
      <c r="J1566" s="13" t="str">
        <f>HYPERLINK("https://www.airitibooks.com/Detail/Detail?PublicationID=P20200117260", "https://www.airitibooks.com/Detail/Detail?PublicationID=P20200117260")</f>
        <v>https://www.airitibooks.com/Detail/Detail?PublicationID=P20200117260</v>
      </c>
      <c r="K1566" s="13" t="str">
        <f>HYPERLINK("https://ntsu.idm.oclc.org/login?url=https://www.airitibooks.com/Detail/Detail?PublicationID=P20200117260", "https://ntsu.idm.oclc.org/login?url=https://www.airitibooks.com/Detail/Detail?PublicationID=P20200117260")</f>
        <v>https://ntsu.idm.oclc.org/login?url=https://www.airitibooks.com/Detail/Detail?PublicationID=P20200117260</v>
      </c>
    </row>
    <row r="1567" spans="1:11" ht="51" x14ac:dyDescent="0.4">
      <c r="A1567" s="10" t="s">
        <v>13639</v>
      </c>
      <c r="B1567" s="10" t="s">
        <v>13640</v>
      </c>
      <c r="C1567" s="10" t="s">
        <v>544</v>
      </c>
      <c r="D1567" s="10" t="s">
        <v>13641</v>
      </c>
      <c r="E1567" s="10" t="s">
        <v>7391</v>
      </c>
      <c r="F1567" s="10" t="s">
        <v>13642</v>
      </c>
      <c r="G1567" s="10" t="s">
        <v>87</v>
      </c>
      <c r="H1567" s="7" t="s">
        <v>24</v>
      </c>
      <c r="I1567" s="7" t="s">
        <v>25</v>
      </c>
      <c r="J1567" s="13" t="str">
        <f>HYPERLINK("https://www.airitibooks.com/Detail/Detail?PublicationID=P20200321035", "https://www.airitibooks.com/Detail/Detail?PublicationID=P20200321035")</f>
        <v>https://www.airitibooks.com/Detail/Detail?PublicationID=P20200321035</v>
      </c>
      <c r="K1567" s="13" t="str">
        <f>HYPERLINK("https://ntsu.idm.oclc.org/login?url=https://www.airitibooks.com/Detail/Detail?PublicationID=P20200321035", "https://ntsu.idm.oclc.org/login?url=https://www.airitibooks.com/Detail/Detail?PublicationID=P20200321035")</f>
        <v>https://ntsu.idm.oclc.org/login?url=https://www.airitibooks.com/Detail/Detail?PublicationID=P20200321035</v>
      </c>
    </row>
    <row r="1568" spans="1:11" ht="51" x14ac:dyDescent="0.4">
      <c r="A1568" s="10" t="s">
        <v>13934</v>
      </c>
      <c r="B1568" s="10" t="s">
        <v>13935</v>
      </c>
      <c r="C1568" s="10" t="s">
        <v>544</v>
      </c>
      <c r="D1568" s="10" t="s">
        <v>13936</v>
      </c>
      <c r="E1568" s="10" t="s">
        <v>7391</v>
      </c>
      <c r="F1568" s="10" t="s">
        <v>13937</v>
      </c>
      <c r="G1568" s="10" t="s">
        <v>87</v>
      </c>
      <c r="H1568" s="7" t="s">
        <v>24</v>
      </c>
      <c r="I1568" s="7" t="s">
        <v>25</v>
      </c>
      <c r="J1568" s="13" t="str">
        <f>HYPERLINK("https://www.airitibooks.com/Detail/Detail?PublicationID=P20200430021", "https://www.airitibooks.com/Detail/Detail?PublicationID=P20200430021")</f>
        <v>https://www.airitibooks.com/Detail/Detail?PublicationID=P20200430021</v>
      </c>
      <c r="K1568" s="13" t="str">
        <f>HYPERLINK("https://ntsu.idm.oclc.org/login?url=https://www.airitibooks.com/Detail/Detail?PublicationID=P20200430021", "https://ntsu.idm.oclc.org/login?url=https://www.airitibooks.com/Detail/Detail?PublicationID=P20200430021")</f>
        <v>https://ntsu.idm.oclc.org/login?url=https://www.airitibooks.com/Detail/Detail?PublicationID=P20200430021</v>
      </c>
    </row>
    <row r="1569" spans="1:11" ht="51" x14ac:dyDescent="0.4">
      <c r="A1569" s="10" t="s">
        <v>14046</v>
      </c>
      <c r="B1569" s="10" t="s">
        <v>14047</v>
      </c>
      <c r="C1569" s="10" t="s">
        <v>3705</v>
      </c>
      <c r="D1569" s="10" t="s">
        <v>14048</v>
      </c>
      <c r="E1569" s="10" t="s">
        <v>7391</v>
      </c>
      <c r="F1569" s="10" t="s">
        <v>14049</v>
      </c>
      <c r="G1569" s="10" t="s">
        <v>87</v>
      </c>
      <c r="H1569" s="7" t="s">
        <v>24</v>
      </c>
      <c r="I1569" s="7" t="s">
        <v>25</v>
      </c>
      <c r="J1569" s="13" t="str">
        <f>HYPERLINK("https://www.airitibooks.com/Detail/Detail?PublicationID=P20200430232", "https://www.airitibooks.com/Detail/Detail?PublicationID=P20200430232")</f>
        <v>https://www.airitibooks.com/Detail/Detail?PublicationID=P20200430232</v>
      </c>
      <c r="K1569" s="13" t="str">
        <f>HYPERLINK("https://ntsu.idm.oclc.org/login?url=https://www.airitibooks.com/Detail/Detail?PublicationID=P20200430232", "https://ntsu.idm.oclc.org/login?url=https://www.airitibooks.com/Detail/Detail?PublicationID=P20200430232")</f>
        <v>https://ntsu.idm.oclc.org/login?url=https://www.airitibooks.com/Detail/Detail?PublicationID=P20200430232</v>
      </c>
    </row>
    <row r="1570" spans="1:11" ht="68" x14ac:dyDescent="0.4">
      <c r="A1570" s="10" t="s">
        <v>14287</v>
      </c>
      <c r="B1570" s="10" t="s">
        <v>14288</v>
      </c>
      <c r="C1570" s="10" t="s">
        <v>14289</v>
      </c>
      <c r="D1570" s="10" t="s">
        <v>14290</v>
      </c>
      <c r="E1570" s="10" t="s">
        <v>7391</v>
      </c>
      <c r="F1570" s="10" t="s">
        <v>14291</v>
      </c>
      <c r="G1570" s="10" t="s">
        <v>87</v>
      </c>
      <c r="H1570" s="7" t="s">
        <v>24</v>
      </c>
      <c r="I1570" s="7" t="s">
        <v>25</v>
      </c>
      <c r="J1570" s="13" t="str">
        <f>HYPERLINK("https://www.airitibooks.com/Detail/Detail?PublicationID=P20200605012", "https://www.airitibooks.com/Detail/Detail?PublicationID=P20200605012")</f>
        <v>https://www.airitibooks.com/Detail/Detail?PublicationID=P20200605012</v>
      </c>
      <c r="K1570" s="13" t="str">
        <f>HYPERLINK("https://ntsu.idm.oclc.org/login?url=https://www.airitibooks.com/Detail/Detail?PublicationID=P20200605012", "https://ntsu.idm.oclc.org/login?url=https://www.airitibooks.com/Detail/Detail?PublicationID=P20200605012")</f>
        <v>https://ntsu.idm.oclc.org/login?url=https://www.airitibooks.com/Detail/Detail?PublicationID=P20200605012</v>
      </c>
    </row>
    <row r="1571" spans="1:11" ht="51" x14ac:dyDescent="0.4">
      <c r="A1571" s="10" t="s">
        <v>14915</v>
      </c>
      <c r="B1571" s="10" t="s">
        <v>14916</v>
      </c>
      <c r="C1571" s="10" t="s">
        <v>11625</v>
      </c>
      <c r="D1571" s="10" t="s">
        <v>12479</v>
      </c>
      <c r="E1571" s="10" t="s">
        <v>7391</v>
      </c>
      <c r="F1571" s="10" t="s">
        <v>12480</v>
      </c>
      <c r="G1571" s="10" t="s">
        <v>87</v>
      </c>
      <c r="H1571" s="7" t="s">
        <v>24</v>
      </c>
      <c r="I1571" s="7" t="s">
        <v>25</v>
      </c>
      <c r="J1571" s="13" t="str">
        <f>HYPERLINK("https://www.airitibooks.com/Detail/Detail?PublicationID=P20201120056", "https://www.airitibooks.com/Detail/Detail?PublicationID=P20201120056")</f>
        <v>https://www.airitibooks.com/Detail/Detail?PublicationID=P20201120056</v>
      </c>
      <c r="K1571" s="13" t="str">
        <f>HYPERLINK("https://ntsu.idm.oclc.org/login?url=https://www.airitibooks.com/Detail/Detail?PublicationID=P20201120056", "https://ntsu.idm.oclc.org/login?url=https://www.airitibooks.com/Detail/Detail?PublicationID=P20201120056")</f>
        <v>https://ntsu.idm.oclc.org/login?url=https://www.airitibooks.com/Detail/Detail?PublicationID=P20201120056</v>
      </c>
    </row>
    <row r="1572" spans="1:11" ht="51" x14ac:dyDescent="0.4">
      <c r="A1572" s="10" t="s">
        <v>8184</v>
      </c>
      <c r="B1572" s="10" t="s">
        <v>8185</v>
      </c>
      <c r="C1572" s="10" t="s">
        <v>1484</v>
      </c>
      <c r="D1572" s="10" t="s">
        <v>8186</v>
      </c>
      <c r="E1572" s="10" t="s">
        <v>7391</v>
      </c>
      <c r="F1572" s="10" t="s">
        <v>7060</v>
      </c>
      <c r="G1572" s="10" t="s">
        <v>23</v>
      </c>
      <c r="H1572" s="7" t="s">
        <v>24</v>
      </c>
      <c r="I1572" s="7" t="s">
        <v>25</v>
      </c>
      <c r="J1572" s="13" t="str">
        <f>HYPERLINK("https://www.airitibooks.com/Detail/Detail?PublicationID=P20180112008", "https://www.airitibooks.com/Detail/Detail?PublicationID=P20180112008")</f>
        <v>https://www.airitibooks.com/Detail/Detail?PublicationID=P20180112008</v>
      </c>
      <c r="K1572" s="13" t="str">
        <f>HYPERLINK("https://ntsu.idm.oclc.org/login?url=https://www.airitibooks.com/Detail/Detail?PublicationID=P20180112008", "https://ntsu.idm.oclc.org/login?url=https://www.airitibooks.com/Detail/Detail?PublicationID=P20180112008")</f>
        <v>https://ntsu.idm.oclc.org/login?url=https://www.airitibooks.com/Detail/Detail?PublicationID=P20180112008</v>
      </c>
    </row>
    <row r="1573" spans="1:11" ht="51" x14ac:dyDescent="0.4">
      <c r="A1573" s="10" t="s">
        <v>8374</v>
      </c>
      <c r="B1573" s="10" t="s">
        <v>8375</v>
      </c>
      <c r="C1573" s="10" t="s">
        <v>791</v>
      </c>
      <c r="D1573" s="10" t="s">
        <v>8376</v>
      </c>
      <c r="E1573" s="10" t="s">
        <v>7391</v>
      </c>
      <c r="F1573" s="10" t="s">
        <v>720</v>
      </c>
      <c r="G1573" s="10" t="s">
        <v>23</v>
      </c>
      <c r="H1573" s="7" t="s">
        <v>24</v>
      </c>
      <c r="I1573" s="7" t="s">
        <v>25</v>
      </c>
      <c r="J1573" s="13" t="str">
        <f>HYPERLINK("https://www.airitibooks.com/Detail/Detail?PublicationID=P20180126030", "https://www.airitibooks.com/Detail/Detail?PublicationID=P20180126030")</f>
        <v>https://www.airitibooks.com/Detail/Detail?PublicationID=P20180126030</v>
      </c>
      <c r="K1573" s="13" t="str">
        <f>HYPERLINK("https://ntsu.idm.oclc.org/login?url=https://www.airitibooks.com/Detail/Detail?PublicationID=P20180126030", "https://ntsu.idm.oclc.org/login?url=https://www.airitibooks.com/Detail/Detail?PublicationID=P20180126030")</f>
        <v>https://ntsu.idm.oclc.org/login?url=https://www.airitibooks.com/Detail/Detail?PublicationID=P20180126030</v>
      </c>
    </row>
    <row r="1574" spans="1:11" ht="51" x14ac:dyDescent="0.4">
      <c r="A1574" s="10" t="s">
        <v>8427</v>
      </c>
      <c r="B1574" s="10" t="s">
        <v>8428</v>
      </c>
      <c r="C1574" s="10" t="s">
        <v>7822</v>
      </c>
      <c r="D1574" s="10" t="s">
        <v>8429</v>
      </c>
      <c r="E1574" s="10" t="s">
        <v>7391</v>
      </c>
      <c r="F1574" s="10" t="s">
        <v>2325</v>
      </c>
      <c r="G1574" s="10" t="s">
        <v>23</v>
      </c>
      <c r="H1574" s="7" t="s">
        <v>24</v>
      </c>
      <c r="I1574" s="7" t="s">
        <v>25</v>
      </c>
      <c r="J1574" s="13" t="str">
        <f>HYPERLINK("https://www.airitibooks.com/Detail/Detail?PublicationID=P20180208144", "https://www.airitibooks.com/Detail/Detail?PublicationID=P20180208144")</f>
        <v>https://www.airitibooks.com/Detail/Detail?PublicationID=P20180208144</v>
      </c>
      <c r="K1574" s="13" t="str">
        <f>HYPERLINK("https://ntsu.idm.oclc.org/login?url=https://www.airitibooks.com/Detail/Detail?PublicationID=P20180208144", "https://ntsu.idm.oclc.org/login?url=https://www.airitibooks.com/Detail/Detail?PublicationID=P20180208144")</f>
        <v>https://ntsu.idm.oclc.org/login?url=https://www.airitibooks.com/Detail/Detail?PublicationID=P20180208144</v>
      </c>
    </row>
    <row r="1575" spans="1:11" ht="51" x14ac:dyDescent="0.4">
      <c r="A1575" s="10" t="s">
        <v>8430</v>
      </c>
      <c r="B1575" s="10" t="s">
        <v>8431</v>
      </c>
      <c r="C1575" s="10" t="s">
        <v>7822</v>
      </c>
      <c r="D1575" s="10" t="s">
        <v>8429</v>
      </c>
      <c r="E1575" s="10" t="s">
        <v>7391</v>
      </c>
      <c r="F1575" s="10" t="s">
        <v>2325</v>
      </c>
      <c r="G1575" s="10" t="s">
        <v>23</v>
      </c>
      <c r="H1575" s="7" t="s">
        <v>24</v>
      </c>
      <c r="I1575" s="7" t="s">
        <v>25</v>
      </c>
      <c r="J1575" s="13" t="str">
        <f>HYPERLINK("https://www.airitibooks.com/Detail/Detail?PublicationID=P20180208145", "https://www.airitibooks.com/Detail/Detail?PublicationID=P20180208145")</f>
        <v>https://www.airitibooks.com/Detail/Detail?PublicationID=P20180208145</v>
      </c>
      <c r="K1575" s="13" t="str">
        <f>HYPERLINK("https://ntsu.idm.oclc.org/login?url=https://www.airitibooks.com/Detail/Detail?PublicationID=P20180208145", "https://ntsu.idm.oclc.org/login?url=https://www.airitibooks.com/Detail/Detail?PublicationID=P20180208145")</f>
        <v>https://ntsu.idm.oclc.org/login?url=https://www.airitibooks.com/Detail/Detail?PublicationID=P20180208145</v>
      </c>
    </row>
    <row r="1576" spans="1:11" ht="51" x14ac:dyDescent="0.4">
      <c r="A1576" s="10" t="s">
        <v>8432</v>
      </c>
      <c r="B1576" s="10" t="s">
        <v>8433</v>
      </c>
      <c r="C1576" s="10" t="s">
        <v>7822</v>
      </c>
      <c r="D1576" s="10" t="s">
        <v>8429</v>
      </c>
      <c r="E1576" s="10" t="s">
        <v>7391</v>
      </c>
      <c r="F1576" s="10" t="s">
        <v>2325</v>
      </c>
      <c r="G1576" s="10" t="s">
        <v>23</v>
      </c>
      <c r="H1576" s="7" t="s">
        <v>24</v>
      </c>
      <c r="I1576" s="7" t="s">
        <v>25</v>
      </c>
      <c r="J1576" s="13" t="str">
        <f>HYPERLINK("https://www.airitibooks.com/Detail/Detail?PublicationID=P20180208146", "https://www.airitibooks.com/Detail/Detail?PublicationID=P20180208146")</f>
        <v>https://www.airitibooks.com/Detail/Detail?PublicationID=P20180208146</v>
      </c>
      <c r="K1576" s="13" t="str">
        <f>HYPERLINK("https://ntsu.idm.oclc.org/login?url=https://www.airitibooks.com/Detail/Detail?PublicationID=P20180208146", "https://ntsu.idm.oclc.org/login?url=https://www.airitibooks.com/Detail/Detail?PublicationID=P20180208146")</f>
        <v>https://ntsu.idm.oclc.org/login?url=https://www.airitibooks.com/Detail/Detail?PublicationID=P20180208146</v>
      </c>
    </row>
    <row r="1577" spans="1:11" ht="51" x14ac:dyDescent="0.4">
      <c r="A1577" s="10" t="s">
        <v>8434</v>
      </c>
      <c r="B1577" s="10" t="s">
        <v>8435</v>
      </c>
      <c r="C1577" s="10" t="s">
        <v>7164</v>
      </c>
      <c r="D1577" s="10" t="s">
        <v>8436</v>
      </c>
      <c r="E1577" s="10" t="s">
        <v>7391</v>
      </c>
      <c r="F1577" s="10" t="s">
        <v>4385</v>
      </c>
      <c r="G1577" s="10" t="s">
        <v>23</v>
      </c>
      <c r="H1577" s="7" t="s">
        <v>24</v>
      </c>
      <c r="I1577" s="7" t="s">
        <v>25</v>
      </c>
      <c r="J1577" s="13" t="str">
        <f>HYPERLINK("https://www.airitibooks.com/Detail/Detail?PublicationID=P20180208156", "https://www.airitibooks.com/Detail/Detail?PublicationID=P20180208156")</f>
        <v>https://www.airitibooks.com/Detail/Detail?PublicationID=P20180208156</v>
      </c>
      <c r="K1577" s="13" t="str">
        <f>HYPERLINK("https://ntsu.idm.oclc.org/login?url=https://www.airitibooks.com/Detail/Detail?PublicationID=P20180208156", "https://ntsu.idm.oclc.org/login?url=https://www.airitibooks.com/Detail/Detail?PublicationID=P20180208156")</f>
        <v>https://ntsu.idm.oclc.org/login?url=https://www.airitibooks.com/Detail/Detail?PublicationID=P20180208156</v>
      </c>
    </row>
    <row r="1578" spans="1:11" ht="51" x14ac:dyDescent="0.4">
      <c r="A1578" s="10" t="s">
        <v>8437</v>
      </c>
      <c r="B1578" s="10" t="s">
        <v>8438</v>
      </c>
      <c r="C1578" s="10" t="s">
        <v>7164</v>
      </c>
      <c r="D1578" s="10" t="s">
        <v>8439</v>
      </c>
      <c r="E1578" s="10" t="s">
        <v>7391</v>
      </c>
      <c r="F1578" s="10" t="s">
        <v>4385</v>
      </c>
      <c r="G1578" s="10" t="s">
        <v>23</v>
      </c>
      <c r="H1578" s="7" t="s">
        <v>24</v>
      </c>
      <c r="I1578" s="7" t="s">
        <v>25</v>
      </c>
      <c r="J1578" s="13" t="str">
        <f>HYPERLINK("https://www.airitibooks.com/Detail/Detail?PublicationID=P20180208161", "https://www.airitibooks.com/Detail/Detail?PublicationID=P20180208161")</f>
        <v>https://www.airitibooks.com/Detail/Detail?PublicationID=P20180208161</v>
      </c>
      <c r="K1578" s="13" t="str">
        <f>HYPERLINK("https://ntsu.idm.oclc.org/login?url=https://www.airitibooks.com/Detail/Detail?PublicationID=P20180208161", "https://ntsu.idm.oclc.org/login?url=https://www.airitibooks.com/Detail/Detail?PublicationID=P20180208161")</f>
        <v>https://ntsu.idm.oclc.org/login?url=https://www.airitibooks.com/Detail/Detail?PublicationID=P20180208161</v>
      </c>
    </row>
    <row r="1579" spans="1:11" ht="51" x14ac:dyDescent="0.4">
      <c r="A1579" s="10" t="s">
        <v>8440</v>
      </c>
      <c r="B1579" s="10" t="s">
        <v>8441</v>
      </c>
      <c r="C1579" s="10" t="s">
        <v>7164</v>
      </c>
      <c r="D1579" s="10" t="s">
        <v>8442</v>
      </c>
      <c r="E1579" s="10" t="s">
        <v>7391</v>
      </c>
      <c r="F1579" s="10" t="s">
        <v>1646</v>
      </c>
      <c r="G1579" s="10" t="s">
        <v>23</v>
      </c>
      <c r="H1579" s="7" t="s">
        <v>1467</v>
      </c>
      <c r="I1579" s="7" t="s">
        <v>25</v>
      </c>
      <c r="J1579" s="13" t="str">
        <f>HYPERLINK("https://www.airitibooks.com/Detail/Detail?PublicationID=P20180208163", "https://www.airitibooks.com/Detail/Detail?PublicationID=P20180208163")</f>
        <v>https://www.airitibooks.com/Detail/Detail?PublicationID=P20180208163</v>
      </c>
      <c r="K1579" s="13" t="str">
        <f>HYPERLINK("https://ntsu.idm.oclc.org/login?url=https://www.airitibooks.com/Detail/Detail?PublicationID=P20180208163", "https://ntsu.idm.oclc.org/login?url=https://www.airitibooks.com/Detail/Detail?PublicationID=P20180208163")</f>
        <v>https://ntsu.idm.oclc.org/login?url=https://www.airitibooks.com/Detail/Detail?PublicationID=P20180208163</v>
      </c>
    </row>
    <row r="1580" spans="1:11" ht="51" x14ac:dyDescent="0.4">
      <c r="A1580" s="10" t="s">
        <v>8443</v>
      </c>
      <c r="B1580" s="10" t="s">
        <v>8444</v>
      </c>
      <c r="C1580" s="10" t="s">
        <v>7164</v>
      </c>
      <c r="D1580" s="10" t="s">
        <v>8445</v>
      </c>
      <c r="E1580" s="10" t="s">
        <v>7391</v>
      </c>
      <c r="F1580" s="10" t="s">
        <v>4385</v>
      </c>
      <c r="G1580" s="10" t="s">
        <v>23</v>
      </c>
      <c r="H1580" s="7" t="s">
        <v>24</v>
      </c>
      <c r="I1580" s="7" t="s">
        <v>25</v>
      </c>
      <c r="J1580" s="13" t="str">
        <f>HYPERLINK("https://www.airitibooks.com/Detail/Detail?PublicationID=P20180208164", "https://www.airitibooks.com/Detail/Detail?PublicationID=P20180208164")</f>
        <v>https://www.airitibooks.com/Detail/Detail?PublicationID=P20180208164</v>
      </c>
      <c r="K1580" s="13" t="str">
        <f>HYPERLINK("https://ntsu.idm.oclc.org/login?url=https://www.airitibooks.com/Detail/Detail?PublicationID=P20180208164", "https://ntsu.idm.oclc.org/login?url=https://www.airitibooks.com/Detail/Detail?PublicationID=P20180208164")</f>
        <v>https://ntsu.idm.oclc.org/login?url=https://www.airitibooks.com/Detail/Detail?PublicationID=P20180208164</v>
      </c>
    </row>
    <row r="1581" spans="1:11" ht="51" x14ac:dyDescent="0.4">
      <c r="A1581" s="10" t="s">
        <v>8449</v>
      </c>
      <c r="B1581" s="10" t="s">
        <v>8450</v>
      </c>
      <c r="C1581" s="10" t="s">
        <v>7164</v>
      </c>
      <c r="D1581" s="10" t="s">
        <v>8451</v>
      </c>
      <c r="E1581" s="10" t="s">
        <v>7391</v>
      </c>
      <c r="F1581" s="10" t="s">
        <v>1646</v>
      </c>
      <c r="G1581" s="10" t="s">
        <v>23</v>
      </c>
      <c r="H1581" s="7" t="s">
        <v>24</v>
      </c>
      <c r="I1581" s="7" t="s">
        <v>25</v>
      </c>
      <c r="J1581" s="13" t="str">
        <f>HYPERLINK("https://www.airitibooks.com/Detail/Detail?PublicationID=P20180208167", "https://www.airitibooks.com/Detail/Detail?PublicationID=P20180208167")</f>
        <v>https://www.airitibooks.com/Detail/Detail?PublicationID=P20180208167</v>
      </c>
      <c r="K1581" s="13" t="str">
        <f>HYPERLINK("https://ntsu.idm.oclc.org/login?url=https://www.airitibooks.com/Detail/Detail?PublicationID=P20180208167", "https://ntsu.idm.oclc.org/login?url=https://www.airitibooks.com/Detail/Detail?PublicationID=P20180208167")</f>
        <v>https://ntsu.idm.oclc.org/login?url=https://www.airitibooks.com/Detail/Detail?PublicationID=P20180208167</v>
      </c>
    </row>
    <row r="1582" spans="1:11" ht="51" x14ac:dyDescent="0.4">
      <c r="A1582" s="10" t="s">
        <v>8476</v>
      </c>
      <c r="B1582" s="10" t="s">
        <v>8477</v>
      </c>
      <c r="C1582" s="10" t="s">
        <v>7164</v>
      </c>
      <c r="D1582" s="10" t="s">
        <v>8478</v>
      </c>
      <c r="E1582" s="10" t="s">
        <v>7391</v>
      </c>
      <c r="F1582" s="10" t="s">
        <v>565</v>
      </c>
      <c r="G1582" s="10" t="s">
        <v>23</v>
      </c>
      <c r="H1582" s="7" t="s">
        <v>24</v>
      </c>
      <c r="I1582" s="7" t="s">
        <v>25</v>
      </c>
      <c r="J1582" s="13" t="str">
        <f>HYPERLINK("https://www.airitibooks.com/Detail/Detail?PublicationID=P20180208188", "https://www.airitibooks.com/Detail/Detail?PublicationID=P20180208188")</f>
        <v>https://www.airitibooks.com/Detail/Detail?PublicationID=P20180208188</v>
      </c>
      <c r="K1582" s="13" t="str">
        <f>HYPERLINK("https://ntsu.idm.oclc.org/login?url=https://www.airitibooks.com/Detail/Detail?PublicationID=P20180208188", "https://ntsu.idm.oclc.org/login?url=https://www.airitibooks.com/Detail/Detail?PublicationID=P20180208188")</f>
        <v>https://ntsu.idm.oclc.org/login?url=https://www.airitibooks.com/Detail/Detail?PublicationID=P20180208188</v>
      </c>
    </row>
    <row r="1583" spans="1:11" ht="51" x14ac:dyDescent="0.4">
      <c r="A1583" s="10" t="s">
        <v>8488</v>
      </c>
      <c r="B1583" s="10" t="s">
        <v>8489</v>
      </c>
      <c r="C1583" s="10" t="s">
        <v>7164</v>
      </c>
      <c r="D1583" s="10" t="s">
        <v>8490</v>
      </c>
      <c r="E1583" s="10" t="s">
        <v>7391</v>
      </c>
      <c r="F1583" s="10" t="s">
        <v>4385</v>
      </c>
      <c r="G1583" s="10" t="s">
        <v>23</v>
      </c>
      <c r="H1583" s="7" t="s">
        <v>24</v>
      </c>
      <c r="I1583" s="7" t="s">
        <v>25</v>
      </c>
      <c r="J1583" s="13" t="str">
        <f>HYPERLINK("https://www.airitibooks.com/Detail/Detail?PublicationID=P20180208199", "https://www.airitibooks.com/Detail/Detail?PublicationID=P20180208199")</f>
        <v>https://www.airitibooks.com/Detail/Detail?PublicationID=P20180208199</v>
      </c>
      <c r="K1583" s="13" t="str">
        <f>HYPERLINK("https://ntsu.idm.oclc.org/login?url=https://www.airitibooks.com/Detail/Detail?PublicationID=P20180208199", "https://ntsu.idm.oclc.org/login?url=https://www.airitibooks.com/Detail/Detail?PublicationID=P20180208199")</f>
        <v>https://ntsu.idm.oclc.org/login?url=https://www.airitibooks.com/Detail/Detail?PublicationID=P20180208199</v>
      </c>
    </row>
    <row r="1584" spans="1:11" ht="51" x14ac:dyDescent="0.4">
      <c r="A1584" s="10" t="s">
        <v>8506</v>
      </c>
      <c r="B1584" s="10" t="s">
        <v>8507</v>
      </c>
      <c r="C1584" s="10" t="s">
        <v>7164</v>
      </c>
      <c r="D1584" s="10" t="s">
        <v>8508</v>
      </c>
      <c r="E1584" s="10" t="s">
        <v>7391</v>
      </c>
      <c r="F1584" s="10" t="s">
        <v>1646</v>
      </c>
      <c r="G1584" s="10" t="s">
        <v>23</v>
      </c>
      <c r="H1584" s="7" t="s">
        <v>24</v>
      </c>
      <c r="I1584" s="7" t="s">
        <v>25</v>
      </c>
      <c r="J1584" s="13" t="str">
        <f>HYPERLINK("https://www.airitibooks.com/Detail/Detail?PublicationID=P20180208210", "https://www.airitibooks.com/Detail/Detail?PublicationID=P20180208210")</f>
        <v>https://www.airitibooks.com/Detail/Detail?PublicationID=P20180208210</v>
      </c>
      <c r="K1584" s="13" t="str">
        <f>HYPERLINK("https://ntsu.idm.oclc.org/login?url=https://www.airitibooks.com/Detail/Detail?PublicationID=P20180208210", "https://ntsu.idm.oclc.org/login?url=https://www.airitibooks.com/Detail/Detail?PublicationID=P20180208210")</f>
        <v>https://ntsu.idm.oclc.org/login?url=https://www.airitibooks.com/Detail/Detail?PublicationID=P20180208210</v>
      </c>
    </row>
    <row r="1585" spans="1:11" ht="51" x14ac:dyDescent="0.4">
      <c r="A1585" s="10" t="s">
        <v>8509</v>
      </c>
      <c r="B1585" s="10" t="s">
        <v>8510</v>
      </c>
      <c r="C1585" s="10" t="s">
        <v>7164</v>
      </c>
      <c r="D1585" s="10" t="s">
        <v>8511</v>
      </c>
      <c r="E1585" s="10" t="s">
        <v>7391</v>
      </c>
      <c r="F1585" s="10" t="s">
        <v>565</v>
      </c>
      <c r="G1585" s="10" t="s">
        <v>23</v>
      </c>
      <c r="H1585" s="7" t="s">
        <v>24</v>
      </c>
      <c r="I1585" s="7" t="s">
        <v>25</v>
      </c>
      <c r="J1585" s="13" t="str">
        <f>HYPERLINK("https://www.airitibooks.com/Detail/Detail?PublicationID=P20180208211", "https://www.airitibooks.com/Detail/Detail?PublicationID=P20180208211")</f>
        <v>https://www.airitibooks.com/Detail/Detail?PublicationID=P20180208211</v>
      </c>
      <c r="K1585" s="13" t="str">
        <f>HYPERLINK("https://ntsu.idm.oclc.org/login?url=https://www.airitibooks.com/Detail/Detail?PublicationID=P20180208211", "https://ntsu.idm.oclc.org/login?url=https://www.airitibooks.com/Detail/Detail?PublicationID=P20180208211")</f>
        <v>https://ntsu.idm.oclc.org/login?url=https://www.airitibooks.com/Detail/Detail?PublicationID=P20180208211</v>
      </c>
    </row>
    <row r="1586" spans="1:11" ht="51" x14ac:dyDescent="0.4">
      <c r="A1586" s="10" t="s">
        <v>8536</v>
      </c>
      <c r="B1586" s="10" t="s">
        <v>8537</v>
      </c>
      <c r="C1586" s="10" t="s">
        <v>7164</v>
      </c>
      <c r="D1586" s="10" t="s">
        <v>8538</v>
      </c>
      <c r="E1586" s="10" t="s">
        <v>7391</v>
      </c>
      <c r="F1586" s="10" t="s">
        <v>1646</v>
      </c>
      <c r="G1586" s="10" t="s">
        <v>23</v>
      </c>
      <c r="H1586" s="7" t="s">
        <v>1467</v>
      </c>
      <c r="I1586" s="7" t="s">
        <v>25</v>
      </c>
      <c r="J1586" s="13" t="str">
        <f>HYPERLINK("https://www.airitibooks.com/Detail/Detail?PublicationID=P20180208292", "https://www.airitibooks.com/Detail/Detail?PublicationID=P20180208292")</f>
        <v>https://www.airitibooks.com/Detail/Detail?PublicationID=P20180208292</v>
      </c>
      <c r="K1586" s="13" t="str">
        <f>HYPERLINK("https://ntsu.idm.oclc.org/login?url=https://www.airitibooks.com/Detail/Detail?PublicationID=P20180208292", "https://ntsu.idm.oclc.org/login?url=https://www.airitibooks.com/Detail/Detail?PublicationID=P20180208292")</f>
        <v>https://ntsu.idm.oclc.org/login?url=https://www.airitibooks.com/Detail/Detail?PublicationID=P20180208292</v>
      </c>
    </row>
    <row r="1587" spans="1:11" ht="51" x14ac:dyDescent="0.4">
      <c r="A1587" s="10" t="s">
        <v>8539</v>
      </c>
      <c r="B1587" s="10" t="s">
        <v>8540</v>
      </c>
      <c r="C1587" s="10" t="s">
        <v>7164</v>
      </c>
      <c r="D1587" s="10" t="s">
        <v>8541</v>
      </c>
      <c r="E1587" s="10" t="s">
        <v>7391</v>
      </c>
      <c r="F1587" s="10" t="s">
        <v>1646</v>
      </c>
      <c r="G1587" s="10" t="s">
        <v>23</v>
      </c>
      <c r="H1587" s="7" t="s">
        <v>1467</v>
      </c>
      <c r="I1587" s="7" t="s">
        <v>25</v>
      </c>
      <c r="J1587" s="13" t="str">
        <f>HYPERLINK("https://www.airitibooks.com/Detail/Detail?PublicationID=P20180208293", "https://www.airitibooks.com/Detail/Detail?PublicationID=P20180208293")</f>
        <v>https://www.airitibooks.com/Detail/Detail?PublicationID=P20180208293</v>
      </c>
      <c r="K1587" s="13" t="str">
        <f>HYPERLINK("https://ntsu.idm.oclc.org/login?url=https://www.airitibooks.com/Detail/Detail?PublicationID=P20180208293", "https://ntsu.idm.oclc.org/login?url=https://www.airitibooks.com/Detail/Detail?PublicationID=P20180208293")</f>
        <v>https://ntsu.idm.oclc.org/login?url=https://www.airitibooks.com/Detail/Detail?PublicationID=P20180208293</v>
      </c>
    </row>
    <row r="1588" spans="1:11" ht="51" x14ac:dyDescent="0.4">
      <c r="A1588" s="10" t="s">
        <v>8542</v>
      </c>
      <c r="B1588" s="10" t="s">
        <v>8543</v>
      </c>
      <c r="C1588" s="10" t="s">
        <v>7164</v>
      </c>
      <c r="D1588" s="10" t="s">
        <v>8544</v>
      </c>
      <c r="E1588" s="10" t="s">
        <v>7391</v>
      </c>
      <c r="F1588" s="10" t="s">
        <v>1646</v>
      </c>
      <c r="G1588" s="10" t="s">
        <v>23</v>
      </c>
      <c r="H1588" s="7" t="s">
        <v>1467</v>
      </c>
      <c r="I1588" s="7" t="s">
        <v>25</v>
      </c>
      <c r="J1588" s="13" t="str">
        <f>HYPERLINK("https://www.airitibooks.com/Detail/Detail?PublicationID=P20180208294", "https://www.airitibooks.com/Detail/Detail?PublicationID=P20180208294")</f>
        <v>https://www.airitibooks.com/Detail/Detail?PublicationID=P20180208294</v>
      </c>
      <c r="K1588" s="13" t="str">
        <f>HYPERLINK("https://ntsu.idm.oclc.org/login?url=https://www.airitibooks.com/Detail/Detail?PublicationID=P20180208294", "https://ntsu.idm.oclc.org/login?url=https://www.airitibooks.com/Detail/Detail?PublicationID=P20180208294")</f>
        <v>https://ntsu.idm.oclc.org/login?url=https://www.airitibooks.com/Detail/Detail?PublicationID=P20180208294</v>
      </c>
    </row>
    <row r="1589" spans="1:11" ht="51" x14ac:dyDescent="0.4">
      <c r="A1589" s="10" t="s">
        <v>8545</v>
      </c>
      <c r="B1589" s="10" t="s">
        <v>8546</v>
      </c>
      <c r="C1589" s="10" t="s">
        <v>7164</v>
      </c>
      <c r="D1589" s="10" t="s">
        <v>8547</v>
      </c>
      <c r="E1589" s="10" t="s">
        <v>7391</v>
      </c>
      <c r="F1589" s="10" t="s">
        <v>1646</v>
      </c>
      <c r="G1589" s="10" t="s">
        <v>23</v>
      </c>
      <c r="H1589" s="7" t="s">
        <v>1467</v>
      </c>
      <c r="I1589" s="7" t="s">
        <v>25</v>
      </c>
      <c r="J1589" s="13" t="str">
        <f>HYPERLINK("https://www.airitibooks.com/Detail/Detail?PublicationID=P20180208295", "https://www.airitibooks.com/Detail/Detail?PublicationID=P20180208295")</f>
        <v>https://www.airitibooks.com/Detail/Detail?PublicationID=P20180208295</v>
      </c>
      <c r="K1589" s="13" t="str">
        <f>HYPERLINK("https://ntsu.idm.oclc.org/login?url=https://www.airitibooks.com/Detail/Detail?PublicationID=P20180208295", "https://ntsu.idm.oclc.org/login?url=https://www.airitibooks.com/Detail/Detail?PublicationID=P20180208295")</f>
        <v>https://ntsu.idm.oclc.org/login?url=https://www.airitibooks.com/Detail/Detail?PublicationID=P20180208295</v>
      </c>
    </row>
    <row r="1590" spans="1:11" ht="51" x14ac:dyDescent="0.4">
      <c r="A1590" s="10" t="s">
        <v>8575</v>
      </c>
      <c r="B1590" s="10" t="s">
        <v>8576</v>
      </c>
      <c r="C1590" s="10" t="s">
        <v>7164</v>
      </c>
      <c r="D1590" s="10" t="s">
        <v>8577</v>
      </c>
      <c r="E1590" s="10" t="s">
        <v>7391</v>
      </c>
      <c r="F1590" s="10" t="s">
        <v>1917</v>
      </c>
      <c r="G1590" s="10" t="s">
        <v>23</v>
      </c>
      <c r="H1590" s="7" t="s">
        <v>1467</v>
      </c>
      <c r="I1590" s="7" t="s">
        <v>25</v>
      </c>
      <c r="J1590" s="13" t="str">
        <f>HYPERLINK("https://www.airitibooks.com/Detail/Detail?PublicationID=P20180208917", "https://www.airitibooks.com/Detail/Detail?PublicationID=P20180208917")</f>
        <v>https://www.airitibooks.com/Detail/Detail?PublicationID=P20180208917</v>
      </c>
      <c r="K1590" s="13" t="str">
        <f>HYPERLINK("https://ntsu.idm.oclc.org/login?url=https://www.airitibooks.com/Detail/Detail?PublicationID=P20180208917", "https://ntsu.idm.oclc.org/login?url=https://www.airitibooks.com/Detail/Detail?PublicationID=P20180208917")</f>
        <v>https://ntsu.idm.oclc.org/login?url=https://www.airitibooks.com/Detail/Detail?PublicationID=P20180208917</v>
      </c>
    </row>
    <row r="1591" spans="1:11" ht="51" x14ac:dyDescent="0.4">
      <c r="A1591" s="10" t="s">
        <v>8590</v>
      </c>
      <c r="B1591" s="10" t="s">
        <v>8591</v>
      </c>
      <c r="C1591" s="10" t="s">
        <v>7164</v>
      </c>
      <c r="D1591" s="10" t="s">
        <v>8592</v>
      </c>
      <c r="E1591" s="10" t="s">
        <v>7391</v>
      </c>
      <c r="F1591" s="10" t="s">
        <v>1856</v>
      </c>
      <c r="G1591" s="10" t="s">
        <v>23</v>
      </c>
      <c r="H1591" s="7" t="s">
        <v>24</v>
      </c>
      <c r="I1591" s="7" t="s">
        <v>25</v>
      </c>
      <c r="J1591" s="13" t="str">
        <f>HYPERLINK("https://www.airitibooks.com/Detail/Detail?PublicationID=P20180208928", "https://www.airitibooks.com/Detail/Detail?PublicationID=P20180208928")</f>
        <v>https://www.airitibooks.com/Detail/Detail?PublicationID=P20180208928</v>
      </c>
      <c r="K1591" s="13" t="str">
        <f>HYPERLINK("https://ntsu.idm.oclc.org/login?url=https://www.airitibooks.com/Detail/Detail?PublicationID=P20180208928", "https://ntsu.idm.oclc.org/login?url=https://www.airitibooks.com/Detail/Detail?PublicationID=P20180208928")</f>
        <v>https://ntsu.idm.oclc.org/login?url=https://www.airitibooks.com/Detail/Detail?PublicationID=P20180208928</v>
      </c>
    </row>
    <row r="1592" spans="1:11" ht="51" x14ac:dyDescent="0.4">
      <c r="A1592" s="10" t="s">
        <v>8664</v>
      </c>
      <c r="B1592" s="10" t="s">
        <v>8665</v>
      </c>
      <c r="C1592" s="10" t="s">
        <v>7164</v>
      </c>
      <c r="D1592" s="10" t="s">
        <v>8666</v>
      </c>
      <c r="E1592" s="10" t="s">
        <v>7391</v>
      </c>
      <c r="F1592" s="10" t="s">
        <v>250</v>
      </c>
      <c r="G1592" s="10" t="s">
        <v>23</v>
      </c>
      <c r="H1592" s="7" t="s">
        <v>24</v>
      </c>
      <c r="I1592" s="7" t="s">
        <v>25</v>
      </c>
      <c r="J1592" s="13" t="str">
        <f>HYPERLINK("https://www.airitibooks.com/Detail/Detail?PublicationID=P20180208996", "https://www.airitibooks.com/Detail/Detail?PublicationID=P20180208996")</f>
        <v>https://www.airitibooks.com/Detail/Detail?PublicationID=P20180208996</v>
      </c>
      <c r="K1592" s="13" t="str">
        <f>HYPERLINK("https://ntsu.idm.oclc.org/login?url=https://www.airitibooks.com/Detail/Detail?PublicationID=P20180208996", "https://ntsu.idm.oclc.org/login?url=https://www.airitibooks.com/Detail/Detail?PublicationID=P20180208996")</f>
        <v>https://ntsu.idm.oclc.org/login?url=https://www.airitibooks.com/Detail/Detail?PublicationID=P20180208996</v>
      </c>
    </row>
    <row r="1593" spans="1:11" ht="119" x14ac:dyDescent="0.4">
      <c r="A1593" s="10" t="s">
        <v>8667</v>
      </c>
      <c r="B1593" s="10" t="s">
        <v>8668</v>
      </c>
      <c r="C1593" s="10" t="s">
        <v>756</v>
      </c>
      <c r="D1593" s="10" t="s">
        <v>8669</v>
      </c>
      <c r="E1593" s="10" t="s">
        <v>7391</v>
      </c>
      <c r="F1593" s="10" t="s">
        <v>8670</v>
      </c>
      <c r="G1593" s="10" t="s">
        <v>23</v>
      </c>
      <c r="H1593" s="7" t="s">
        <v>24</v>
      </c>
      <c r="I1593" s="7" t="s">
        <v>25</v>
      </c>
      <c r="J1593" s="13" t="str">
        <f>HYPERLINK("https://www.airitibooks.com/Detail/Detail?PublicationID=P20180223026", "https://www.airitibooks.com/Detail/Detail?PublicationID=P20180223026")</f>
        <v>https://www.airitibooks.com/Detail/Detail?PublicationID=P20180223026</v>
      </c>
      <c r="K1593" s="13" t="str">
        <f>HYPERLINK("https://ntsu.idm.oclc.org/login?url=https://www.airitibooks.com/Detail/Detail?PublicationID=P20180223026", "https://ntsu.idm.oclc.org/login?url=https://www.airitibooks.com/Detail/Detail?PublicationID=P20180223026")</f>
        <v>https://ntsu.idm.oclc.org/login?url=https://www.airitibooks.com/Detail/Detail?PublicationID=P20180223026</v>
      </c>
    </row>
    <row r="1594" spans="1:11" ht="51" x14ac:dyDescent="0.4">
      <c r="A1594" s="10" t="s">
        <v>8681</v>
      </c>
      <c r="B1594" s="10" t="s">
        <v>8682</v>
      </c>
      <c r="C1594" s="10" t="s">
        <v>2854</v>
      </c>
      <c r="D1594" s="10" t="s">
        <v>8683</v>
      </c>
      <c r="E1594" s="10" t="s">
        <v>7391</v>
      </c>
      <c r="F1594" s="10" t="s">
        <v>565</v>
      </c>
      <c r="G1594" s="10" t="s">
        <v>23</v>
      </c>
      <c r="H1594" s="7" t="s">
        <v>24</v>
      </c>
      <c r="I1594" s="7" t="s">
        <v>25</v>
      </c>
      <c r="J1594" s="13" t="str">
        <f>HYPERLINK("https://www.airitibooks.com/Detail/Detail?PublicationID=P20180223039", "https://www.airitibooks.com/Detail/Detail?PublicationID=P20180223039")</f>
        <v>https://www.airitibooks.com/Detail/Detail?PublicationID=P20180223039</v>
      </c>
      <c r="K1594" s="13" t="str">
        <f>HYPERLINK("https://ntsu.idm.oclc.org/login?url=https://www.airitibooks.com/Detail/Detail?PublicationID=P20180223039", "https://ntsu.idm.oclc.org/login?url=https://www.airitibooks.com/Detail/Detail?PublicationID=P20180223039")</f>
        <v>https://ntsu.idm.oclc.org/login?url=https://www.airitibooks.com/Detail/Detail?PublicationID=P20180223039</v>
      </c>
    </row>
    <row r="1595" spans="1:11" ht="51" x14ac:dyDescent="0.4">
      <c r="A1595" s="10" t="s">
        <v>8698</v>
      </c>
      <c r="B1595" s="10" t="s">
        <v>8699</v>
      </c>
      <c r="C1595" s="10" t="s">
        <v>7164</v>
      </c>
      <c r="D1595" s="10" t="s">
        <v>8700</v>
      </c>
      <c r="E1595" s="10" t="s">
        <v>7391</v>
      </c>
      <c r="F1595" s="10" t="s">
        <v>8701</v>
      </c>
      <c r="G1595" s="10" t="s">
        <v>23</v>
      </c>
      <c r="H1595" s="7" t="s">
        <v>24</v>
      </c>
      <c r="I1595" s="7" t="s">
        <v>25</v>
      </c>
      <c r="J1595" s="13" t="str">
        <f>HYPERLINK("https://www.airitibooks.com/Detail/Detail?PublicationID=P20180301050", "https://www.airitibooks.com/Detail/Detail?PublicationID=P20180301050")</f>
        <v>https://www.airitibooks.com/Detail/Detail?PublicationID=P20180301050</v>
      </c>
      <c r="K1595" s="13" t="str">
        <f>HYPERLINK("https://ntsu.idm.oclc.org/login?url=https://www.airitibooks.com/Detail/Detail?PublicationID=P20180301050", "https://ntsu.idm.oclc.org/login?url=https://www.airitibooks.com/Detail/Detail?PublicationID=P20180301050")</f>
        <v>https://ntsu.idm.oclc.org/login?url=https://www.airitibooks.com/Detail/Detail?PublicationID=P20180301050</v>
      </c>
    </row>
    <row r="1596" spans="1:11" ht="85" x14ac:dyDescent="0.4">
      <c r="A1596" s="10" t="s">
        <v>8718</v>
      </c>
      <c r="B1596" s="10" t="s">
        <v>8719</v>
      </c>
      <c r="C1596" s="10" t="s">
        <v>1484</v>
      </c>
      <c r="D1596" s="10" t="s">
        <v>8720</v>
      </c>
      <c r="E1596" s="10" t="s">
        <v>7391</v>
      </c>
      <c r="F1596" s="10" t="s">
        <v>8721</v>
      </c>
      <c r="G1596" s="10" t="s">
        <v>23</v>
      </c>
      <c r="H1596" s="7" t="s">
        <v>24</v>
      </c>
      <c r="I1596" s="7" t="s">
        <v>25</v>
      </c>
      <c r="J1596" s="13" t="str">
        <f>HYPERLINK("https://www.airitibooks.com/Detail/Detail?PublicationID=P20180309070", "https://www.airitibooks.com/Detail/Detail?PublicationID=P20180309070")</f>
        <v>https://www.airitibooks.com/Detail/Detail?PublicationID=P20180309070</v>
      </c>
      <c r="K1596" s="13" t="str">
        <f>HYPERLINK("https://ntsu.idm.oclc.org/login?url=https://www.airitibooks.com/Detail/Detail?PublicationID=P20180309070", "https://ntsu.idm.oclc.org/login?url=https://www.airitibooks.com/Detail/Detail?PublicationID=P20180309070")</f>
        <v>https://ntsu.idm.oclc.org/login?url=https://www.airitibooks.com/Detail/Detail?PublicationID=P20180309070</v>
      </c>
    </row>
    <row r="1597" spans="1:11" ht="51" x14ac:dyDescent="0.4">
      <c r="A1597" s="10" t="s">
        <v>8846</v>
      </c>
      <c r="B1597" s="10" t="s">
        <v>8847</v>
      </c>
      <c r="C1597" s="10" t="s">
        <v>240</v>
      </c>
      <c r="D1597" s="10" t="s">
        <v>8848</v>
      </c>
      <c r="E1597" s="10" t="s">
        <v>7391</v>
      </c>
      <c r="F1597" s="10" t="s">
        <v>8849</v>
      </c>
      <c r="G1597" s="10" t="s">
        <v>23</v>
      </c>
      <c r="H1597" s="7" t="s">
        <v>24</v>
      </c>
      <c r="I1597" s="7" t="s">
        <v>25</v>
      </c>
      <c r="J1597" s="13" t="str">
        <f>HYPERLINK("https://www.airitibooks.com/Detail/Detail?PublicationID=P20180330055", "https://www.airitibooks.com/Detail/Detail?PublicationID=P20180330055")</f>
        <v>https://www.airitibooks.com/Detail/Detail?PublicationID=P20180330055</v>
      </c>
      <c r="K1597" s="13" t="str">
        <f>HYPERLINK("https://ntsu.idm.oclc.org/login?url=https://www.airitibooks.com/Detail/Detail?PublicationID=P20180330055", "https://ntsu.idm.oclc.org/login?url=https://www.airitibooks.com/Detail/Detail?PublicationID=P20180330055")</f>
        <v>https://ntsu.idm.oclc.org/login?url=https://www.airitibooks.com/Detail/Detail?PublicationID=P20180330055</v>
      </c>
    </row>
    <row r="1598" spans="1:11" ht="51" x14ac:dyDescent="0.4">
      <c r="A1598" s="10" t="s">
        <v>8875</v>
      </c>
      <c r="B1598" s="10" t="s">
        <v>8876</v>
      </c>
      <c r="C1598" s="10" t="s">
        <v>7051</v>
      </c>
      <c r="D1598" s="10" t="s">
        <v>8877</v>
      </c>
      <c r="E1598" s="10" t="s">
        <v>7391</v>
      </c>
      <c r="F1598" s="10" t="s">
        <v>720</v>
      </c>
      <c r="G1598" s="10" t="s">
        <v>23</v>
      </c>
      <c r="H1598" s="7" t="s">
        <v>7839</v>
      </c>
      <c r="I1598" s="7" t="s">
        <v>25</v>
      </c>
      <c r="J1598" s="13" t="str">
        <f>HYPERLINK("https://www.airitibooks.com/Detail/Detail?PublicationID=P20180413002", "https://www.airitibooks.com/Detail/Detail?PublicationID=P20180413002")</f>
        <v>https://www.airitibooks.com/Detail/Detail?PublicationID=P20180413002</v>
      </c>
      <c r="K1598" s="13" t="str">
        <f>HYPERLINK("https://ntsu.idm.oclc.org/login?url=https://www.airitibooks.com/Detail/Detail?PublicationID=P20180413002", "https://ntsu.idm.oclc.org/login?url=https://www.airitibooks.com/Detail/Detail?PublicationID=P20180413002")</f>
        <v>https://ntsu.idm.oclc.org/login?url=https://www.airitibooks.com/Detail/Detail?PublicationID=P20180413002</v>
      </c>
    </row>
    <row r="1599" spans="1:11" ht="51" x14ac:dyDescent="0.4">
      <c r="A1599" s="10" t="s">
        <v>8940</v>
      </c>
      <c r="B1599" s="10" t="s">
        <v>8941</v>
      </c>
      <c r="C1599" s="10" t="s">
        <v>938</v>
      </c>
      <c r="D1599" s="10" t="s">
        <v>5294</v>
      </c>
      <c r="E1599" s="10" t="s">
        <v>7391</v>
      </c>
      <c r="F1599" s="10" t="s">
        <v>6573</v>
      </c>
      <c r="G1599" s="10" t="s">
        <v>23</v>
      </c>
      <c r="H1599" s="7" t="s">
        <v>24</v>
      </c>
      <c r="I1599" s="7" t="s">
        <v>25</v>
      </c>
      <c r="J1599" s="13" t="str">
        <f>HYPERLINK("https://www.airitibooks.com/Detail/Detail?PublicationID=P20180413047", "https://www.airitibooks.com/Detail/Detail?PublicationID=P20180413047")</f>
        <v>https://www.airitibooks.com/Detail/Detail?PublicationID=P20180413047</v>
      </c>
      <c r="K1599" s="13" t="str">
        <f>HYPERLINK("https://ntsu.idm.oclc.org/login?url=https://www.airitibooks.com/Detail/Detail?PublicationID=P20180413047", "https://ntsu.idm.oclc.org/login?url=https://www.airitibooks.com/Detail/Detail?PublicationID=P20180413047")</f>
        <v>https://ntsu.idm.oclc.org/login?url=https://www.airitibooks.com/Detail/Detail?PublicationID=P20180413047</v>
      </c>
    </row>
    <row r="1600" spans="1:11" ht="51" x14ac:dyDescent="0.4">
      <c r="A1600" s="10" t="s">
        <v>8955</v>
      </c>
      <c r="B1600" s="10" t="s">
        <v>8956</v>
      </c>
      <c r="C1600" s="10" t="s">
        <v>938</v>
      </c>
      <c r="D1600" s="10" t="s">
        <v>5288</v>
      </c>
      <c r="E1600" s="10" t="s">
        <v>7391</v>
      </c>
      <c r="F1600" s="10" t="s">
        <v>5848</v>
      </c>
      <c r="G1600" s="10" t="s">
        <v>23</v>
      </c>
      <c r="H1600" s="7" t="s">
        <v>24</v>
      </c>
      <c r="I1600" s="7" t="s">
        <v>25</v>
      </c>
      <c r="J1600" s="13" t="str">
        <f>HYPERLINK("https://www.airitibooks.com/Detail/Detail?PublicationID=P20180413060", "https://www.airitibooks.com/Detail/Detail?PublicationID=P20180413060")</f>
        <v>https://www.airitibooks.com/Detail/Detail?PublicationID=P20180413060</v>
      </c>
      <c r="K1600" s="13" t="str">
        <f>HYPERLINK("https://ntsu.idm.oclc.org/login?url=https://www.airitibooks.com/Detail/Detail?PublicationID=P20180413060", "https://ntsu.idm.oclc.org/login?url=https://www.airitibooks.com/Detail/Detail?PublicationID=P20180413060")</f>
        <v>https://ntsu.idm.oclc.org/login?url=https://www.airitibooks.com/Detail/Detail?PublicationID=P20180413060</v>
      </c>
    </row>
    <row r="1601" spans="1:11" ht="51" x14ac:dyDescent="0.4">
      <c r="A1601" s="10" t="s">
        <v>8970</v>
      </c>
      <c r="B1601" s="10" t="s">
        <v>8971</v>
      </c>
      <c r="C1601" s="10" t="s">
        <v>791</v>
      </c>
      <c r="D1601" s="10" t="s">
        <v>449</v>
      </c>
      <c r="E1601" s="10" t="s">
        <v>7391</v>
      </c>
      <c r="F1601" s="10" t="s">
        <v>720</v>
      </c>
      <c r="G1601" s="10" t="s">
        <v>23</v>
      </c>
      <c r="H1601" s="7" t="s">
        <v>24</v>
      </c>
      <c r="I1601" s="7" t="s">
        <v>25</v>
      </c>
      <c r="J1601" s="13" t="str">
        <f>HYPERLINK("https://www.airitibooks.com/Detail/Detail?PublicationID=P20180413080", "https://www.airitibooks.com/Detail/Detail?PublicationID=P20180413080")</f>
        <v>https://www.airitibooks.com/Detail/Detail?PublicationID=P20180413080</v>
      </c>
      <c r="K1601" s="13" t="str">
        <f>HYPERLINK("https://ntsu.idm.oclc.org/login?url=https://www.airitibooks.com/Detail/Detail?PublicationID=P20180413080", "https://ntsu.idm.oclc.org/login?url=https://www.airitibooks.com/Detail/Detail?PublicationID=P20180413080")</f>
        <v>https://ntsu.idm.oclc.org/login?url=https://www.airitibooks.com/Detail/Detail?PublicationID=P20180413080</v>
      </c>
    </row>
    <row r="1602" spans="1:11" ht="51" x14ac:dyDescent="0.4">
      <c r="A1602" s="10" t="s">
        <v>9020</v>
      </c>
      <c r="B1602" s="10" t="s">
        <v>9021</v>
      </c>
      <c r="C1602" s="10" t="s">
        <v>212</v>
      </c>
      <c r="D1602" s="10" t="s">
        <v>671</v>
      </c>
      <c r="E1602" s="10" t="s">
        <v>7391</v>
      </c>
      <c r="F1602" s="10" t="s">
        <v>3510</v>
      </c>
      <c r="G1602" s="10" t="s">
        <v>23</v>
      </c>
      <c r="H1602" s="7" t="s">
        <v>24</v>
      </c>
      <c r="I1602" s="7" t="s">
        <v>25</v>
      </c>
      <c r="J1602" s="13" t="str">
        <f>HYPERLINK("https://www.airitibooks.com/Detail/Detail?PublicationID=P20180413108", "https://www.airitibooks.com/Detail/Detail?PublicationID=P20180413108")</f>
        <v>https://www.airitibooks.com/Detail/Detail?PublicationID=P20180413108</v>
      </c>
      <c r="K1602" s="13" t="str">
        <f>HYPERLINK("https://ntsu.idm.oclc.org/login?url=https://www.airitibooks.com/Detail/Detail?PublicationID=P20180413108", "https://ntsu.idm.oclc.org/login?url=https://www.airitibooks.com/Detail/Detail?PublicationID=P20180413108")</f>
        <v>https://ntsu.idm.oclc.org/login?url=https://www.airitibooks.com/Detail/Detail?PublicationID=P20180413108</v>
      </c>
    </row>
    <row r="1603" spans="1:11" ht="51" x14ac:dyDescent="0.4">
      <c r="A1603" s="10" t="s">
        <v>9022</v>
      </c>
      <c r="B1603" s="10" t="s">
        <v>9023</v>
      </c>
      <c r="C1603" s="10" t="s">
        <v>212</v>
      </c>
      <c r="D1603" s="10" t="s">
        <v>213</v>
      </c>
      <c r="E1603" s="10" t="s">
        <v>7391</v>
      </c>
      <c r="F1603" s="10" t="s">
        <v>720</v>
      </c>
      <c r="G1603" s="10" t="s">
        <v>23</v>
      </c>
      <c r="H1603" s="7" t="s">
        <v>24</v>
      </c>
      <c r="I1603" s="7" t="s">
        <v>25</v>
      </c>
      <c r="J1603" s="13" t="str">
        <f>HYPERLINK("https://www.airitibooks.com/Detail/Detail?PublicationID=P20180413109", "https://www.airitibooks.com/Detail/Detail?PublicationID=P20180413109")</f>
        <v>https://www.airitibooks.com/Detail/Detail?PublicationID=P20180413109</v>
      </c>
      <c r="K1603" s="13" t="str">
        <f>HYPERLINK("https://ntsu.idm.oclc.org/login?url=https://www.airitibooks.com/Detail/Detail?PublicationID=P20180413109", "https://ntsu.idm.oclc.org/login?url=https://www.airitibooks.com/Detail/Detail?PublicationID=P20180413109")</f>
        <v>https://ntsu.idm.oclc.org/login?url=https://www.airitibooks.com/Detail/Detail?PublicationID=P20180413109</v>
      </c>
    </row>
    <row r="1604" spans="1:11" ht="51" x14ac:dyDescent="0.4">
      <c r="A1604" s="10" t="s">
        <v>9024</v>
      </c>
      <c r="B1604" s="10" t="s">
        <v>9025</v>
      </c>
      <c r="C1604" s="10" t="s">
        <v>212</v>
      </c>
      <c r="D1604" s="10" t="s">
        <v>213</v>
      </c>
      <c r="E1604" s="10" t="s">
        <v>7391</v>
      </c>
      <c r="F1604" s="10" t="s">
        <v>214</v>
      </c>
      <c r="G1604" s="10" t="s">
        <v>23</v>
      </c>
      <c r="H1604" s="7" t="s">
        <v>24</v>
      </c>
      <c r="I1604" s="7" t="s">
        <v>25</v>
      </c>
      <c r="J1604" s="13" t="str">
        <f>HYPERLINK("https://www.airitibooks.com/Detail/Detail?PublicationID=P20180413110", "https://www.airitibooks.com/Detail/Detail?PublicationID=P20180413110")</f>
        <v>https://www.airitibooks.com/Detail/Detail?PublicationID=P20180413110</v>
      </c>
      <c r="K1604" s="13" t="str">
        <f>HYPERLINK("https://ntsu.idm.oclc.org/login?url=https://www.airitibooks.com/Detail/Detail?PublicationID=P20180413110", "https://ntsu.idm.oclc.org/login?url=https://www.airitibooks.com/Detail/Detail?PublicationID=P20180413110")</f>
        <v>https://ntsu.idm.oclc.org/login?url=https://www.airitibooks.com/Detail/Detail?PublicationID=P20180413110</v>
      </c>
    </row>
    <row r="1605" spans="1:11" ht="51" x14ac:dyDescent="0.4">
      <c r="A1605" s="10" t="s">
        <v>9026</v>
      </c>
      <c r="B1605" s="10" t="s">
        <v>9027</v>
      </c>
      <c r="C1605" s="10" t="s">
        <v>212</v>
      </c>
      <c r="D1605" s="10" t="s">
        <v>671</v>
      </c>
      <c r="E1605" s="10" t="s">
        <v>7391</v>
      </c>
      <c r="F1605" s="10" t="s">
        <v>1599</v>
      </c>
      <c r="G1605" s="10" t="s">
        <v>23</v>
      </c>
      <c r="H1605" s="7" t="s">
        <v>24</v>
      </c>
      <c r="I1605" s="7" t="s">
        <v>25</v>
      </c>
      <c r="J1605" s="13" t="str">
        <f>HYPERLINK("https://www.airitibooks.com/Detail/Detail?PublicationID=P20180413111", "https://www.airitibooks.com/Detail/Detail?PublicationID=P20180413111")</f>
        <v>https://www.airitibooks.com/Detail/Detail?PublicationID=P20180413111</v>
      </c>
      <c r="K1605" s="13" t="str">
        <f>HYPERLINK("https://ntsu.idm.oclc.org/login?url=https://www.airitibooks.com/Detail/Detail?PublicationID=P20180413111", "https://ntsu.idm.oclc.org/login?url=https://www.airitibooks.com/Detail/Detail?PublicationID=P20180413111")</f>
        <v>https://ntsu.idm.oclc.org/login?url=https://www.airitibooks.com/Detail/Detail?PublicationID=P20180413111</v>
      </c>
    </row>
    <row r="1606" spans="1:11" ht="51" x14ac:dyDescent="0.4">
      <c r="A1606" s="10" t="s">
        <v>9037</v>
      </c>
      <c r="B1606" s="10" t="s">
        <v>9038</v>
      </c>
      <c r="C1606" s="10" t="s">
        <v>212</v>
      </c>
      <c r="D1606" s="10" t="s">
        <v>213</v>
      </c>
      <c r="E1606" s="10" t="s">
        <v>7391</v>
      </c>
      <c r="F1606" s="10" t="s">
        <v>214</v>
      </c>
      <c r="G1606" s="10" t="s">
        <v>23</v>
      </c>
      <c r="H1606" s="7" t="s">
        <v>24</v>
      </c>
      <c r="I1606" s="7" t="s">
        <v>25</v>
      </c>
      <c r="J1606" s="13" t="str">
        <f>HYPERLINK("https://www.airitibooks.com/Detail/Detail?PublicationID=P20180413119", "https://www.airitibooks.com/Detail/Detail?PublicationID=P20180413119")</f>
        <v>https://www.airitibooks.com/Detail/Detail?PublicationID=P20180413119</v>
      </c>
      <c r="K1606" s="13" t="str">
        <f>HYPERLINK("https://ntsu.idm.oclc.org/login?url=https://www.airitibooks.com/Detail/Detail?PublicationID=P20180413119", "https://ntsu.idm.oclc.org/login?url=https://www.airitibooks.com/Detail/Detail?PublicationID=P20180413119")</f>
        <v>https://ntsu.idm.oclc.org/login?url=https://www.airitibooks.com/Detail/Detail?PublicationID=P20180413119</v>
      </c>
    </row>
    <row r="1607" spans="1:11" ht="51" x14ac:dyDescent="0.4">
      <c r="A1607" s="10" t="s">
        <v>9039</v>
      </c>
      <c r="B1607" s="10" t="s">
        <v>9040</v>
      </c>
      <c r="C1607" s="10" t="s">
        <v>452</v>
      </c>
      <c r="D1607" s="10" t="s">
        <v>9041</v>
      </c>
      <c r="E1607" s="10" t="s">
        <v>7391</v>
      </c>
      <c r="F1607" s="10" t="s">
        <v>359</v>
      </c>
      <c r="G1607" s="10" t="s">
        <v>23</v>
      </c>
      <c r="H1607" s="7" t="s">
        <v>24</v>
      </c>
      <c r="I1607" s="7" t="s">
        <v>25</v>
      </c>
      <c r="J1607" s="13" t="str">
        <f>HYPERLINK("https://www.airitibooks.com/Detail/Detail?PublicationID=P20180413159", "https://www.airitibooks.com/Detail/Detail?PublicationID=P20180413159")</f>
        <v>https://www.airitibooks.com/Detail/Detail?PublicationID=P20180413159</v>
      </c>
      <c r="K1607" s="13" t="str">
        <f>HYPERLINK("https://ntsu.idm.oclc.org/login?url=https://www.airitibooks.com/Detail/Detail?PublicationID=P20180413159", "https://ntsu.idm.oclc.org/login?url=https://www.airitibooks.com/Detail/Detail?PublicationID=P20180413159")</f>
        <v>https://ntsu.idm.oclc.org/login?url=https://www.airitibooks.com/Detail/Detail?PublicationID=P20180413159</v>
      </c>
    </row>
    <row r="1608" spans="1:11" ht="51" x14ac:dyDescent="0.4">
      <c r="A1608" s="10" t="s">
        <v>9066</v>
      </c>
      <c r="B1608" s="10" t="s">
        <v>9067</v>
      </c>
      <c r="C1608" s="10" t="s">
        <v>1484</v>
      </c>
      <c r="D1608" s="10" t="s">
        <v>9068</v>
      </c>
      <c r="E1608" s="10" t="s">
        <v>7391</v>
      </c>
      <c r="F1608" s="10" t="s">
        <v>9069</v>
      </c>
      <c r="G1608" s="10" t="s">
        <v>23</v>
      </c>
      <c r="H1608" s="7" t="s">
        <v>7839</v>
      </c>
      <c r="I1608" s="7" t="s">
        <v>25</v>
      </c>
      <c r="J1608" s="13" t="str">
        <f>HYPERLINK("https://www.airitibooks.com/Detail/Detail?PublicationID=P20180413190", "https://www.airitibooks.com/Detail/Detail?PublicationID=P20180413190")</f>
        <v>https://www.airitibooks.com/Detail/Detail?PublicationID=P20180413190</v>
      </c>
      <c r="K1608" s="13" t="str">
        <f>HYPERLINK("https://ntsu.idm.oclc.org/login?url=https://www.airitibooks.com/Detail/Detail?PublicationID=P20180413190", "https://ntsu.idm.oclc.org/login?url=https://www.airitibooks.com/Detail/Detail?PublicationID=P20180413190")</f>
        <v>https://ntsu.idm.oclc.org/login?url=https://www.airitibooks.com/Detail/Detail?PublicationID=P20180413190</v>
      </c>
    </row>
    <row r="1609" spans="1:11" ht="136" x14ac:dyDescent="0.4">
      <c r="A1609" s="10" t="s">
        <v>9242</v>
      </c>
      <c r="B1609" s="10" t="s">
        <v>9243</v>
      </c>
      <c r="C1609" s="10" t="s">
        <v>1484</v>
      </c>
      <c r="D1609" s="10" t="s">
        <v>9244</v>
      </c>
      <c r="E1609" s="10" t="s">
        <v>7391</v>
      </c>
      <c r="F1609" s="10" t="s">
        <v>5669</v>
      </c>
      <c r="G1609" s="10" t="s">
        <v>23</v>
      </c>
      <c r="H1609" s="7" t="s">
        <v>24</v>
      </c>
      <c r="I1609" s="7" t="s">
        <v>25</v>
      </c>
      <c r="J1609" s="13" t="str">
        <f>HYPERLINK("https://www.airitibooks.com/Detail/Detail?PublicationID=P20180518024", "https://www.airitibooks.com/Detail/Detail?PublicationID=P20180518024")</f>
        <v>https://www.airitibooks.com/Detail/Detail?PublicationID=P20180518024</v>
      </c>
      <c r="K1609" s="13" t="str">
        <f>HYPERLINK("https://ntsu.idm.oclc.org/login?url=https://www.airitibooks.com/Detail/Detail?PublicationID=P20180518024", "https://ntsu.idm.oclc.org/login?url=https://www.airitibooks.com/Detail/Detail?PublicationID=P20180518024")</f>
        <v>https://ntsu.idm.oclc.org/login?url=https://www.airitibooks.com/Detail/Detail?PublicationID=P20180518024</v>
      </c>
    </row>
    <row r="1610" spans="1:11" ht="68" x14ac:dyDescent="0.4">
      <c r="A1610" s="10" t="s">
        <v>9251</v>
      </c>
      <c r="B1610" s="10" t="s">
        <v>9252</v>
      </c>
      <c r="C1610" s="10" t="s">
        <v>7164</v>
      </c>
      <c r="D1610" s="10" t="s">
        <v>9253</v>
      </c>
      <c r="E1610" s="10" t="s">
        <v>7391</v>
      </c>
      <c r="F1610" s="10" t="s">
        <v>250</v>
      </c>
      <c r="G1610" s="10" t="s">
        <v>23</v>
      </c>
      <c r="H1610" s="7" t="s">
        <v>24</v>
      </c>
      <c r="I1610" s="7" t="s">
        <v>25</v>
      </c>
      <c r="J1610" s="13" t="str">
        <f>HYPERLINK("https://www.airitibooks.com/Detail/Detail?PublicationID=P20180522002", "https://www.airitibooks.com/Detail/Detail?PublicationID=P20180522002")</f>
        <v>https://www.airitibooks.com/Detail/Detail?PublicationID=P20180522002</v>
      </c>
      <c r="K1610" s="13" t="str">
        <f>HYPERLINK("https://ntsu.idm.oclc.org/login?url=https://www.airitibooks.com/Detail/Detail?PublicationID=P20180522002", "https://ntsu.idm.oclc.org/login?url=https://www.airitibooks.com/Detail/Detail?PublicationID=P20180522002")</f>
        <v>https://ntsu.idm.oclc.org/login?url=https://www.airitibooks.com/Detail/Detail?PublicationID=P20180522002</v>
      </c>
    </row>
    <row r="1611" spans="1:11" ht="51" x14ac:dyDescent="0.4">
      <c r="A1611" s="10" t="s">
        <v>9266</v>
      </c>
      <c r="B1611" s="10" t="s">
        <v>9267</v>
      </c>
      <c r="C1611" s="10" t="s">
        <v>791</v>
      </c>
      <c r="D1611" s="10" t="s">
        <v>9268</v>
      </c>
      <c r="E1611" s="10" t="s">
        <v>7391</v>
      </c>
      <c r="F1611" s="10" t="s">
        <v>1599</v>
      </c>
      <c r="G1611" s="10" t="s">
        <v>23</v>
      </c>
      <c r="H1611" s="7" t="s">
        <v>24</v>
      </c>
      <c r="I1611" s="7" t="s">
        <v>25</v>
      </c>
      <c r="J1611" s="13" t="str">
        <f>HYPERLINK("https://www.airitibooks.com/Detail/Detail?PublicationID=P20180525021", "https://www.airitibooks.com/Detail/Detail?PublicationID=P20180525021")</f>
        <v>https://www.airitibooks.com/Detail/Detail?PublicationID=P20180525021</v>
      </c>
      <c r="K1611" s="13" t="str">
        <f>HYPERLINK("https://ntsu.idm.oclc.org/login?url=https://www.airitibooks.com/Detail/Detail?PublicationID=P20180525021", "https://ntsu.idm.oclc.org/login?url=https://www.airitibooks.com/Detail/Detail?PublicationID=P20180525021")</f>
        <v>https://ntsu.idm.oclc.org/login?url=https://www.airitibooks.com/Detail/Detail?PublicationID=P20180525021</v>
      </c>
    </row>
    <row r="1612" spans="1:11" ht="51" x14ac:dyDescent="0.4">
      <c r="A1612" s="10" t="s">
        <v>9282</v>
      </c>
      <c r="B1612" s="10" t="s">
        <v>9283</v>
      </c>
      <c r="C1612" s="10" t="s">
        <v>1484</v>
      </c>
      <c r="D1612" s="10" t="s">
        <v>9284</v>
      </c>
      <c r="E1612" s="10" t="s">
        <v>7391</v>
      </c>
      <c r="F1612" s="10" t="s">
        <v>3587</v>
      </c>
      <c r="G1612" s="10" t="s">
        <v>23</v>
      </c>
      <c r="H1612" s="7" t="s">
        <v>24</v>
      </c>
      <c r="I1612" s="7" t="s">
        <v>25</v>
      </c>
      <c r="J1612" s="13" t="str">
        <f>HYPERLINK("https://www.airitibooks.com/Detail/Detail?PublicationID=P20180525034", "https://www.airitibooks.com/Detail/Detail?PublicationID=P20180525034")</f>
        <v>https://www.airitibooks.com/Detail/Detail?PublicationID=P20180525034</v>
      </c>
      <c r="K1612" s="13" t="str">
        <f>HYPERLINK("https://ntsu.idm.oclc.org/login?url=https://www.airitibooks.com/Detail/Detail?PublicationID=P20180525034", "https://ntsu.idm.oclc.org/login?url=https://www.airitibooks.com/Detail/Detail?PublicationID=P20180525034")</f>
        <v>https://ntsu.idm.oclc.org/login?url=https://www.airitibooks.com/Detail/Detail?PublicationID=P20180525034</v>
      </c>
    </row>
    <row r="1613" spans="1:11" ht="51" x14ac:dyDescent="0.4">
      <c r="A1613" s="10" t="s">
        <v>9291</v>
      </c>
      <c r="B1613" s="10" t="s">
        <v>9292</v>
      </c>
      <c r="C1613" s="10" t="s">
        <v>4482</v>
      </c>
      <c r="D1613" s="10" t="s">
        <v>4483</v>
      </c>
      <c r="E1613" s="10" t="s">
        <v>7391</v>
      </c>
      <c r="F1613" s="10" t="s">
        <v>4484</v>
      </c>
      <c r="G1613" s="10" t="s">
        <v>23</v>
      </c>
      <c r="H1613" s="7" t="s">
        <v>24</v>
      </c>
      <c r="I1613" s="7" t="s">
        <v>25</v>
      </c>
      <c r="J1613" s="13" t="str">
        <f>HYPERLINK("https://www.airitibooks.com/Detail/Detail?PublicationID=P20180525040", "https://www.airitibooks.com/Detail/Detail?PublicationID=P20180525040")</f>
        <v>https://www.airitibooks.com/Detail/Detail?PublicationID=P20180525040</v>
      </c>
      <c r="K1613" s="13" t="str">
        <f>HYPERLINK("https://ntsu.idm.oclc.org/login?url=https://www.airitibooks.com/Detail/Detail?PublicationID=P20180525040", "https://ntsu.idm.oclc.org/login?url=https://www.airitibooks.com/Detail/Detail?PublicationID=P20180525040")</f>
        <v>https://ntsu.idm.oclc.org/login?url=https://www.airitibooks.com/Detail/Detail?PublicationID=P20180525040</v>
      </c>
    </row>
    <row r="1614" spans="1:11" ht="51" x14ac:dyDescent="0.4">
      <c r="A1614" s="10" t="s">
        <v>9336</v>
      </c>
      <c r="B1614" s="10" t="s">
        <v>9337</v>
      </c>
      <c r="C1614" s="10" t="s">
        <v>756</v>
      </c>
      <c r="D1614" s="10" t="s">
        <v>9338</v>
      </c>
      <c r="E1614" s="10" t="s">
        <v>7391</v>
      </c>
      <c r="F1614" s="10" t="s">
        <v>250</v>
      </c>
      <c r="G1614" s="10" t="s">
        <v>23</v>
      </c>
      <c r="H1614" s="7" t="s">
        <v>24</v>
      </c>
      <c r="I1614" s="7" t="s">
        <v>25</v>
      </c>
      <c r="J1614" s="13" t="str">
        <f>HYPERLINK("https://www.airitibooks.com/Detail/Detail?PublicationID=P20180601012", "https://www.airitibooks.com/Detail/Detail?PublicationID=P20180601012")</f>
        <v>https://www.airitibooks.com/Detail/Detail?PublicationID=P20180601012</v>
      </c>
      <c r="K1614" s="13" t="str">
        <f>HYPERLINK("https://ntsu.idm.oclc.org/login?url=https://www.airitibooks.com/Detail/Detail?PublicationID=P20180601012", "https://ntsu.idm.oclc.org/login?url=https://www.airitibooks.com/Detail/Detail?PublicationID=P20180601012")</f>
        <v>https://ntsu.idm.oclc.org/login?url=https://www.airitibooks.com/Detail/Detail?PublicationID=P20180601012</v>
      </c>
    </row>
    <row r="1615" spans="1:11" ht="51" x14ac:dyDescent="0.4">
      <c r="A1615" s="10" t="s">
        <v>9339</v>
      </c>
      <c r="B1615" s="10" t="s">
        <v>9340</v>
      </c>
      <c r="C1615" s="10" t="s">
        <v>1484</v>
      </c>
      <c r="D1615" s="10" t="s">
        <v>2563</v>
      </c>
      <c r="E1615" s="10" t="s">
        <v>7391</v>
      </c>
      <c r="F1615" s="10" t="s">
        <v>2560</v>
      </c>
      <c r="G1615" s="10" t="s">
        <v>23</v>
      </c>
      <c r="H1615" s="7" t="s">
        <v>24</v>
      </c>
      <c r="I1615" s="7" t="s">
        <v>25</v>
      </c>
      <c r="J1615" s="13" t="str">
        <f>HYPERLINK("https://www.airitibooks.com/Detail/Detail?PublicationID=P20180601017", "https://www.airitibooks.com/Detail/Detail?PublicationID=P20180601017")</f>
        <v>https://www.airitibooks.com/Detail/Detail?PublicationID=P20180601017</v>
      </c>
      <c r="K1615" s="13" t="str">
        <f>HYPERLINK("https://ntsu.idm.oclc.org/login?url=https://www.airitibooks.com/Detail/Detail?PublicationID=P20180601017", "https://ntsu.idm.oclc.org/login?url=https://www.airitibooks.com/Detail/Detail?PublicationID=P20180601017")</f>
        <v>https://ntsu.idm.oclc.org/login?url=https://www.airitibooks.com/Detail/Detail?PublicationID=P20180601017</v>
      </c>
    </row>
    <row r="1616" spans="1:11" ht="51" x14ac:dyDescent="0.4">
      <c r="A1616" s="10" t="s">
        <v>9345</v>
      </c>
      <c r="B1616" s="10" t="s">
        <v>9346</v>
      </c>
      <c r="C1616" s="10" t="s">
        <v>1262</v>
      </c>
      <c r="D1616" s="10" t="s">
        <v>4451</v>
      </c>
      <c r="E1616" s="10" t="s">
        <v>7391</v>
      </c>
      <c r="F1616" s="10" t="s">
        <v>4041</v>
      </c>
      <c r="G1616" s="10" t="s">
        <v>23</v>
      </c>
      <c r="H1616" s="7" t="s">
        <v>24</v>
      </c>
      <c r="I1616" s="7" t="s">
        <v>25</v>
      </c>
      <c r="J1616" s="13" t="str">
        <f>HYPERLINK("https://www.airitibooks.com/Detail/Detail?PublicationID=P20180604001", "https://www.airitibooks.com/Detail/Detail?PublicationID=P20180604001")</f>
        <v>https://www.airitibooks.com/Detail/Detail?PublicationID=P20180604001</v>
      </c>
      <c r="K1616" s="13" t="str">
        <f>HYPERLINK("https://ntsu.idm.oclc.org/login?url=https://www.airitibooks.com/Detail/Detail?PublicationID=P20180604001", "https://ntsu.idm.oclc.org/login?url=https://www.airitibooks.com/Detail/Detail?PublicationID=P20180604001")</f>
        <v>https://ntsu.idm.oclc.org/login?url=https://www.airitibooks.com/Detail/Detail?PublicationID=P20180604001</v>
      </c>
    </row>
    <row r="1617" spans="1:11" ht="51" x14ac:dyDescent="0.4">
      <c r="A1617" s="10" t="s">
        <v>9387</v>
      </c>
      <c r="B1617" s="10" t="s">
        <v>9388</v>
      </c>
      <c r="C1617" s="10" t="s">
        <v>240</v>
      </c>
      <c r="D1617" s="10" t="s">
        <v>9389</v>
      </c>
      <c r="E1617" s="10" t="s">
        <v>7391</v>
      </c>
      <c r="F1617" s="10" t="s">
        <v>565</v>
      </c>
      <c r="G1617" s="10" t="s">
        <v>23</v>
      </c>
      <c r="H1617" s="7" t="s">
        <v>24</v>
      </c>
      <c r="I1617" s="7" t="s">
        <v>25</v>
      </c>
      <c r="J1617" s="13" t="str">
        <f>HYPERLINK("https://www.airitibooks.com/Detail/Detail?PublicationID=P20180613009", "https://www.airitibooks.com/Detail/Detail?PublicationID=P20180613009")</f>
        <v>https://www.airitibooks.com/Detail/Detail?PublicationID=P20180613009</v>
      </c>
      <c r="K1617" s="13" t="str">
        <f>HYPERLINK("https://ntsu.idm.oclc.org/login?url=https://www.airitibooks.com/Detail/Detail?PublicationID=P20180613009", "https://ntsu.idm.oclc.org/login?url=https://www.airitibooks.com/Detail/Detail?PublicationID=P20180613009")</f>
        <v>https://ntsu.idm.oclc.org/login?url=https://www.airitibooks.com/Detail/Detail?PublicationID=P20180613009</v>
      </c>
    </row>
    <row r="1618" spans="1:11" ht="51" x14ac:dyDescent="0.4">
      <c r="A1618" s="10" t="s">
        <v>9393</v>
      </c>
      <c r="B1618" s="10" t="s">
        <v>9394</v>
      </c>
      <c r="C1618" s="10" t="s">
        <v>240</v>
      </c>
      <c r="D1618" s="10" t="s">
        <v>9395</v>
      </c>
      <c r="E1618" s="10" t="s">
        <v>7391</v>
      </c>
      <c r="F1618" s="10" t="s">
        <v>565</v>
      </c>
      <c r="G1618" s="10" t="s">
        <v>23</v>
      </c>
      <c r="H1618" s="7" t="s">
        <v>24</v>
      </c>
      <c r="I1618" s="7" t="s">
        <v>25</v>
      </c>
      <c r="J1618" s="13" t="str">
        <f>HYPERLINK("https://www.airitibooks.com/Detail/Detail?PublicationID=P20180613014", "https://www.airitibooks.com/Detail/Detail?PublicationID=P20180613014")</f>
        <v>https://www.airitibooks.com/Detail/Detail?PublicationID=P20180613014</v>
      </c>
      <c r="K1618" s="13" t="str">
        <f>HYPERLINK("https://ntsu.idm.oclc.org/login?url=https://www.airitibooks.com/Detail/Detail?PublicationID=P20180613014", "https://ntsu.idm.oclc.org/login?url=https://www.airitibooks.com/Detail/Detail?PublicationID=P20180613014")</f>
        <v>https://ntsu.idm.oclc.org/login?url=https://www.airitibooks.com/Detail/Detail?PublicationID=P20180613014</v>
      </c>
    </row>
    <row r="1619" spans="1:11" ht="51" x14ac:dyDescent="0.4">
      <c r="A1619" s="10" t="s">
        <v>9396</v>
      </c>
      <c r="B1619" s="10" t="s">
        <v>9397</v>
      </c>
      <c r="C1619" s="10" t="s">
        <v>240</v>
      </c>
      <c r="D1619" s="10" t="s">
        <v>9398</v>
      </c>
      <c r="E1619" s="10" t="s">
        <v>7391</v>
      </c>
      <c r="F1619" s="10" t="s">
        <v>565</v>
      </c>
      <c r="G1619" s="10" t="s">
        <v>23</v>
      </c>
      <c r="H1619" s="7" t="s">
        <v>24</v>
      </c>
      <c r="I1619" s="7" t="s">
        <v>25</v>
      </c>
      <c r="J1619" s="13" t="str">
        <f>HYPERLINK("https://www.airitibooks.com/Detail/Detail?PublicationID=P20180613017", "https://www.airitibooks.com/Detail/Detail?PublicationID=P20180613017")</f>
        <v>https://www.airitibooks.com/Detail/Detail?PublicationID=P20180613017</v>
      </c>
      <c r="K1619" s="13" t="str">
        <f>HYPERLINK("https://ntsu.idm.oclc.org/login?url=https://www.airitibooks.com/Detail/Detail?PublicationID=P20180613017", "https://ntsu.idm.oclc.org/login?url=https://www.airitibooks.com/Detail/Detail?PublicationID=P20180613017")</f>
        <v>https://ntsu.idm.oclc.org/login?url=https://www.airitibooks.com/Detail/Detail?PublicationID=P20180613017</v>
      </c>
    </row>
    <row r="1620" spans="1:11" ht="51" x14ac:dyDescent="0.4">
      <c r="A1620" s="10" t="s">
        <v>9399</v>
      </c>
      <c r="B1620" s="10" t="s">
        <v>9400</v>
      </c>
      <c r="C1620" s="10" t="s">
        <v>240</v>
      </c>
      <c r="D1620" s="10" t="s">
        <v>9401</v>
      </c>
      <c r="E1620" s="10" t="s">
        <v>7391</v>
      </c>
      <c r="F1620" s="10" t="s">
        <v>9402</v>
      </c>
      <c r="G1620" s="10" t="s">
        <v>23</v>
      </c>
      <c r="H1620" s="7" t="s">
        <v>24</v>
      </c>
      <c r="I1620" s="7" t="s">
        <v>25</v>
      </c>
      <c r="J1620" s="13" t="str">
        <f>HYPERLINK("https://www.airitibooks.com/Detail/Detail?PublicationID=P20180613020", "https://www.airitibooks.com/Detail/Detail?PublicationID=P20180613020")</f>
        <v>https://www.airitibooks.com/Detail/Detail?PublicationID=P20180613020</v>
      </c>
      <c r="K1620" s="13" t="str">
        <f>HYPERLINK("https://ntsu.idm.oclc.org/login?url=https://www.airitibooks.com/Detail/Detail?PublicationID=P20180613020", "https://ntsu.idm.oclc.org/login?url=https://www.airitibooks.com/Detail/Detail?PublicationID=P20180613020")</f>
        <v>https://ntsu.idm.oclc.org/login?url=https://www.airitibooks.com/Detail/Detail?PublicationID=P20180613020</v>
      </c>
    </row>
    <row r="1621" spans="1:11" ht="51" x14ac:dyDescent="0.4">
      <c r="A1621" s="10" t="s">
        <v>9410</v>
      </c>
      <c r="B1621" s="10" t="s">
        <v>9411</v>
      </c>
      <c r="C1621" s="10" t="s">
        <v>756</v>
      </c>
      <c r="D1621" s="10" t="s">
        <v>3578</v>
      </c>
      <c r="E1621" s="10" t="s">
        <v>7391</v>
      </c>
      <c r="F1621" s="10" t="s">
        <v>299</v>
      </c>
      <c r="G1621" s="10" t="s">
        <v>23</v>
      </c>
      <c r="H1621" s="7" t="s">
        <v>24</v>
      </c>
      <c r="I1621" s="7" t="s">
        <v>25</v>
      </c>
      <c r="J1621" s="13" t="str">
        <f>HYPERLINK("https://www.airitibooks.com/Detail/Detail?PublicationID=P20180613030", "https://www.airitibooks.com/Detail/Detail?PublicationID=P20180613030")</f>
        <v>https://www.airitibooks.com/Detail/Detail?PublicationID=P20180613030</v>
      </c>
      <c r="K1621" s="13" t="str">
        <f>HYPERLINK("https://ntsu.idm.oclc.org/login?url=https://www.airitibooks.com/Detail/Detail?PublicationID=P20180613030", "https://ntsu.idm.oclc.org/login?url=https://www.airitibooks.com/Detail/Detail?PublicationID=P20180613030")</f>
        <v>https://ntsu.idm.oclc.org/login?url=https://www.airitibooks.com/Detail/Detail?PublicationID=P20180613030</v>
      </c>
    </row>
    <row r="1622" spans="1:11" ht="85" x14ac:dyDescent="0.4">
      <c r="A1622" s="10" t="s">
        <v>9432</v>
      </c>
      <c r="B1622" s="10" t="s">
        <v>9433</v>
      </c>
      <c r="C1622" s="10" t="s">
        <v>3919</v>
      </c>
      <c r="D1622" s="10" t="s">
        <v>9434</v>
      </c>
      <c r="E1622" s="10" t="s">
        <v>7391</v>
      </c>
      <c r="F1622" s="10" t="s">
        <v>3921</v>
      </c>
      <c r="G1622" s="10" t="s">
        <v>23</v>
      </c>
      <c r="H1622" s="7" t="s">
        <v>24</v>
      </c>
      <c r="I1622" s="7" t="s">
        <v>25</v>
      </c>
      <c r="J1622" s="13" t="str">
        <f>HYPERLINK("https://www.airitibooks.com/Detail/Detail?PublicationID=P20180615004", "https://www.airitibooks.com/Detail/Detail?PublicationID=P20180615004")</f>
        <v>https://www.airitibooks.com/Detail/Detail?PublicationID=P20180615004</v>
      </c>
      <c r="K1622" s="13" t="str">
        <f>HYPERLINK("https://ntsu.idm.oclc.org/login?url=https://www.airitibooks.com/Detail/Detail?PublicationID=P20180615004", "https://ntsu.idm.oclc.org/login?url=https://www.airitibooks.com/Detail/Detail?PublicationID=P20180615004")</f>
        <v>https://ntsu.idm.oclc.org/login?url=https://www.airitibooks.com/Detail/Detail?PublicationID=P20180615004</v>
      </c>
    </row>
    <row r="1623" spans="1:11" ht="68" x14ac:dyDescent="0.4">
      <c r="A1623" s="10" t="s">
        <v>9435</v>
      </c>
      <c r="B1623" s="10" t="s">
        <v>9436</v>
      </c>
      <c r="C1623" s="10" t="s">
        <v>791</v>
      </c>
      <c r="D1623" s="10" t="s">
        <v>449</v>
      </c>
      <c r="E1623" s="10" t="s">
        <v>7391</v>
      </c>
      <c r="F1623" s="10" t="s">
        <v>720</v>
      </c>
      <c r="G1623" s="10" t="s">
        <v>23</v>
      </c>
      <c r="H1623" s="7" t="s">
        <v>24</v>
      </c>
      <c r="I1623" s="7" t="s">
        <v>25</v>
      </c>
      <c r="J1623" s="13" t="str">
        <f>HYPERLINK("https://www.airitibooks.com/Detail/Detail?PublicationID=P20180619001", "https://www.airitibooks.com/Detail/Detail?PublicationID=P20180619001")</f>
        <v>https://www.airitibooks.com/Detail/Detail?PublicationID=P20180619001</v>
      </c>
      <c r="K1623" s="13" t="str">
        <f>HYPERLINK("https://ntsu.idm.oclc.org/login?url=https://www.airitibooks.com/Detail/Detail?PublicationID=P20180619001", "https://ntsu.idm.oclc.org/login?url=https://www.airitibooks.com/Detail/Detail?PublicationID=P20180619001")</f>
        <v>https://ntsu.idm.oclc.org/login?url=https://www.airitibooks.com/Detail/Detail?PublicationID=P20180619001</v>
      </c>
    </row>
    <row r="1624" spans="1:11" ht="85" x14ac:dyDescent="0.4">
      <c r="A1624" s="10" t="s">
        <v>9512</v>
      </c>
      <c r="B1624" s="10" t="s">
        <v>9513</v>
      </c>
      <c r="C1624" s="10" t="s">
        <v>9514</v>
      </c>
      <c r="D1624" s="10" t="s">
        <v>9515</v>
      </c>
      <c r="E1624" s="10" t="s">
        <v>7391</v>
      </c>
      <c r="F1624" s="10" t="s">
        <v>720</v>
      </c>
      <c r="G1624" s="10" t="s">
        <v>23</v>
      </c>
      <c r="H1624" s="7" t="s">
        <v>24</v>
      </c>
      <c r="I1624" s="7" t="s">
        <v>25</v>
      </c>
      <c r="J1624" s="13" t="str">
        <f>HYPERLINK("https://www.airitibooks.com/Detail/Detail?PublicationID=P20180628002", "https://www.airitibooks.com/Detail/Detail?PublicationID=P20180628002")</f>
        <v>https://www.airitibooks.com/Detail/Detail?PublicationID=P20180628002</v>
      </c>
      <c r="K1624" s="13" t="str">
        <f>HYPERLINK("https://ntsu.idm.oclc.org/login?url=https://www.airitibooks.com/Detail/Detail?PublicationID=P20180628002", "https://ntsu.idm.oclc.org/login?url=https://www.airitibooks.com/Detail/Detail?PublicationID=P20180628002")</f>
        <v>https://ntsu.idm.oclc.org/login?url=https://www.airitibooks.com/Detail/Detail?PublicationID=P20180628002</v>
      </c>
    </row>
    <row r="1625" spans="1:11" ht="51" x14ac:dyDescent="0.4">
      <c r="A1625" s="10" t="s">
        <v>9710</v>
      </c>
      <c r="B1625" s="10" t="s">
        <v>9711</v>
      </c>
      <c r="C1625" s="10" t="s">
        <v>756</v>
      </c>
      <c r="D1625" s="10" t="s">
        <v>9712</v>
      </c>
      <c r="E1625" s="10" t="s">
        <v>7391</v>
      </c>
      <c r="F1625" s="10" t="s">
        <v>9713</v>
      </c>
      <c r="G1625" s="10" t="s">
        <v>23</v>
      </c>
      <c r="H1625" s="7" t="s">
        <v>24</v>
      </c>
      <c r="I1625" s="7" t="s">
        <v>25</v>
      </c>
      <c r="J1625" s="13" t="str">
        <f>HYPERLINK("https://www.airitibooks.com/Detail/Detail?PublicationID=P20180817017", "https://www.airitibooks.com/Detail/Detail?PublicationID=P20180817017")</f>
        <v>https://www.airitibooks.com/Detail/Detail?PublicationID=P20180817017</v>
      </c>
      <c r="K1625" s="13" t="str">
        <f>HYPERLINK("https://ntsu.idm.oclc.org/login?url=https://www.airitibooks.com/Detail/Detail?PublicationID=P20180817017", "https://ntsu.idm.oclc.org/login?url=https://www.airitibooks.com/Detail/Detail?PublicationID=P20180817017")</f>
        <v>https://ntsu.idm.oclc.org/login?url=https://www.airitibooks.com/Detail/Detail?PublicationID=P20180817017</v>
      </c>
    </row>
    <row r="1626" spans="1:11" ht="51" x14ac:dyDescent="0.4">
      <c r="A1626" s="10" t="s">
        <v>9752</v>
      </c>
      <c r="B1626" s="10" t="s">
        <v>9753</v>
      </c>
      <c r="C1626" s="10" t="s">
        <v>1296</v>
      </c>
      <c r="D1626" s="10" t="s">
        <v>9754</v>
      </c>
      <c r="E1626" s="10" t="s">
        <v>7391</v>
      </c>
      <c r="F1626" s="10" t="s">
        <v>250</v>
      </c>
      <c r="G1626" s="10" t="s">
        <v>23</v>
      </c>
      <c r="H1626" s="7" t="s">
        <v>24</v>
      </c>
      <c r="I1626" s="7" t="s">
        <v>25</v>
      </c>
      <c r="J1626" s="13" t="str">
        <f>HYPERLINK("https://www.airitibooks.com/Detail/Detail?PublicationID=P20180822027", "https://www.airitibooks.com/Detail/Detail?PublicationID=P20180822027")</f>
        <v>https://www.airitibooks.com/Detail/Detail?PublicationID=P20180822027</v>
      </c>
      <c r="K1626" s="13" t="str">
        <f>HYPERLINK("https://ntsu.idm.oclc.org/login?url=https://www.airitibooks.com/Detail/Detail?PublicationID=P20180822027", "https://ntsu.idm.oclc.org/login?url=https://www.airitibooks.com/Detail/Detail?PublicationID=P20180822027")</f>
        <v>https://ntsu.idm.oclc.org/login?url=https://www.airitibooks.com/Detail/Detail?PublicationID=P20180822027</v>
      </c>
    </row>
    <row r="1627" spans="1:11" ht="51" x14ac:dyDescent="0.4">
      <c r="A1627" s="10" t="s">
        <v>9758</v>
      </c>
      <c r="B1627" s="10" t="s">
        <v>9759</v>
      </c>
      <c r="C1627" s="10" t="s">
        <v>240</v>
      </c>
      <c r="D1627" s="10" t="s">
        <v>9760</v>
      </c>
      <c r="E1627" s="10" t="s">
        <v>7391</v>
      </c>
      <c r="F1627" s="10" t="s">
        <v>565</v>
      </c>
      <c r="G1627" s="10" t="s">
        <v>23</v>
      </c>
      <c r="H1627" s="7" t="s">
        <v>24</v>
      </c>
      <c r="I1627" s="7" t="s">
        <v>25</v>
      </c>
      <c r="J1627" s="13" t="str">
        <f>HYPERLINK("https://www.airitibooks.com/Detail/Detail?PublicationID=P20180830023", "https://www.airitibooks.com/Detail/Detail?PublicationID=P20180830023")</f>
        <v>https://www.airitibooks.com/Detail/Detail?PublicationID=P20180830023</v>
      </c>
      <c r="K1627" s="13" t="str">
        <f>HYPERLINK("https://ntsu.idm.oclc.org/login?url=https://www.airitibooks.com/Detail/Detail?PublicationID=P20180830023", "https://ntsu.idm.oclc.org/login?url=https://www.airitibooks.com/Detail/Detail?PublicationID=P20180830023")</f>
        <v>https://ntsu.idm.oclc.org/login?url=https://www.airitibooks.com/Detail/Detail?PublicationID=P20180830023</v>
      </c>
    </row>
    <row r="1628" spans="1:11" ht="51" x14ac:dyDescent="0.4">
      <c r="A1628" s="10" t="s">
        <v>9761</v>
      </c>
      <c r="B1628" s="10" t="s">
        <v>9762</v>
      </c>
      <c r="C1628" s="10" t="s">
        <v>240</v>
      </c>
      <c r="D1628" s="10" t="s">
        <v>9763</v>
      </c>
      <c r="E1628" s="10" t="s">
        <v>7391</v>
      </c>
      <c r="F1628" s="10" t="s">
        <v>3181</v>
      </c>
      <c r="G1628" s="10" t="s">
        <v>23</v>
      </c>
      <c r="H1628" s="7" t="s">
        <v>24</v>
      </c>
      <c r="I1628" s="7" t="s">
        <v>25</v>
      </c>
      <c r="J1628" s="13" t="str">
        <f>HYPERLINK("https://www.airitibooks.com/Detail/Detail?PublicationID=P20180830027", "https://www.airitibooks.com/Detail/Detail?PublicationID=P20180830027")</f>
        <v>https://www.airitibooks.com/Detail/Detail?PublicationID=P20180830027</v>
      </c>
      <c r="K1628" s="13" t="str">
        <f>HYPERLINK("https://ntsu.idm.oclc.org/login?url=https://www.airitibooks.com/Detail/Detail?PublicationID=P20180830027", "https://ntsu.idm.oclc.org/login?url=https://www.airitibooks.com/Detail/Detail?PublicationID=P20180830027")</f>
        <v>https://ntsu.idm.oclc.org/login?url=https://www.airitibooks.com/Detail/Detail?PublicationID=P20180830027</v>
      </c>
    </row>
    <row r="1629" spans="1:11" ht="51" x14ac:dyDescent="0.4">
      <c r="A1629" s="10" t="s">
        <v>9768</v>
      </c>
      <c r="B1629" s="10" t="s">
        <v>9769</v>
      </c>
      <c r="C1629" s="10" t="s">
        <v>240</v>
      </c>
      <c r="D1629" s="10" t="s">
        <v>9770</v>
      </c>
      <c r="E1629" s="10" t="s">
        <v>7391</v>
      </c>
      <c r="F1629" s="10" t="s">
        <v>3741</v>
      </c>
      <c r="G1629" s="10" t="s">
        <v>23</v>
      </c>
      <c r="H1629" s="7" t="s">
        <v>24</v>
      </c>
      <c r="I1629" s="7" t="s">
        <v>25</v>
      </c>
      <c r="J1629" s="13" t="str">
        <f>HYPERLINK("https://www.airitibooks.com/Detail/Detail?PublicationID=P20180830035", "https://www.airitibooks.com/Detail/Detail?PublicationID=P20180830035")</f>
        <v>https://www.airitibooks.com/Detail/Detail?PublicationID=P20180830035</v>
      </c>
      <c r="K1629" s="13" t="str">
        <f>HYPERLINK("https://ntsu.idm.oclc.org/login?url=https://www.airitibooks.com/Detail/Detail?PublicationID=P20180830035", "https://ntsu.idm.oclc.org/login?url=https://www.airitibooks.com/Detail/Detail?PublicationID=P20180830035")</f>
        <v>https://ntsu.idm.oclc.org/login?url=https://www.airitibooks.com/Detail/Detail?PublicationID=P20180830035</v>
      </c>
    </row>
    <row r="1630" spans="1:11" ht="51" x14ac:dyDescent="0.4">
      <c r="A1630" s="10" t="s">
        <v>9771</v>
      </c>
      <c r="B1630" s="10" t="s">
        <v>9772</v>
      </c>
      <c r="C1630" s="10" t="s">
        <v>240</v>
      </c>
      <c r="D1630" s="10" t="s">
        <v>9770</v>
      </c>
      <c r="E1630" s="10" t="s">
        <v>7391</v>
      </c>
      <c r="F1630" s="10" t="s">
        <v>3741</v>
      </c>
      <c r="G1630" s="10" t="s">
        <v>23</v>
      </c>
      <c r="H1630" s="7" t="s">
        <v>24</v>
      </c>
      <c r="I1630" s="7" t="s">
        <v>25</v>
      </c>
      <c r="J1630" s="13" t="str">
        <f>HYPERLINK("https://www.airitibooks.com/Detail/Detail?PublicationID=P20180830036", "https://www.airitibooks.com/Detail/Detail?PublicationID=P20180830036")</f>
        <v>https://www.airitibooks.com/Detail/Detail?PublicationID=P20180830036</v>
      </c>
      <c r="K1630" s="13" t="str">
        <f>HYPERLINK("https://ntsu.idm.oclc.org/login?url=https://www.airitibooks.com/Detail/Detail?PublicationID=P20180830036", "https://ntsu.idm.oclc.org/login?url=https://www.airitibooks.com/Detail/Detail?PublicationID=P20180830036")</f>
        <v>https://ntsu.idm.oclc.org/login?url=https://www.airitibooks.com/Detail/Detail?PublicationID=P20180830036</v>
      </c>
    </row>
    <row r="1631" spans="1:11" ht="85" x14ac:dyDescent="0.4">
      <c r="A1631" s="10" t="s">
        <v>9779</v>
      </c>
      <c r="B1631" s="10" t="s">
        <v>9780</v>
      </c>
      <c r="C1631" s="10" t="s">
        <v>791</v>
      </c>
      <c r="D1631" s="10" t="s">
        <v>9781</v>
      </c>
      <c r="E1631" s="10" t="s">
        <v>7391</v>
      </c>
      <c r="F1631" s="10" t="s">
        <v>214</v>
      </c>
      <c r="G1631" s="10" t="s">
        <v>23</v>
      </c>
      <c r="H1631" s="7" t="s">
        <v>24</v>
      </c>
      <c r="I1631" s="7" t="s">
        <v>25</v>
      </c>
      <c r="J1631" s="13" t="str">
        <f>HYPERLINK("https://www.airitibooks.com/Detail/Detail?PublicationID=P20180903011", "https://www.airitibooks.com/Detail/Detail?PublicationID=P20180903011")</f>
        <v>https://www.airitibooks.com/Detail/Detail?PublicationID=P20180903011</v>
      </c>
      <c r="K1631" s="13" t="str">
        <f>HYPERLINK("https://ntsu.idm.oclc.org/login?url=https://www.airitibooks.com/Detail/Detail?PublicationID=P20180903011", "https://ntsu.idm.oclc.org/login?url=https://www.airitibooks.com/Detail/Detail?PublicationID=P20180903011")</f>
        <v>https://ntsu.idm.oclc.org/login?url=https://www.airitibooks.com/Detail/Detail?PublicationID=P20180903011</v>
      </c>
    </row>
    <row r="1632" spans="1:11" ht="51" x14ac:dyDescent="0.4">
      <c r="A1632" s="10" t="s">
        <v>9782</v>
      </c>
      <c r="B1632" s="10" t="s">
        <v>9783</v>
      </c>
      <c r="C1632" s="10" t="s">
        <v>3298</v>
      </c>
      <c r="D1632" s="10" t="s">
        <v>9784</v>
      </c>
      <c r="E1632" s="10" t="s">
        <v>7391</v>
      </c>
      <c r="F1632" s="10" t="s">
        <v>9785</v>
      </c>
      <c r="G1632" s="10" t="s">
        <v>23</v>
      </c>
      <c r="H1632" s="7" t="s">
        <v>24</v>
      </c>
      <c r="I1632" s="7" t="s">
        <v>25</v>
      </c>
      <c r="J1632" s="13" t="str">
        <f>HYPERLINK("https://www.airitibooks.com/Detail/Detail?PublicationID=P20180905007", "https://www.airitibooks.com/Detail/Detail?PublicationID=P20180905007")</f>
        <v>https://www.airitibooks.com/Detail/Detail?PublicationID=P20180905007</v>
      </c>
      <c r="K1632" s="13" t="str">
        <f>HYPERLINK("https://ntsu.idm.oclc.org/login?url=https://www.airitibooks.com/Detail/Detail?PublicationID=P20180905007", "https://ntsu.idm.oclc.org/login?url=https://www.airitibooks.com/Detail/Detail?PublicationID=P20180905007")</f>
        <v>https://ntsu.idm.oclc.org/login?url=https://www.airitibooks.com/Detail/Detail?PublicationID=P20180905007</v>
      </c>
    </row>
    <row r="1633" spans="1:11" ht="51" x14ac:dyDescent="0.4">
      <c r="A1633" s="10" t="s">
        <v>9840</v>
      </c>
      <c r="B1633" s="10" t="s">
        <v>9841</v>
      </c>
      <c r="C1633" s="10" t="s">
        <v>791</v>
      </c>
      <c r="D1633" s="10" t="s">
        <v>9842</v>
      </c>
      <c r="E1633" s="10" t="s">
        <v>7391</v>
      </c>
      <c r="F1633" s="10" t="s">
        <v>1599</v>
      </c>
      <c r="G1633" s="10" t="s">
        <v>23</v>
      </c>
      <c r="H1633" s="7" t="s">
        <v>24</v>
      </c>
      <c r="I1633" s="7" t="s">
        <v>25</v>
      </c>
      <c r="J1633" s="13" t="str">
        <f>HYPERLINK("https://www.airitibooks.com/Detail/Detail?PublicationID=P20180919003", "https://www.airitibooks.com/Detail/Detail?PublicationID=P20180919003")</f>
        <v>https://www.airitibooks.com/Detail/Detail?PublicationID=P20180919003</v>
      </c>
      <c r="K1633" s="13" t="str">
        <f>HYPERLINK("https://ntsu.idm.oclc.org/login?url=https://www.airitibooks.com/Detail/Detail?PublicationID=P20180919003", "https://ntsu.idm.oclc.org/login?url=https://www.airitibooks.com/Detail/Detail?PublicationID=P20180919003")</f>
        <v>https://ntsu.idm.oclc.org/login?url=https://www.airitibooks.com/Detail/Detail?PublicationID=P20180919003</v>
      </c>
    </row>
    <row r="1634" spans="1:11" ht="51" x14ac:dyDescent="0.4">
      <c r="A1634" s="10" t="s">
        <v>9855</v>
      </c>
      <c r="B1634" s="10" t="s">
        <v>9856</v>
      </c>
      <c r="C1634" s="10" t="s">
        <v>1966</v>
      </c>
      <c r="D1634" s="10" t="s">
        <v>9857</v>
      </c>
      <c r="E1634" s="10" t="s">
        <v>7391</v>
      </c>
      <c r="F1634" s="10" t="s">
        <v>565</v>
      </c>
      <c r="G1634" s="10" t="s">
        <v>23</v>
      </c>
      <c r="H1634" s="7" t="s">
        <v>24</v>
      </c>
      <c r="I1634" s="7" t="s">
        <v>25</v>
      </c>
      <c r="J1634" s="13" t="str">
        <f>HYPERLINK("https://www.airitibooks.com/Detail/Detail?PublicationID=P20181004033", "https://www.airitibooks.com/Detail/Detail?PublicationID=P20181004033")</f>
        <v>https://www.airitibooks.com/Detail/Detail?PublicationID=P20181004033</v>
      </c>
      <c r="K1634" s="13" t="str">
        <f>HYPERLINK("https://ntsu.idm.oclc.org/login?url=https://www.airitibooks.com/Detail/Detail?PublicationID=P20181004033", "https://ntsu.idm.oclc.org/login?url=https://www.airitibooks.com/Detail/Detail?PublicationID=P20181004033")</f>
        <v>https://ntsu.idm.oclc.org/login?url=https://www.airitibooks.com/Detail/Detail?PublicationID=P20181004033</v>
      </c>
    </row>
    <row r="1635" spans="1:11" ht="51" x14ac:dyDescent="0.4">
      <c r="A1635" s="10" t="s">
        <v>9861</v>
      </c>
      <c r="B1635" s="10" t="s">
        <v>9862</v>
      </c>
      <c r="C1635" s="10" t="s">
        <v>2731</v>
      </c>
      <c r="D1635" s="10" t="s">
        <v>9863</v>
      </c>
      <c r="E1635" s="10" t="s">
        <v>7391</v>
      </c>
      <c r="F1635" s="10" t="s">
        <v>9864</v>
      </c>
      <c r="G1635" s="10" t="s">
        <v>23</v>
      </c>
      <c r="H1635" s="7" t="s">
        <v>2593</v>
      </c>
      <c r="I1635" s="7" t="s">
        <v>25</v>
      </c>
      <c r="J1635" s="13" t="str">
        <f>HYPERLINK("https://www.airitibooks.com/Detail/Detail?PublicationID=P20181004036", "https://www.airitibooks.com/Detail/Detail?PublicationID=P20181004036")</f>
        <v>https://www.airitibooks.com/Detail/Detail?PublicationID=P20181004036</v>
      </c>
      <c r="K1635" s="13" t="str">
        <f>HYPERLINK("https://ntsu.idm.oclc.org/login?url=https://www.airitibooks.com/Detail/Detail?PublicationID=P20181004036", "https://ntsu.idm.oclc.org/login?url=https://www.airitibooks.com/Detail/Detail?PublicationID=P20181004036")</f>
        <v>https://ntsu.idm.oclc.org/login?url=https://www.airitibooks.com/Detail/Detail?PublicationID=P20181004036</v>
      </c>
    </row>
    <row r="1636" spans="1:11" ht="51" x14ac:dyDescent="0.4">
      <c r="A1636" s="10" t="s">
        <v>9980</v>
      </c>
      <c r="B1636" s="10" t="s">
        <v>9981</v>
      </c>
      <c r="C1636" s="10" t="s">
        <v>938</v>
      </c>
      <c r="D1636" s="10" t="s">
        <v>9982</v>
      </c>
      <c r="E1636" s="10" t="s">
        <v>7391</v>
      </c>
      <c r="F1636" s="10" t="s">
        <v>2484</v>
      </c>
      <c r="G1636" s="10" t="s">
        <v>23</v>
      </c>
      <c r="H1636" s="7" t="s">
        <v>24</v>
      </c>
      <c r="I1636" s="7" t="s">
        <v>25</v>
      </c>
      <c r="J1636" s="13" t="str">
        <f>HYPERLINK("https://www.airitibooks.com/Detail/Detail?PublicationID=P20181105008", "https://www.airitibooks.com/Detail/Detail?PublicationID=P20181105008")</f>
        <v>https://www.airitibooks.com/Detail/Detail?PublicationID=P20181105008</v>
      </c>
      <c r="K1636" s="13" t="str">
        <f>HYPERLINK("https://ntsu.idm.oclc.org/login?url=https://www.airitibooks.com/Detail/Detail?PublicationID=P20181105008", "https://ntsu.idm.oclc.org/login?url=https://www.airitibooks.com/Detail/Detail?PublicationID=P20181105008")</f>
        <v>https://ntsu.idm.oclc.org/login?url=https://www.airitibooks.com/Detail/Detail?PublicationID=P20181105008</v>
      </c>
    </row>
    <row r="1637" spans="1:11" ht="51" x14ac:dyDescent="0.4">
      <c r="A1637" s="10" t="s">
        <v>9983</v>
      </c>
      <c r="B1637" s="10" t="s">
        <v>9984</v>
      </c>
      <c r="C1637" s="10" t="s">
        <v>938</v>
      </c>
      <c r="D1637" s="10" t="s">
        <v>5247</v>
      </c>
      <c r="E1637" s="10" t="s">
        <v>7391</v>
      </c>
      <c r="F1637" s="10" t="s">
        <v>2484</v>
      </c>
      <c r="G1637" s="10" t="s">
        <v>23</v>
      </c>
      <c r="H1637" s="7" t="s">
        <v>24</v>
      </c>
      <c r="I1637" s="7" t="s">
        <v>25</v>
      </c>
      <c r="J1637" s="13" t="str">
        <f>HYPERLINK("https://www.airitibooks.com/Detail/Detail?PublicationID=P20181105010", "https://www.airitibooks.com/Detail/Detail?PublicationID=P20181105010")</f>
        <v>https://www.airitibooks.com/Detail/Detail?PublicationID=P20181105010</v>
      </c>
      <c r="K1637" s="13" t="str">
        <f>HYPERLINK("https://ntsu.idm.oclc.org/login?url=https://www.airitibooks.com/Detail/Detail?PublicationID=P20181105010", "https://ntsu.idm.oclc.org/login?url=https://www.airitibooks.com/Detail/Detail?PublicationID=P20181105010")</f>
        <v>https://ntsu.idm.oclc.org/login?url=https://www.airitibooks.com/Detail/Detail?PublicationID=P20181105010</v>
      </c>
    </row>
    <row r="1638" spans="1:11" ht="51" x14ac:dyDescent="0.4">
      <c r="A1638" s="10" t="s">
        <v>10004</v>
      </c>
      <c r="B1638" s="10" t="s">
        <v>10005</v>
      </c>
      <c r="C1638" s="10" t="s">
        <v>938</v>
      </c>
      <c r="D1638" s="10" t="s">
        <v>5269</v>
      </c>
      <c r="E1638" s="10" t="s">
        <v>7391</v>
      </c>
      <c r="F1638" s="10" t="s">
        <v>359</v>
      </c>
      <c r="G1638" s="10" t="s">
        <v>23</v>
      </c>
      <c r="H1638" s="7" t="s">
        <v>24</v>
      </c>
      <c r="I1638" s="7" t="s">
        <v>25</v>
      </c>
      <c r="J1638" s="13" t="str">
        <f>HYPERLINK("https://www.airitibooks.com/Detail/Detail?PublicationID=P20181112002", "https://www.airitibooks.com/Detail/Detail?PublicationID=P20181112002")</f>
        <v>https://www.airitibooks.com/Detail/Detail?PublicationID=P20181112002</v>
      </c>
      <c r="K1638" s="13" t="str">
        <f>HYPERLINK("https://ntsu.idm.oclc.org/login?url=https://www.airitibooks.com/Detail/Detail?PublicationID=P20181112002", "https://ntsu.idm.oclc.org/login?url=https://www.airitibooks.com/Detail/Detail?PublicationID=P20181112002")</f>
        <v>https://ntsu.idm.oclc.org/login?url=https://www.airitibooks.com/Detail/Detail?PublicationID=P20181112002</v>
      </c>
    </row>
    <row r="1639" spans="1:11" ht="51" x14ac:dyDescent="0.4">
      <c r="A1639" s="10" t="s">
        <v>10087</v>
      </c>
      <c r="B1639" s="10" t="s">
        <v>10088</v>
      </c>
      <c r="C1639" s="10" t="s">
        <v>938</v>
      </c>
      <c r="D1639" s="10" t="s">
        <v>3907</v>
      </c>
      <c r="E1639" s="10" t="s">
        <v>7391</v>
      </c>
      <c r="F1639" s="10" t="s">
        <v>1646</v>
      </c>
      <c r="G1639" s="10" t="s">
        <v>23</v>
      </c>
      <c r="H1639" s="7" t="s">
        <v>24</v>
      </c>
      <c r="I1639" s="7" t="s">
        <v>25</v>
      </c>
      <c r="J1639" s="13" t="str">
        <f>HYPERLINK("https://www.airitibooks.com/Detail/Detail?PublicationID=P20181115001", "https://www.airitibooks.com/Detail/Detail?PublicationID=P20181115001")</f>
        <v>https://www.airitibooks.com/Detail/Detail?PublicationID=P20181115001</v>
      </c>
      <c r="K1639" s="13" t="str">
        <f>HYPERLINK("https://ntsu.idm.oclc.org/login?url=https://www.airitibooks.com/Detail/Detail?PublicationID=P20181115001", "https://ntsu.idm.oclc.org/login?url=https://www.airitibooks.com/Detail/Detail?PublicationID=P20181115001")</f>
        <v>https://ntsu.idm.oclc.org/login?url=https://www.airitibooks.com/Detail/Detail?PublicationID=P20181115001</v>
      </c>
    </row>
    <row r="1640" spans="1:11" ht="51" x14ac:dyDescent="0.4">
      <c r="A1640" s="10" t="s">
        <v>10100</v>
      </c>
      <c r="B1640" s="10" t="s">
        <v>10101</v>
      </c>
      <c r="C1640" s="10" t="s">
        <v>938</v>
      </c>
      <c r="D1640" s="10" t="s">
        <v>10102</v>
      </c>
      <c r="E1640" s="10" t="s">
        <v>7391</v>
      </c>
      <c r="F1640" s="10" t="s">
        <v>1646</v>
      </c>
      <c r="G1640" s="10" t="s">
        <v>23</v>
      </c>
      <c r="H1640" s="7" t="s">
        <v>24</v>
      </c>
      <c r="I1640" s="7" t="s">
        <v>25</v>
      </c>
      <c r="J1640" s="13" t="str">
        <f>HYPERLINK("https://www.airitibooks.com/Detail/Detail?PublicationID=P20181115014", "https://www.airitibooks.com/Detail/Detail?PublicationID=P20181115014")</f>
        <v>https://www.airitibooks.com/Detail/Detail?PublicationID=P20181115014</v>
      </c>
      <c r="K1640" s="13" t="str">
        <f>HYPERLINK("https://ntsu.idm.oclc.org/login?url=https://www.airitibooks.com/Detail/Detail?PublicationID=P20181115014", "https://ntsu.idm.oclc.org/login?url=https://www.airitibooks.com/Detail/Detail?PublicationID=P20181115014")</f>
        <v>https://ntsu.idm.oclc.org/login?url=https://www.airitibooks.com/Detail/Detail?PublicationID=P20181115014</v>
      </c>
    </row>
    <row r="1641" spans="1:11" ht="51" x14ac:dyDescent="0.4">
      <c r="A1641" s="10" t="s">
        <v>10103</v>
      </c>
      <c r="B1641" s="10" t="s">
        <v>10104</v>
      </c>
      <c r="C1641" s="10" t="s">
        <v>938</v>
      </c>
      <c r="D1641" s="10" t="s">
        <v>5294</v>
      </c>
      <c r="E1641" s="10" t="s">
        <v>7391</v>
      </c>
      <c r="F1641" s="10" t="s">
        <v>7849</v>
      </c>
      <c r="G1641" s="10" t="s">
        <v>23</v>
      </c>
      <c r="H1641" s="7" t="s">
        <v>24</v>
      </c>
      <c r="I1641" s="7" t="s">
        <v>25</v>
      </c>
      <c r="J1641" s="13" t="str">
        <f>HYPERLINK("https://www.airitibooks.com/Detail/Detail?PublicationID=P20181115015", "https://www.airitibooks.com/Detail/Detail?PublicationID=P20181115015")</f>
        <v>https://www.airitibooks.com/Detail/Detail?PublicationID=P20181115015</v>
      </c>
      <c r="K1641" s="13" t="str">
        <f>HYPERLINK("https://ntsu.idm.oclc.org/login?url=https://www.airitibooks.com/Detail/Detail?PublicationID=P20181115015", "https://ntsu.idm.oclc.org/login?url=https://www.airitibooks.com/Detail/Detail?PublicationID=P20181115015")</f>
        <v>https://ntsu.idm.oclc.org/login?url=https://www.airitibooks.com/Detail/Detail?PublicationID=P20181115015</v>
      </c>
    </row>
    <row r="1642" spans="1:11" ht="85" x14ac:dyDescent="0.4">
      <c r="A1642" s="10" t="s">
        <v>10340</v>
      </c>
      <c r="B1642" s="10" t="s">
        <v>10341</v>
      </c>
      <c r="C1642" s="10" t="s">
        <v>3919</v>
      </c>
      <c r="D1642" s="10" t="s">
        <v>10342</v>
      </c>
      <c r="E1642" s="10" t="s">
        <v>7391</v>
      </c>
      <c r="F1642" s="10" t="s">
        <v>3921</v>
      </c>
      <c r="G1642" s="10" t="s">
        <v>23</v>
      </c>
      <c r="H1642" s="7" t="s">
        <v>24</v>
      </c>
      <c r="I1642" s="7" t="s">
        <v>25</v>
      </c>
      <c r="J1642" s="13" t="str">
        <f>HYPERLINK("https://www.airitibooks.com/Detail/Detail?PublicationID=P20181206008", "https://www.airitibooks.com/Detail/Detail?PublicationID=P20181206008")</f>
        <v>https://www.airitibooks.com/Detail/Detail?PublicationID=P20181206008</v>
      </c>
      <c r="K1642" s="13" t="str">
        <f>HYPERLINK("https://ntsu.idm.oclc.org/login?url=https://www.airitibooks.com/Detail/Detail?PublicationID=P20181206008", "https://ntsu.idm.oclc.org/login?url=https://www.airitibooks.com/Detail/Detail?PublicationID=P20181206008")</f>
        <v>https://ntsu.idm.oclc.org/login?url=https://www.airitibooks.com/Detail/Detail?PublicationID=P20181206008</v>
      </c>
    </row>
    <row r="1643" spans="1:11" ht="51" x14ac:dyDescent="0.4">
      <c r="A1643" s="10" t="s">
        <v>10363</v>
      </c>
      <c r="B1643" s="10" t="s">
        <v>10364</v>
      </c>
      <c r="C1643" s="10" t="s">
        <v>1034</v>
      </c>
      <c r="D1643" s="10" t="s">
        <v>10365</v>
      </c>
      <c r="E1643" s="10" t="s">
        <v>7391</v>
      </c>
      <c r="F1643" s="10" t="s">
        <v>7849</v>
      </c>
      <c r="G1643" s="10" t="s">
        <v>23</v>
      </c>
      <c r="H1643" s="7" t="s">
        <v>24</v>
      </c>
      <c r="I1643" s="7" t="s">
        <v>25</v>
      </c>
      <c r="J1643" s="13" t="str">
        <f>HYPERLINK("https://www.airitibooks.com/Detail/Detail?PublicationID=P20181220001", "https://www.airitibooks.com/Detail/Detail?PublicationID=P20181220001")</f>
        <v>https://www.airitibooks.com/Detail/Detail?PublicationID=P20181220001</v>
      </c>
      <c r="K1643" s="13" t="str">
        <f>HYPERLINK("https://ntsu.idm.oclc.org/login?url=https://www.airitibooks.com/Detail/Detail?PublicationID=P20181220001", "https://ntsu.idm.oclc.org/login?url=https://www.airitibooks.com/Detail/Detail?PublicationID=P20181220001")</f>
        <v>https://ntsu.idm.oclc.org/login?url=https://www.airitibooks.com/Detail/Detail?PublicationID=P20181220001</v>
      </c>
    </row>
    <row r="1644" spans="1:11" ht="51" x14ac:dyDescent="0.4">
      <c r="A1644" s="10" t="s">
        <v>10397</v>
      </c>
      <c r="B1644" s="10" t="s">
        <v>10398</v>
      </c>
      <c r="C1644" s="10" t="s">
        <v>938</v>
      </c>
      <c r="D1644" s="10" t="s">
        <v>10102</v>
      </c>
      <c r="E1644" s="10" t="s">
        <v>7391</v>
      </c>
      <c r="F1644" s="10" t="s">
        <v>1646</v>
      </c>
      <c r="G1644" s="10" t="s">
        <v>23</v>
      </c>
      <c r="H1644" s="7" t="s">
        <v>24</v>
      </c>
      <c r="I1644" s="7" t="s">
        <v>25</v>
      </c>
      <c r="J1644" s="13" t="str">
        <f>HYPERLINK("https://www.airitibooks.com/Detail/Detail?PublicationID=P20181221003", "https://www.airitibooks.com/Detail/Detail?PublicationID=P20181221003")</f>
        <v>https://www.airitibooks.com/Detail/Detail?PublicationID=P20181221003</v>
      </c>
      <c r="K1644" s="13" t="str">
        <f>HYPERLINK("https://ntsu.idm.oclc.org/login?url=https://www.airitibooks.com/Detail/Detail?PublicationID=P20181221003", "https://ntsu.idm.oclc.org/login?url=https://www.airitibooks.com/Detail/Detail?PublicationID=P20181221003")</f>
        <v>https://ntsu.idm.oclc.org/login?url=https://www.airitibooks.com/Detail/Detail?PublicationID=P20181221003</v>
      </c>
    </row>
    <row r="1645" spans="1:11" ht="51" x14ac:dyDescent="0.4">
      <c r="A1645" s="10" t="s">
        <v>10424</v>
      </c>
      <c r="B1645" s="10" t="s">
        <v>10425</v>
      </c>
      <c r="C1645" s="10" t="s">
        <v>1034</v>
      </c>
      <c r="D1645" s="10" t="s">
        <v>10426</v>
      </c>
      <c r="E1645" s="10" t="s">
        <v>7391</v>
      </c>
      <c r="F1645" s="10" t="s">
        <v>1646</v>
      </c>
      <c r="G1645" s="10" t="s">
        <v>23</v>
      </c>
      <c r="H1645" s="7" t="s">
        <v>7839</v>
      </c>
      <c r="I1645" s="7" t="s">
        <v>25</v>
      </c>
      <c r="J1645" s="13" t="str">
        <f>HYPERLINK("https://www.airitibooks.com/Detail/Detail?PublicationID=P20181221051", "https://www.airitibooks.com/Detail/Detail?PublicationID=P20181221051")</f>
        <v>https://www.airitibooks.com/Detail/Detail?PublicationID=P20181221051</v>
      </c>
      <c r="K1645" s="13" t="str">
        <f>HYPERLINK("https://ntsu.idm.oclc.org/login?url=https://www.airitibooks.com/Detail/Detail?PublicationID=P20181221051", "https://ntsu.idm.oclc.org/login?url=https://www.airitibooks.com/Detail/Detail?PublicationID=P20181221051")</f>
        <v>https://ntsu.idm.oclc.org/login?url=https://www.airitibooks.com/Detail/Detail?PublicationID=P20181221051</v>
      </c>
    </row>
    <row r="1646" spans="1:11" ht="51" x14ac:dyDescent="0.4">
      <c r="A1646" s="10" t="s">
        <v>10427</v>
      </c>
      <c r="B1646" s="10" t="s">
        <v>10428</v>
      </c>
      <c r="C1646" s="10" t="s">
        <v>1034</v>
      </c>
      <c r="D1646" s="10" t="s">
        <v>10429</v>
      </c>
      <c r="E1646" s="10" t="s">
        <v>7391</v>
      </c>
      <c r="F1646" s="10" t="s">
        <v>2484</v>
      </c>
      <c r="G1646" s="10" t="s">
        <v>23</v>
      </c>
      <c r="H1646" s="7" t="s">
        <v>24</v>
      </c>
      <c r="I1646" s="7" t="s">
        <v>25</v>
      </c>
      <c r="J1646" s="13" t="str">
        <f>HYPERLINK("https://www.airitibooks.com/Detail/Detail?PublicationID=P20181221053", "https://www.airitibooks.com/Detail/Detail?PublicationID=P20181221053")</f>
        <v>https://www.airitibooks.com/Detail/Detail?PublicationID=P20181221053</v>
      </c>
      <c r="K1646" s="13" t="str">
        <f>HYPERLINK("https://ntsu.idm.oclc.org/login?url=https://www.airitibooks.com/Detail/Detail?PublicationID=P20181221053", "https://ntsu.idm.oclc.org/login?url=https://www.airitibooks.com/Detail/Detail?PublicationID=P20181221053")</f>
        <v>https://ntsu.idm.oclc.org/login?url=https://www.airitibooks.com/Detail/Detail?PublicationID=P20181221053</v>
      </c>
    </row>
    <row r="1647" spans="1:11" ht="51" x14ac:dyDescent="0.4">
      <c r="A1647" s="10" t="s">
        <v>10430</v>
      </c>
      <c r="B1647" s="10" t="s">
        <v>10431</v>
      </c>
      <c r="C1647" s="10" t="s">
        <v>1034</v>
      </c>
      <c r="D1647" s="10" t="s">
        <v>10432</v>
      </c>
      <c r="E1647" s="10" t="s">
        <v>7391</v>
      </c>
      <c r="F1647" s="10" t="s">
        <v>1646</v>
      </c>
      <c r="G1647" s="10" t="s">
        <v>23</v>
      </c>
      <c r="H1647" s="7" t="s">
        <v>7839</v>
      </c>
      <c r="I1647" s="7" t="s">
        <v>25</v>
      </c>
      <c r="J1647" s="13" t="str">
        <f>HYPERLINK("https://www.airitibooks.com/Detail/Detail?PublicationID=P20181221054", "https://www.airitibooks.com/Detail/Detail?PublicationID=P20181221054")</f>
        <v>https://www.airitibooks.com/Detail/Detail?PublicationID=P20181221054</v>
      </c>
      <c r="K1647" s="13" t="str">
        <f>HYPERLINK("https://ntsu.idm.oclc.org/login?url=https://www.airitibooks.com/Detail/Detail?PublicationID=P20181221054", "https://ntsu.idm.oclc.org/login?url=https://www.airitibooks.com/Detail/Detail?PublicationID=P20181221054")</f>
        <v>https://ntsu.idm.oclc.org/login?url=https://www.airitibooks.com/Detail/Detail?PublicationID=P20181221054</v>
      </c>
    </row>
    <row r="1648" spans="1:11" ht="153" x14ac:dyDescent="0.4">
      <c r="A1648" s="10" t="s">
        <v>10436</v>
      </c>
      <c r="B1648" s="10" t="s">
        <v>10437</v>
      </c>
      <c r="C1648" s="10" t="s">
        <v>791</v>
      </c>
      <c r="D1648" s="10" t="s">
        <v>10438</v>
      </c>
      <c r="E1648" s="10" t="s">
        <v>7391</v>
      </c>
      <c r="F1648" s="10" t="s">
        <v>10439</v>
      </c>
      <c r="G1648" s="10" t="s">
        <v>23</v>
      </c>
      <c r="H1648" s="7" t="s">
        <v>7839</v>
      </c>
      <c r="I1648" s="7" t="s">
        <v>25</v>
      </c>
      <c r="J1648" s="13" t="str">
        <f>HYPERLINK("https://www.airitibooks.com/Detail/Detail?PublicationID=P20181221056", "https://www.airitibooks.com/Detail/Detail?PublicationID=P20181221056")</f>
        <v>https://www.airitibooks.com/Detail/Detail?PublicationID=P20181221056</v>
      </c>
      <c r="K1648" s="13" t="str">
        <f>HYPERLINK("https://ntsu.idm.oclc.org/login?url=https://www.airitibooks.com/Detail/Detail?PublicationID=P20181221056", "https://ntsu.idm.oclc.org/login?url=https://www.airitibooks.com/Detail/Detail?PublicationID=P20181221056")</f>
        <v>https://ntsu.idm.oclc.org/login?url=https://www.airitibooks.com/Detail/Detail?PublicationID=P20181221056</v>
      </c>
    </row>
    <row r="1649" spans="1:11" ht="68" x14ac:dyDescent="0.4">
      <c r="A1649" s="10" t="s">
        <v>10440</v>
      </c>
      <c r="B1649" s="10" t="s">
        <v>10441</v>
      </c>
      <c r="C1649" s="10" t="s">
        <v>791</v>
      </c>
      <c r="D1649" s="10" t="s">
        <v>449</v>
      </c>
      <c r="E1649" s="10" t="s">
        <v>7391</v>
      </c>
      <c r="F1649" s="10" t="s">
        <v>720</v>
      </c>
      <c r="G1649" s="10" t="s">
        <v>23</v>
      </c>
      <c r="H1649" s="7" t="s">
        <v>7839</v>
      </c>
      <c r="I1649" s="7" t="s">
        <v>25</v>
      </c>
      <c r="J1649" s="13" t="str">
        <f>HYPERLINK("https://www.airitibooks.com/Detail/Detail?PublicationID=P20181221057", "https://www.airitibooks.com/Detail/Detail?PublicationID=P20181221057")</f>
        <v>https://www.airitibooks.com/Detail/Detail?PublicationID=P20181221057</v>
      </c>
      <c r="K1649" s="13" t="str">
        <f>HYPERLINK("https://ntsu.idm.oclc.org/login?url=https://www.airitibooks.com/Detail/Detail?PublicationID=P20181221057", "https://ntsu.idm.oclc.org/login?url=https://www.airitibooks.com/Detail/Detail?PublicationID=P20181221057")</f>
        <v>https://ntsu.idm.oclc.org/login?url=https://www.airitibooks.com/Detail/Detail?PublicationID=P20181221057</v>
      </c>
    </row>
    <row r="1650" spans="1:11" ht="68" x14ac:dyDescent="0.4">
      <c r="A1650" s="10" t="s">
        <v>10442</v>
      </c>
      <c r="B1650" s="10" t="s">
        <v>10443</v>
      </c>
      <c r="C1650" s="10" t="s">
        <v>791</v>
      </c>
      <c r="D1650" s="10" t="s">
        <v>10444</v>
      </c>
      <c r="E1650" s="10" t="s">
        <v>7391</v>
      </c>
      <c r="F1650" s="10" t="s">
        <v>793</v>
      </c>
      <c r="G1650" s="10" t="s">
        <v>23</v>
      </c>
      <c r="H1650" s="7" t="s">
        <v>24</v>
      </c>
      <c r="I1650" s="7" t="s">
        <v>25</v>
      </c>
      <c r="J1650" s="13" t="str">
        <f>HYPERLINK("https://www.airitibooks.com/Detail/Detail?PublicationID=P20181221058", "https://www.airitibooks.com/Detail/Detail?PublicationID=P20181221058")</f>
        <v>https://www.airitibooks.com/Detail/Detail?PublicationID=P20181221058</v>
      </c>
      <c r="K1650" s="13" t="str">
        <f>HYPERLINK("https://ntsu.idm.oclc.org/login?url=https://www.airitibooks.com/Detail/Detail?PublicationID=P20181221058", "https://ntsu.idm.oclc.org/login?url=https://www.airitibooks.com/Detail/Detail?PublicationID=P20181221058")</f>
        <v>https://ntsu.idm.oclc.org/login?url=https://www.airitibooks.com/Detail/Detail?PublicationID=P20181221058</v>
      </c>
    </row>
    <row r="1651" spans="1:11" ht="51" x14ac:dyDescent="0.4">
      <c r="A1651" s="10" t="s">
        <v>10453</v>
      </c>
      <c r="B1651" s="10" t="s">
        <v>10454</v>
      </c>
      <c r="C1651" s="10" t="s">
        <v>428</v>
      </c>
      <c r="D1651" s="10" t="s">
        <v>10455</v>
      </c>
      <c r="E1651" s="10" t="s">
        <v>7391</v>
      </c>
      <c r="F1651" s="10" t="s">
        <v>1994</v>
      </c>
      <c r="G1651" s="10" t="s">
        <v>23</v>
      </c>
      <c r="H1651" s="7" t="s">
        <v>24</v>
      </c>
      <c r="I1651" s="7" t="s">
        <v>25</v>
      </c>
      <c r="J1651" s="13" t="str">
        <f>HYPERLINK("https://www.airitibooks.com/Detail/Detail?PublicationID=P20181221066", "https://www.airitibooks.com/Detail/Detail?PublicationID=P20181221066")</f>
        <v>https://www.airitibooks.com/Detail/Detail?PublicationID=P20181221066</v>
      </c>
      <c r="K1651" s="13" t="str">
        <f>HYPERLINK("https://ntsu.idm.oclc.org/login?url=https://www.airitibooks.com/Detail/Detail?PublicationID=P20181221066", "https://ntsu.idm.oclc.org/login?url=https://www.airitibooks.com/Detail/Detail?PublicationID=P20181221066")</f>
        <v>https://ntsu.idm.oclc.org/login?url=https://www.airitibooks.com/Detail/Detail?PublicationID=P20181221066</v>
      </c>
    </row>
    <row r="1652" spans="1:11" ht="51" x14ac:dyDescent="0.4">
      <c r="A1652" s="10" t="s">
        <v>10456</v>
      </c>
      <c r="B1652" s="10" t="s">
        <v>10457</v>
      </c>
      <c r="C1652" s="10" t="s">
        <v>428</v>
      </c>
      <c r="D1652" s="10" t="s">
        <v>10455</v>
      </c>
      <c r="E1652" s="10" t="s">
        <v>7391</v>
      </c>
      <c r="F1652" s="10" t="s">
        <v>1994</v>
      </c>
      <c r="G1652" s="10" t="s">
        <v>23</v>
      </c>
      <c r="H1652" s="7" t="s">
        <v>24</v>
      </c>
      <c r="I1652" s="7" t="s">
        <v>25</v>
      </c>
      <c r="J1652" s="13" t="str">
        <f>HYPERLINK("https://www.airitibooks.com/Detail/Detail?PublicationID=P20181221067", "https://www.airitibooks.com/Detail/Detail?PublicationID=P20181221067")</f>
        <v>https://www.airitibooks.com/Detail/Detail?PublicationID=P20181221067</v>
      </c>
      <c r="K1652" s="13" t="str">
        <f>HYPERLINK("https://ntsu.idm.oclc.org/login?url=https://www.airitibooks.com/Detail/Detail?PublicationID=P20181221067", "https://ntsu.idm.oclc.org/login?url=https://www.airitibooks.com/Detail/Detail?PublicationID=P20181221067")</f>
        <v>https://ntsu.idm.oclc.org/login?url=https://www.airitibooks.com/Detail/Detail?PublicationID=P20181221067</v>
      </c>
    </row>
    <row r="1653" spans="1:11" ht="51" x14ac:dyDescent="0.4">
      <c r="A1653" s="10" t="s">
        <v>10460</v>
      </c>
      <c r="B1653" s="10" t="s">
        <v>10461</v>
      </c>
      <c r="C1653" s="10" t="s">
        <v>212</v>
      </c>
      <c r="D1653" s="10" t="s">
        <v>671</v>
      </c>
      <c r="E1653" s="10" t="s">
        <v>7391</v>
      </c>
      <c r="F1653" s="10" t="s">
        <v>5154</v>
      </c>
      <c r="G1653" s="10" t="s">
        <v>23</v>
      </c>
      <c r="H1653" s="7" t="s">
        <v>24</v>
      </c>
      <c r="I1653" s="7" t="s">
        <v>25</v>
      </c>
      <c r="J1653" s="13" t="str">
        <f>HYPERLINK("https://www.airitibooks.com/Detail/Detail?PublicationID=P20181221091", "https://www.airitibooks.com/Detail/Detail?PublicationID=P20181221091")</f>
        <v>https://www.airitibooks.com/Detail/Detail?PublicationID=P20181221091</v>
      </c>
      <c r="K1653" s="13" t="str">
        <f>HYPERLINK("https://ntsu.idm.oclc.org/login?url=https://www.airitibooks.com/Detail/Detail?PublicationID=P20181221091", "https://ntsu.idm.oclc.org/login?url=https://www.airitibooks.com/Detail/Detail?PublicationID=P20181221091")</f>
        <v>https://ntsu.idm.oclc.org/login?url=https://www.airitibooks.com/Detail/Detail?PublicationID=P20181221091</v>
      </c>
    </row>
    <row r="1654" spans="1:11" ht="51" x14ac:dyDescent="0.4">
      <c r="A1654" s="10" t="s">
        <v>10462</v>
      </c>
      <c r="B1654" s="10" t="s">
        <v>10463</v>
      </c>
      <c r="C1654" s="10" t="s">
        <v>212</v>
      </c>
      <c r="D1654" s="10" t="s">
        <v>671</v>
      </c>
      <c r="E1654" s="10" t="s">
        <v>7391</v>
      </c>
      <c r="F1654" s="10" t="s">
        <v>1122</v>
      </c>
      <c r="G1654" s="10" t="s">
        <v>23</v>
      </c>
      <c r="H1654" s="7" t="s">
        <v>24</v>
      </c>
      <c r="I1654" s="7" t="s">
        <v>25</v>
      </c>
      <c r="J1654" s="13" t="str">
        <f>HYPERLINK("https://www.airitibooks.com/Detail/Detail?PublicationID=P20181221093", "https://www.airitibooks.com/Detail/Detail?PublicationID=P20181221093")</f>
        <v>https://www.airitibooks.com/Detail/Detail?PublicationID=P20181221093</v>
      </c>
      <c r="K1654" s="13" t="str">
        <f>HYPERLINK("https://ntsu.idm.oclc.org/login?url=https://www.airitibooks.com/Detail/Detail?PublicationID=P20181221093", "https://ntsu.idm.oclc.org/login?url=https://www.airitibooks.com/Detail/Detail?PublicationID=P20181221093")</f>
        <v>https://ntsu.idm.oclc.org/login?url=https://www.airitibooks.com/Detail/Detail?PublicationID=P20181221093</v>
      </c>
    </row>
    <row r="1655" spans="1:11" ht="51" x14ac:dyDescent="0.4">
      <c r="A1655" s="10" t="s">
        <v>10484</v>
      </c>
      <c r="B1655" s="10" t="s">
        <v>10485</v>
      </c>
      <c r="C1655" s="10" t="s">
        <v>544</v>
      </c>
      <c r="D1655" s="10" t="s">
        <v>10486</v>
      </c>
      <c r="E1655" s="10" t="s">
        <v>7391</v>
      </c>
      <c r="F1655" s="10" t="s">
        <v>10487</v>
      </c>
      <c r="G1655" s="10" t="s">
        <v>23</v>
      </c>
      <c r="H1655" s="7" t="s">
        <v>24</v>
      </c>
      <c r="I1655" s="7" t="s">
        <v>25</v>
      </c>
      <c r="J1655" s="13" t="str">
        <f>HYPERLINK("https://www.airitibooks.com/Detail/Detail?PublicationID=P20181224009", "https://www.airitibooks.com/Detail/Detail?PublicationID=P20181224009")</f>
        <v>https://www.airitibooks.com/Detail/Detail?PublicationID=P20181224009</v>
      </c>
      <c r="K1655" s="13" t="str">
        <f>HYPERLINK("https://ntsu.idm.oclc.org/login?url=https://www.airitibooks.com/Detail/Detail?PublicationID=P20181224009", "https://ntsu.idm.oclc.org/login?url=https://www.airitibooks.com/Detail/Detail?PublicationID=P20181224009")</f>
        <v>https://ntsu.idm.oclc.org/login?url=https://www.airitibooks.com/Detail/Detail?PublicationID=P20181224009</v>
      </c>
    </row>
    <row r="1656" spans="1:11" ht="51" x14ac:dyDescent="0.4">
      <c r="A1656" s="10" t="s">
        <v>10491</v>
      </c>
      <c r="B1656" s="10" t="s">
        <v>10492</v>
      </c>
      <c r="C1656" s="10" t="s">
        <v>544</v>
      </c>
      <c r="D1656" s="10" t="s">
        <v>10493</v>
      </c>
      <c r="E1656" s="10" t="s">
        <v>7391</v>
      </c>
      <c r="F1656" s="10" t="s">
        <v>10494</v>
      </c>
      <c r="G1656" s="10" t="s">
        <v>23</v>
      </c>
      <c r="H1656" s="7" t="s">
        <v>24</v>
      </c>
      <c r="I1656" s="7" t="s">
        <v>25</v>
      </c>
      <c r="J1656" s="13" t="str">
        <f>HYPERLINK("https://www.airitibooks.com/Detail/Detail?PublicationID=P20181224011", "https://www.airitibooks.com/Detail/Detail?PublicationID=P20181224011")</f>
        <v>https://www.airitibooks.com/Detail/Detail?PublicationID=P20181224011</v>
      </c>
      <c r="K1656" s="13" t="str">
        <f>HYPERLINK("https://ntsu.idm.oclc.org/login?url=https://www.airitibooks.com/Detail/Detail?PublicationID=P20181224011", "https://ntsu.idm.oclc.org/login?url=https://www.airitibooks.com/Detail/Detail?PublicationID=P20181224011")</f>
        <v>https://ntsu.idm.oclc.org/login?url=https://www.airitibooks.com/Detail/Detail?PublicationID=P20181224011</v>
      </c>
    </row>
    <row r="1657" spans="1:11" ht="51" x14ac:dyDescent="0.4">
      <c r="A1657" s="10" t="s">
        <v>10495</v>
      </c>
      <c r="B1657" s="10" t="s">
        <v>10496</v>
      </c>
      <c r="C1657" s="10" t="s">
        <v>544</v>
      </c>
      <c r="D1657" s="10" t="s">
        <v>10497</v>
      </c>
      <c r="E1657" s="10" t="s">
        <v>7391</v>
      </c>
      <c r="F1657" s="10" t="s">
        <v>8835</v>
      </c>
      <c r="G1657" s="10" t="s">
        <v>23</v>
      </c>
      <c r="H1657" s="7" t="s">
        <v>24</v>
      </c>
      <c r="I1657" s="7" t="s">
        <v>25</v>
      </c>
      <c r="J1657" s="13" t="str">
        <f>HYPERLINK("https://www.airitibooks.com/Detail/Detail?PublicationID=P20181224012", "https://www.airitibooks.com/Detail/Detail?PublicationID=P20181224012")</f>
        <v>https://www.airitibooks.com/Detail/Detail?PublicationID=P20181224012</v>
      </c>
      <c r="K1657" s="13" t="str">
        <f>HYPERLINK("https://ntsu.idm.oclc.org/login?url=https://www.airitibooks.com/Detail/Detail?PublicationID=P20181224012", "https://ntsu.idm.oclc.org/login?url=https://www.airitibooks.com/Detail/Detail?PublicationID=P20181224012")</f>
        <v>https://ntsu.idm.oclc.org/login?url=https://www.airitibooks.com/Detail/Detail?PublicationID=P20181224012</v>
      </c>
    </row>
    <row r="1658" spans="1:11" ht="51" x14ac:dyDescent="0.4">
      <c r="A1658" s="10" t="s">
        <v>10498</v>
      </c>
      <c r="B1658" s="10" t="s">
        <v>10499</v>
      </c>
      <c r="C1658" s="10" t="s">
        <v>544</v>
      </c>
      <c r="D1658" s="10" t="s">
        <v>10500</v>
      </c>
      <c r="E1658" s="10" t="s">
        <v>7391</v>
      </c>
      <c r="F1658" s="10" t="s">
        <v>10501</v>
      </c>
      <c r="G1658" s="10" t="s">
        <v>23</v>
      </c>
      <c r="H1658" s="7" t="s">
        <v>24</v>
      </c>
      <c r="I1658" s="7" t="s">
        <v>25</v>
      </c>
      <c r="J1658" s="13" t="str">
        <f>HYPERLINK("https://www.airitibooks.com/Detail/Detail?PublicationID=P20181224013", "https://www.airitibooks.com/Detail/Detail?PublicationID=P20181224013")</f>
        <v>https://www.airitibooks.com/Detail/Detail?PublicationID=P20181224013</v>
      </c>
      <c r="K1658" s="13" t="str">
        <f>HYPERLINK("https://ntsu.idm.oclc.org/login?url=https://www.airitibooks.com/Detail/Detail?PublicationID=P20181224013", "https://ntsu.idm.oclc.org/login?url=https://www.airitibooks.com/Detail/Detail?PublicationID=P20181224013")</f>
        <v>https://ntsu.idm.oclc.org/login?url=https://www.airitibooks.com/Detail/Detail?PublicationID=P20181224013</v>
      </c>
    </row>
    <row r="1659" spans="1:11" ht="51" x14ac:dyDescent="0.4">
      <c r="A1659" s="10" t="s">
        <v>10569</v>
      </c>
      <c r="B1659" s="10" t="s">
        <v>10570</v>
      </c>
      <c r="C1659" s="10" t="s">
        <v>1034</v>
      </c>
      <c r="D1659" s="10" t="s">
        <v>10429</v>
      </c>
      <c r="E1659" s="10" t="s">
        <v>7391</v>
      </c>
      <c r="F1659" s="10" t="s">
        <v>7849</v>
      </c>
      <c r="G1659" s="10" t="s">
        <v>23</v>
      </c>
      <c r="H1659" s="7" t="s">
        <v>24</v>
      </c>
      <c r="I1659" s="7" t="s">
        <v>25</v>
      </c>
      <c r="J1659" s="13" t="str">
        <f>HYPERLINK("https://www.airitibooks.com/Detail/Detail?PublicationID=P20181226055", "https://www.airitibooks.com/Detail/Detail?PublicationID=P20181226055")</f>
        <v>https://www.airitibooks.com/Detail/Detail?PublicationID=P20181226055</v>
      </c>
      <c r="K1659" s="13" t="str">
        <f>HYPERLINK("https://ntsu.idm.oclc.org/login?url=https://www.airitibooks.com/Detail/Detail?PublicationID=P20181226055", "https://ntsu.idm.oclc.org/login?url=https://www.airitibooks.com/Detail/Detail?PublicationID=P20181226055")</f>
        <v>https://ntsu.idm.oclc.org/login?url=https://www.airitibooks.com/Detail/Detail?PublicationID=P20181226055</v>
      </c>
    </row>
    <row r="1660" spans="1:11" ht="51" x14ac:dyDescent="0.4">
      <c r="A1660" s="10" t="s">
        <v>10614</v>
      </c>
      <c r="B1660" s="10" t="s">
        <v>10615</v>
      </c>
      <c r="C1660" s="10" t="s">
        <v>457</v>
      </c>
      <c r="D1660" s="10" t="s">
        <v>10616</v>
      </c>
      <c r="E1660" s="10" t="s">
        <v>7391</v>
      </c>
      <c r="F1660" s="10" t="s">
        <v>3569</v>
      </c>
      <c r="G1660" s="10" t="s">
        <v>23</v>
      </c>
      <c r="H1660" s="7" t="s">
        <v>24</v>
      </c>
      <c r="I1660" s="7" t="s">
        <v>25</v>
      </c>
      <c r="J1660" s="13" t="str">
        <f>HYPERLINK("https://www.airitibooks.com/Detail/Detail?PublicationID=P20190214007", "https://www.airitibooks.com/Detail/Detail?PublicationID=P20190214007")</f>
        <v>https://www.airitibooks.com/Detail/Detail?PublicationID=P20190214007</v>
      </c>
      <c r="K1660" s="13" t="str">
        <f>HYPERLINK("https://ntsu.idm.oclc.org/login?url=https://www.airitibooks.com/Detail/Detail?PublicationID=P20190214007", "https://ntsu.idm.oclc.org/login?url=https://www.airitibooks.com/Detail/Detail?PublicationID=P20190214007")</f>
        <v>https://ntsu.idm.oclc.org/login?url=https://www.airitibooks.com/Detail/Detail?PublicationID=P20190214007</v>
      </c>
    </row>
    <row r="1661" spans="1:11" ht="51" x14ac:dyDescent="0.4">
      <c r="A1661" s="10" t="s">
        <v>10617</v>
      </c>
      <c r="B1661" s="10" t="s">
        <v>10618</v>
      </c>
      <c r="C1661" s="10" t="s">
        <v>457</v>
      </c>
      <c r="D1661" s="10" t="s">
        <v>10619</v>
      </c>
      <c r="E1661" s="10" t="s">
        <v>7391</v>
      </c>
      <c r="F1661" s="10" t="s">
        <v>3587</v>
      </c>
      <c r="G1661" s="10" t="s">
        <v>23</v>
      </c>
      <c r="H1661" s="7" t="s">
        <v>24</v>
      </c>
      <c r="I1661" s="7" t="s">
        <v>25</v>
      </c>
      <c r="J1661" s="13" t="str">
        <f>HYPERLINK("https://www.airitibooks.com/Detail/Detail?PublicationID=P20190214008", "https://www.airitibooks.com/Detail/Detail?PublicationID=P20190214008")</f>
        <v>https://www.airitibooks.com/Detail/Detail?PublicationID=P20190214008</v>
      </c>
      <c r="K1661" s="13" t="str">
        <f>HYPERLINK("https://ntsu.idm.oclc.org/login?url=https://www.airitibooks.com/Detail/Detail?PublicationID=P20190214008", "https://ntsu.idm.oclc.org/login?url=https://www.airitibooks.com/Detail/Detail?PublicationID=P20190214008")</f>
        <v>https://ntsu.idm.oclc.org/login?url=https://www.airitibooks.com/Detail/Detail?PublicationID=P20190214008</v>
      </c>
    </row>
    <row r="1662" spans="1:11" ht="51" x14ac:dyDescent="0.4">
      <c r="A1662" s="10" t="s">
        <v>10638</v>
      </c>
      <c r="B1662" s="10" t="s">
        <v>10639</v>
      </c>
      <c r="C1662" s="10" t="s">
        <v>10640</v>
      </c>
      <c r="D1662" s="10" t="s">
        <v>10641</v>
      </c>
      <c r="E1662" s="10" t="s">
        <v>7391</v>
      </c>
      <c r="F1662" s="10" t="s">
        <v>3575</v>
      </c>
      <c r="G1662" s="10" t="s">
        <v>23</v>
      </c>
      <c r="H1662" s="7" t="s">
        <v>24</v>
      </c>
      <c r="I1662" s="7" t="s">
        <v>25</v>
      </c>
      <c r="J1662" s="13" t="str">
        <f>HYPERLINK("https://www.airitibooks.com/Detail/Detail?PublicationID=P20190214019", "https://www.airitibooks.com/Detail/Detail?PublicationID=P20190214019")</f>
        <v>https://www.airitibooks.com/Detail/Detail?PublicationID=P20190214019</v>
      </c>
      <c r="K1662" s="13" t="str">
        <f>HYPERLINK("https://ntsu.idm.oclc.org/login?url=https://www.airitibooks.com/Detail/Detail?PublicationID=P20190214019", "https://ntsu.idm.oclc.org/login?url=https://www.airitibooks.com/Detail/Detail?PublicationID=P20190214019")</f>
        <v>https://ntsu.idm.oclc.org/login?url=https://www.airitibooks.com/Detail/Detail?PublicationID=P20190214019</v>
      </c>
    </row>
    <row r="1663" spans="1:11" ht="51" x14ac:dyDescent="0.4">
      <c r="A1663" s="10" t="s">
        <v>10674</v>
      </c>
      <c r="B1663" s="10" t="s">
        <v>10675</v>
      </c>
      <c r="C1663" s="10" t="s">
        <v>10640</v>
      </c>
      <c r="D1663" s="10" t="s">
        <v>10641</v>
      </c>
      <c r="E1663" s="10" t="s">
        <v>7391</v>
      </c>
      <c r="F1663" s="10" t="s">
        <v>3575</v>
      </c>
      <c r="G1663" s="10" t="s">
        <v>23</v>
      </c>
      <c r="H1663" s="7" t="s">
        <v>24</v>
      </c>
      <c r="I1663" s="7" t="s">
        <v>25</v>
      </c>
      <c r="J1663" s="13" t="str">
        <f>HYPERLINK("https://www.airitibooks.com/Detail/Detail?PublicationID=P20190214051", "https://www.airitibooks.com/Detail/Detail?PublicationID=P20190214051")</f>
        <v>https://www.airitibooks.com/Detail/Detail?PublicationID=P20190214051</v>
      </c>
      <c r="K1663" s="13" t="str">
        <f>HYPERLINK("https://ntsu.idm.oclc.org/login?url=https://www.airitibooks.com/Detail/Detail?PublicationID=P20190214051", "https://ntsu.idm.oclc.org/login?url=https://www.airitibooks.com/Detail/Detail?PublicationID=P20190214051")</f>
        <v>https://ntsu.idm.oclc.org/login?url=https://www.airitibooks.com/Detail/Detail?PublicationID=P20190214051</v>
      </c>
    </row>
    <row r="1664" spans="1:11" ht="51" x14ac:dyDescent="0.4">
      <c r="A1664" s="10" t="s">
        <v>10676</v>
      </c>
      <c r="B1664" s="10" t="s">
        <v>10677</v>
      </c>
      <c r="C1664" s="10" t="s">
        <v>10640</v>
      </c>
      <c r="D1664" s="10" t="s">
        <v>10641</v>
      </c>
      <c r="E1664" s="10" t="s">
        <v>7391</v>
      </c>
      <c r="F1664" s="10" t="s">
        <v>3575</v>
      </c>
      <c r="G1664" s="10" t="s">
        <v>23</v>
      </c>
      <c r="H1664" s="7" t="s">
        <v>24</v>
      </c>
      <c r="I1664" s="7" t="s">
        <v>25</v>
      </c>
      <c r="J1664" s="13" t="str">
        <f>HYPERLINK("https://www.airitibooks.com/Detail/Detail?PublicationID=P20190214059", "https://www.airitibooks.com/Detail/Detail?PublicationID=P20190214059")</f>
        <v>https://www.airitibooks.com/Detail/Detail?PublicationID=P20190214059</v>
      </c>
      <c r="K1664" s="13" t="str">
        <f>HYPERLINK("https://ntsu.idm.oclc.org/login?url=https://www.airitibooks.com/Detail/Detail?PublicationID=P20190214059", "https://ntsu.idm.oclc.org/login?url=https://www.airitibooks.com/Detail/Detail?PublicationID=P20190214059")</f>
        <v>https://ntsu.idm.oclc.org/login?url=https://www.airitibooks.com/Detail/Detail?PublicationID=P20190214059</v>
      </c>
    </row>
    <row r="1665" spans="1:11" ht="51" x14ac:dyDescent="0.4">
      <c r="A1665" s="10" t="s">
        <v>10779</v>
      </c>
      <c r="B1665" s="10" t="s">
        <v>10780</v>
      </c>
      <c r="C1665" s="10" t="s">
        <v>10781</v>
      </c>
      <c r="D1665" s="10" t="s">
        <v>3665</v>
      </c>
      <c r="E1665" s="10" t="s">
        <v>7391</v>
      </c>
      <c r="F1665" s="10" t="s">
        <v>1646</v>
      </c>
      <c r="G1665" s="10" t="s">
        <v>23</v>
      </c>
      <c r="H1665" s="7" t="s">
        <v>24</v>
      </c>
      <c r="I1665" s="7" t="s">
        <v>25</v>
      </c>
      <c r="J1665" s="13" t="str">
        <f>HYPERLINK("https://www.airitibooks.com/Detail/Detail?PublicationID=P20190220002", "https://www.airitibooks.com/Detail/Detail?PublicationID=P20190220002")</f>
        <v>https://www.airitibooks.com/Detail/Detail?PublicationID=P20190220002</v>
      </c>
      <c r="K1665" s="13" t="str">
        <f>HYPERLINK("https://ntsu.idm.oclc.org/login?url=https://www.airitibooks.com/Detail/Detail?PublicationID=P20190220002", "https://ntsu.idm.oclc.org/login?url=https://www.airitibooks.com/Detail/Detail?PublicationID=P20190220002")</f>
        <v>https://ntsu.idm.oclc.org/login?url=https://www.airitibooks.com/Detail/Detail?PublicationID=P20190220002</v>
      </c>
    </row>
    <row r="1666" spans="1:11" ht="51" x14ac:dyDescent="0.4">
      <c r="A1666" s="10" t="s">
        <v>10782</v>
      </c>
      <c r="B1666" s="10" t="s">
        <v>10783</v>
      </c>
      <c r="C1666" s="10" t="s">
        <v>10781</v>
      </c>
      <c r="D1666" s="10" t="s">
        <v>3665</v>
      </c>
      <c r="E1666" s="10" t="s">
        <v>7391</v>
      </c>
      <c r="F1666" s="10" t="s">
        <v>1646</v>
      </c>
      <c r="G1666" s="10" t="s">
        <v>23</v>
      </c>
      <c r="H1666" s="7" t="s">
        <v>24</v>
      </c>
      <c r="I1666" s="7" t="s">
        <v>25</v>
      </c>
      <c r="J1666" s="13" t="str">
        <f>HYPERLINK("https://www.airitibooks.com/Detail/Detail?PublicationID=P20190220003", "https://www.airitibooks.com/Detail/Detail?PublicationID=P20190220003")</f>
        <v>https://www.airitibooks.com/Detail/Detail?PublicationID=P20190220003</v>
      </c>
      <c r="K1666" s="13" t="str">
        <f>HYPERLINK("https://ntsu.idm.oclc.org/login?url=https://www.airitibooks.com/Detail/Detail?PublicationID=P20190220003", "https://ntsu.idm.oclc.org/login?url=https://www.airitibooks.com/Detail/Detail?PublicationID=P20190220003")</f>
        <v>https://ntsu.idm.oclc.org/login?url=https://www.airitibooks.com/Detail/Detail?PublicationID=P20190220003</v>
      </c>
    </row>
    <row r="1667" spans="1:11" ht="51" x14ac:dyDescent="0.4">
      <c r="A1667" s="10" t="s">
        <v>10797</v>
      </c>
      <c r="B1667" s="10" t="s">
        <v>10798</v>
      </c>
      <c r="C1667" s="10" t="s">
        <v>10781</v>
      </c>
      <c r="D1667" s="10" t="s">
        <v>3612</v>
      </c>
      <c r="E1667" s="10" t="s">
        <v>7391</v>
      </c>
      <c r="F1667" s="10" t="s">
        <v>1646</v>
      </c>
      <c r="G1667" s="10" t="s">
        <v>23</v>
      </c>
      <c r="H1667" s="7" t="s">
        <v>24</v>
      </c>
      <c r="I1667" s="7" t="s">
        <v>25</v>
      </c>
      <c r="J1667" s="13" t="str">
        <f>HYPERLINK("https://www.airitibooks.com/Detail/Detail?PublicationID=P20190220017", "https://www.airitibooks.com/Detail/Detail?PublicationID=P20190220017")</f>
        <v>https://www.airitibooks.com/Detail/Detail?PublicationID=P20190220017</v>
      </c>
      <c r="K1667" s="13" t="str">
        <f>HYPERLINK("https://ntsu.idm.oclc.org/login?url=https://www.airitibooks.com/Detail/Detail?PublicationID=P20190220017", "https://ntsu.idm.oclc.org/login?url=https://www.airitibooks.com/Detail/Detail?PublicationID=P20190220017")</f>
        <v>https://ntsu.idm.oclc.org/login?url=https://www.airitibooks.com/Detail/Detail?PublicationID=P20190220017</v>
      </c>
    </row>
    <row r="1668" spans="1:11" ht="51" x14ac:dyDescent="0.4">
      <c r="A1668" s="10" t="s">
        <v>10860</v>
      </c>
      <c r="B1668" s="10" t="s">
        <v>10861</v>
      </c>
      <c r="C1668" s="10" t="s">
        <v>10846</v>
      </c>
      <c r="D1668" s="10" t="s">
        <v>10862</v>
      </c>
      <c r="E1668" s="10" t="s">
        <v>7391</v>
      </c>
      <c r="F1668" s="10" t="s">
        <v>2325</v>
      </c>
      <c r="G1668" s="10" t="s">
        <v>23</v>
      </c>
      <c r="H1668" s="7" t="s">
        <v>24</v>
      </c>
      <c r="I1668" s="7" t="s">
        <v>25</v>
      </c>
      <c r="J1668" s="13" t="str">
        <f>HYPERLINK("https://www.airitibooks.com/Detail/Detail?PublicationID=P20190221075", "https://www.airitibooks.com/Detail/Detail?PublicationID=P20190221075")</f>
        <v>https://www.airitibooks.com/Detail/Detail?PublicationID=P20190221075</v>
      </c>
      <c r="K1668" s="13" t="str">
        <f>HYPERLINK("https://ntsu.idm.oclc.org/login?url=https://www.airitibooks.com/Detail/Detail?PublicationID=P20190221075", "https://ntsu.idm.oclc.org/login?url=https://www.airitibooks.com/Detail/Detail?PublicationID=P20190221075")</f>
        <v>https://ntsu.idm.oclc.org/login?url=https://www.airitibooks.com/Detail/Detail?PublicationID=P20190221075</v>
      </c>
    </row>
    <row r="1669" spans="1:11" ht="51" x14ac:dyDescent="0.4">
      <c r="A1669" s="10" t="s">
        <v>10919</v>
      </c>
      <c r="B1669" s="10" t="s">
        <v>10920</v>
      </c>
      <c r="C1669" s="10" t="s">
        <v>10921</v>
      </c>
      <c r="D1669" s="10" t="s">
        <v>10922</v>
      </c>
      <c r="E1669" s="10" t="s">
        <v>7391</v>
      </c>
      <c r="F1669" s="10" t="s">
        <v>565</v>
      </c>
      <c r="G1669" s="10" t="s">
        <v>23</v>
      </c>
      <c r="H1669" s="7" t="s">
        <v>24</v>
      </c>
      <c r="I1669" s="7" t="s">
        <v>25</v>
      </c>
      <c r="J1669" s="13" t="str">
        <f>HYPERLINK("https://www.airitibooks.com/Detail/Detail?PublicationID=P20190307095", "https://www.airitibooks.com/Detail/Detail?PublicationID=P20190307095")</f>
        <v>https://www.airitibooks.com/Detail/Detail?PublicationID=P20190307095</v>
      </c>
      <c r="K1669" s="13" t="str">
        <f>HYPERLINK("https://ntsu.idm.oclc.org/login?url=https://www.airitibooks.com/Detail/Detail?PublicationID=P20190307095", "https://ntsu.idm.oclc.org/login?url=https://www.airitibooks.com/Detail/Detail?PublicationID=P20190307095")</f>
        <v>https://ntsu.idm.oclc.org/login?url=https://www.airitibooks.com/Detail/Detail?PublicationID=P20190307095</v>
      </c>
    </row>
    <row r="1670" spans="1:11" ht="51" x14ac:dyDescent="0.4">
      <c r="A1670" s="10" t="s">
        <v>10966</v>
      </c>
      <c r="B1670" s="10" t="s">
        <v>10967</v>
      </c>
      <c r="C1670" s="10" t="s">
        <v>10921</v>
      </c>
      <c r="D1670" s="10" t="s">
        <v>10968</v>
      </c>
      <c r="E1670" s="10" t="s">
        <v>7391</v>
      </c>
      <c r="F1670" s="10" t="s">
        <v>1856</v>
      </c>
      <c r="G1670" s="10" t="s">
        <v>23</v>
      </c>
      <c r="H1670" s="7" t="s">
        <v>24</v>
      </c>
      <c r="I1670" s="7" t="s">
        <v>25</v>
      </c>
      <c r="J1670" s="13" t="str">
        <f>HYPERLINK("https://www.airitibooks.com/Detail/Detail?PublicationID=P20190322259", "https://www.airitibooks.com/Detail/Detail?PublicationID=P20190322259")</f>
        <v>https://www.airitibooks.com/Detail/Detail?PublicationID=P20190322259</v>
      </c>
      <c r="K1670" s="13" t="str">
        <f>HYPERLINK("https://ntsu.idm.oclc.org/login?url=https://www.airitibooks.com/Detail/Detail?PublicationID=P20190322259", "https://ntsu.idm.oclc.org/login?url=https://www.airitibooks.com/Detail/Detail?PublicationID=P20190322259")</f>
        <v>https://ntsu.idm.oclc.org/login?url=https://www.airitibooks.com/Detail/Detail?PublicationID=P20190322259</v>
      </c>
    </row>
    <row r="1671" spans="1:11" ht="51" x14ac:dyDescent="0.4">
      <c r="A1671" s="10" t="s">
        <v>11018</v>
      </c>
      <c r="B1671" s="10" t="s">
        <v>11019</v>
      </c>
      <c r="C1671" s="10" t="s">
        <v>2441</v>
      </c>
      <c r="D1671" s="10" t="s">
        <v>6658</v>
      </c>
      <c r="E1671" s="10" t="s">
        <v>7391</v>
      </c>
      <c r="F1671" s="10" t="s">
        <v>11020</v>
      </c>
      <c r="G1671" s="10" t="s">
        <v>23</v>
      </c>
      <c r="H1671" s="7" t="s">
        <v>24</v>
      </c>
      <c r="I1671" s="7" t="s">
        <v>25</v>
      </c>
      <c r="J1671" s="13" t="str">
        <f>HYPERLINK("https://www.airitibooks.com/Detail/Detail?PublicationID=P20190412022", "https://www.airitibooks.com/Detail/Detail?PublicationID=P20190412022")</f>
        <v>https://www.airitibooks.com/Detail/Detail?PublicationID=P20190412022</v>
      </c>
      <c r="K1671" s="13" t="str">
        <f>HYPERLINK("https://ntsu.idm.oclc.org/login?url=https://www.airitibooks.com/Detail/Detail?PublicationID=P20190412022", "https://ntsu.idm.oclc.org/login?url=https://www.airitibooks.com/Detail/Detail?PublicationID=P20190412022")</f>
        <v>https://ntsu.idm.oclc.org/login?url=https://www.airitibooks.com/Detail/Detail?PublicationID=P20190412022</v>
      </c>
    </row>
    <row r="1672" spans="1:11" ht="51" x14ac:dyDescent="0.4">
      <c r="A1672" s="10" t="s">
        <v>11052</v>
      </c>
      <c r="B1672" s="10" t="s">
        <v>11053</v>
      </c>
      <c r="C1672" s="10" t="s">
        <v>240</v>
      </c>
      <c r="D1672" s="10" t="s">
        <v>11054</v>
      </c>
      <c r="E1672" s="10" t="s">
        <v>7391</v>
      </c>
      <c r="F1672" s="10" t="s">
        <v>565</v>
      </c>
      <c r="G1672" s="10" t="s">
        <v>23</v>
      </c>
      <c r="H1672" s="7" t="s">
        <v>24</v>
      </c>
      <c r="I1672" s="7" t="s">
        <v>25</v>
      </c>
      <c r="J1672" s="13" t="str">
        <f>HYPERLINK("https://www.airitibooks.com/Detail/Detail?PublicationID=P20190419014", "https://www.airitibooks.com/Detail/Detail?PublicationID=P20190419014")</f>
        <v>https://www.airitibooks.com/Detail/Detail?PublicationID=P20190419014</v>
      </c>
      <c r="K1672" s="13" t="str">
        <f>HYPERLINK("https://ntsu.idm.oclc.org/login?url=https://www.airitibooks.com/Detail/Detail?PublicationID=P20190419014", "https://ntsu.idm.oclc.org/login?url=https://www.airitibooks.com/Detail/Detail?PublicationID=P20190419014")</f>
        <v>https://ntsu.idm.oclc.org/login?url=https://www.airitibooks.com/Detail/Detail?PublicationID=P20190419014</v>
      </c>
    </row>
    <row r="1673" spans="1:11" ht="51" x14ac:dyDescent="0.4">
      <c r="A1673" s="10" t="s">
        <v>11055</v>
      </c>
      <c r="B1673" s="10" t="s">
        <v>11056</v>
      </c>
      <c r="C1673" s="10" t="s">
        <v>499</v>
      </c>
      <c r="D1673" s="10" t="s">
        <v>11057</v>
      </c>
      <c r="E1673" s="10" t="s">
        <v>7391</v>
      </c>
      <c r="F1673" s="10" t="s">
        <v>9864</v>
      </c>
      <c r="G1673" s="10" t="s">
        <v>23</v>
      </c>
      <c r="H1673" s="7" t="s">
        <v>24</v>
      </c>
      <c r="I1673" s="7" t="s">
        <v>25</v>
      </c>
      <c r="J1673" s="13" t="str">
        <f>HYPERLINK("https://www.airitibooks.com/Detail/Detail?PublicationID=P20190419022", "https://www.airitibooks.com/Detail/Detail?PublicationID=P20190419022")</f>
        <v>https://www.airitibooks.com/Detail/Detail?PublicationID=P20190419022</v>
      </c>
      <c r="K1673" s="13" t="str">
        <f>HYPERLINK("https://ntsu.idm.oclc.org/login?url=https://www.airitibooks.com/Detail/Detail?PublicationID=P20190419022", "https://ntsu.idm.oclc.org/login?url=https://www.airitibooks.com/Detail/Detail?PublicationID=P20190419022")</f>
        <v>https://ntsu.idm.oclc.org/login?url=https://www.airitibooks.com/Detail/Detail?PublicationID=P20190419022</v>
      </c>
    </row>
    <row r="1674" spans="1:11" ht="51" x14ac:dyDescent="0.4">
      <c r="A1674" s="10" t="s">
        <v>11058</v>
      </c>
      <c r="B1674" s="10" t="s">
        <v>11059</v>
      </c>
      <c r="C1674" s="10" t="s">
        <v>499</v>
      </c>
      <c r="D1674" s="10" t="s">
        <v>11057</v>
      </c>
      <c r="E1674" s="10" t="s">
        <v>7391</v>
      </c>
      <c r="F1674" s="10" t="s">
        <v>9864</v>
      </c>
      <c r="G1674" s="10" t="s">
        <v>23</v>
      </c>
      <c r="H1674" s="7" t="s">
        <v>24</v>
      </c>
      <c r="I1674" s="7" t="s">
        <v>25</v>
      </c>
      <c r="J1674" s="13" t="str">
        <f>HYPERLINK("https://www.airitibooks.com/Detail/Detail?PublicationID=P20190419023", "https://www.airitibooks.com/Detail/Detail?PublicationID=P20190419023")</f>
        <v>https://www.airitibooks.com/Detail/Detail?PublicationID=P20190419023</v>
      </c>
      <c r="K1674" s="13" t="str">
        <f>HYPERLINK("https://ntsu.idm.oclc.org/login?url=https://www.airitibooks.com/Detail/Detail?PublicationID=P20190419023", "https://ntsu.idm.oclc.org/login?url=https://www.airitibooks.com/Detail/Detail?PublicationID=P20190419023")</f>
        <v>https://ntsu.idm.oclc.org/login?url=https://www.airitibooks.com/Detail/Detail?PublicationID=P20190419023</v>
      </c>
    </row>
    <row r="1675" spans="1:11" ht="51" x14ac:dyDescent="0.4">
      <c r="A1675" s="10" t="s">
        <v>11294</v>
      </c>
      <c r="B1675" s="10" t="s">
        <v>11295</v>
      </c>
      <c r="C1675" s="10" t="s">
        <v>7294</v>
      </c>
      <c r="D1675" s="10" t="s">
        <v>11296</v>
      </c>
      <c r="E1675" s="10" t="s">
        <v>7391</v>
      </c>
      <c r="F1675" s="10" t="s">
        <v>394</v>
      </c>
      <c r="G1675" s="10" t="s">
        <v>23</v>
      </c>
      <c r="H1675" s="7" t="s">
        <v>7839</v>
      </c>
      <c r="I1675" s="7" t="s">
        <v>25</v>
      </c>
      <c r="J1675" s="13" t="str">
        <f>HYPERLINK("https://www.airitibooks.com/Detail/Detail?PublicationID=P20190503090", "https://www.airitibooks.com/Detail/Detail?PublicationID=P20190503090")</f>
        <v>https://www.airitibooks.com/Detail/Detail?PublicationID=P20190503090</v>
      </c>
      <c r="K1675" s="13" t="str">
        <f>HYPERLINK("https://ntsu.idm.oclc.org/login?url=https://www.airitibooks.com/Detail/Detail?PublicationID=P20190503090", "https://ntsu.idm.oclc.org/login?url=https://www.airitibooks.com/Detail/Detail?PublicationID=P20190503090")</f>
        <v>https://ntsu.idm.oclc.org/login?url=https://www.airitibooks.com/Detail/Detail?PublicationID=P20190503090</v>
      </c>
    </row>
    <row r="1676" spans="1:11" ht="51" x14ac:dyDescent="0.4">
      <c r="A1676" s="10" t="s">
        <v>11297</v>
      </c>
      <c r="B1676" s="10" t="s">
        <v>11298</v>
      </c>
      <c r="C1676" s="10" t="s">
        <v>7294</v>
      </c>
      <c r="D1676" s="10" t="s">
        <v>11299</v>
      </c>
      <c r="E1676" s="10" t="s">
        <v>7391</v>
      </c>
      <c r="F1676" s="10" t="s">
        <v>394</v>
      </c>
      <c r="G1676" s="10" t="s">
        <v>23</v>
      </c>
      <c r="H1676" s="7" t="s">
        <v>7839</v>
      </c>
      <c r="I1676" s="7" t="s">
        <v>25</v>
      </c>
      <c r="J1676" s="13" t="str">
        <f>HYPERLINK("https://www.airitibooks.com/Detail/Detail?PublicationID=P20190503091", "https://www.airitibooks.com/Detail/Detail?PublicationID=P20190503091")</f>
        <v>https://www.airitibooks.com/Detail/Detail?PublicationID=P20190503091</v>
      </c>
      <c r="K1676" s="13" t="str">
        <f>HYPERLINK("https://ntsu.idm.oclc.org/login?url=https://www.airitibooks.com/Detail/Detail?PublicationID=P20190503091", "https://ntsu.idm.oclc.org/login?url=https://www.airitibooks.com/Detail/Detail?PublicationID=P20190503091")</f>
        <v>https://ntsu.idm.oclc.org/login?url=https://www.airitibooks.com/Detail/Detail?PublicationID=P20190503091</v>
      </c>
    </row>
    <row r="1677" spans="1:11" ht="51" x14ac:dyDescent="0.4">
      <c r="A1677" s="10" t="s">
        <v>11300</v>
      </c>
      <c r="B1677" s="10" t="s">
        <v>11301</v>
      </c>
      <c r="C1677" s="10" t="s">
        <v>7294</v>
      </c>
      <c r="D1677" s="10" t="s">
        <v>11302</v>
      </c>
      <c r="E1677" s="10" t="s">
        <v>7391</v>
      </c>
      <c r="F1677" s="10" t="s">
        <v>394</v>
      </c>
      <c r="G1677" s="10" t="s">
        <v>23</v>
      </c>
      <c r="H1677" s="7" t="s">
        <v>7839</v>
      </c>
      <c r="I1677" s="7" t="s">
        <v>25</v>
      </c>
      <c r="J1677" s="13" t="str">
        <f>HYPERLINK("https://www.airitibooks.com/Detail/Detail?PublicationID=P20190503092", "https://www.airitibooks.com/Detail/Detail?PublicationID=P20190503092")</f>
        <v>https://www.airitibooks.com/Detail/Detail?PublicationID=P20190503092</v>
      </c>
      <c r="K1677" s="13" t="str">
        <f>HYPERLINK("https://ntsu.idm.oclc.org/login?url=https://www.airitibooks.com/Detail/Detail?PublicationID=P20190503092", "https://ntsu.idm.oclc.org/login?url=https://www.airitibooks.com/Detail/Detail?PublicationID=P20190503092")</f>
        <v>https://ntsu.idm.oclc.org/login?url=https://www.airitibooks.com/Detail/Detail?PublicationID=P20190503092</v>
      </c>
    </row>
    <row r="1678" spans="1:11" ht="51" x14ac:dyDescent="0.4">
      <c r="A1678" s="10" t="s">
        <v>11303</v>
      </c>
      <c r="B1678" s="10" t="s">
        <v>11304</v>
      </c>
      <c r="C1678" s="10" t="s">
        <v>7294</v>
      </c>
      <c r="D1678" s="10" t="s">
        <v>11305</v>
      </c>
      <c r="E1678" s="10" t="s">
        <v>7391</v>
      </c>
      <c r="F1678" s="10" t="s">
        <v>394</v>
      </c>
      <c r="G1678" s="10" t="s">
        <v>23</v>
      </c>
      <c r="H1678" s="7" t="s">
        <v>7839</v>
      </c>
      <c r="I1678" s="7" t="s">
        <v>25</v>
      </c>
      <c r="J1678" s="13" t="str">
        <f>HYPERLINK("https://www.airitibooks.com/Detail/Detail?PublicationID=P20190503093", "https://www.airitibooks.com/Detail/Detail?PublicationID=P20190503093")</f>
        <v>https://www.airitibooks.com/Detail/Detail?PublicationID=P20190503093</v>
      </c>
      <c r="K1678" s="13" t="str">
        <f>HYPERLINK("https://ntsu.idm.oclc.org/login?url=https://www.airitibooks.com/Detail/Detail?PublicationID=P20190503093", "https://ntsu.idm.oclc.org/login?url=https://www.airitibooks.com/Detail/Detail?PublicationID=P20190503093")</f>
        <v>https://ntsu.idm.oclc.org/login?url=https://www.airitibooks.com/Detail/Detail?PublicationID=P20190503093</v>
      </c>
    </row>
    <row r="1679" spans="1:11" ht="51" x14ac:dyDescent="0.4">
      <c r="A1679" s="10" t="s">
        <v>11310</v>
      </c>
      <c r="B1679" s="10" t="s">
        <v>11311</v>
      </c>
      <c r="C1679" s="10" t="s">
        <v>11312</v>
      </c>
      <c r="D1679" s="10" t="s">
        <v>11313</v>
      </c>
      <c r="E1679" s="10" t="s">
        <v>7391</v>
      </c>
      <c r="F1679" s="10" t="s">
        <v>1856</v>
      </c>
      <c r="G1679" s="10" t="s">
        <v>23</v>
      </c>
      <c r="H1679" s="7" t="s">
        <v>1031</v>
      </c>
      <c r="I1679" s="7" t="s">
        <v>25</v>
      </c>
      <c r="J1679" s="13" t="str">
        <f>HYPERLINK("https://www.airitibooks.com/Detail/Detail?PublicationID=P20190503205", "https://www.airitibooks.com/Detail/Detail?PublicationID=P20190503205")</f>
        <v>https://www.airitibooks.com/Detail/Detail?PublicationID=P20190503205</v>
      </c>
      <c r="K1679" s="13" t="str">
        <f>HYPERLINK("https://ntsu.idm.oclc.org/login?url=https://www.airitibooks.com/Detail/Detail?PublicationID=P20190503205", "https://ntsu.idm.oclc.org/login?url=https://www.airitibooks.com/Detail/Detail?PublicationID=P20190503205")</f>
        <v>https://ntsu.idm.oclc.org/login?url=https://www.airitibooks.com/Detail/Detail?PublicationID=P20190503205</v>
      </c>
    </row>
    <row r="1680" spans="1:11" ht="51" x14ac:dyDescent="0.4">
      <c r="A1680" s="10" t="s">
        <v>11348</v>
      </c>
      <c r="B1680" s="10" t="s">
        <v>11349</v>
      </c>
      <c r="C1680" s="10" t="s">
        <v>11350</v>
      </c>
      <c r="D1680" s="10" t="s">
        <v>11350</v>
      </c>
      <c r="E1680" s="10" t="s">
        <v>7391</v>
      </c>
      <c r="F1680" s="10" t="s">
        <v>11351</v>
      </c>
      <c r="G1680" s="10" t="s">
        <v>23</v>
      </c>
      <c r="H1680" s="7" t="s">
        <v>24</v>
      </c>
      <c r="I1680" s="7" t="s">
        <v>25</v>
      </c>
      <c r="J1680" s="13" t="str">
        <f>HYPERLINK("https://www.airitibooks.com/Detail/Detail?PublicationID=P20190517061", "https://www.airitibooks.com/Detail/Detail?PublicationID=P20190517061")</f>
        <v>https://www.airitibooks.com/Detail/Detail?PublicationID=P20190517061</v>
      </c>
      <c r="K1680" s="13" t="str">
        <f>HYPERLINK("https://ntsu.idm.oclc.org/login?url=https://www.airitibooks.com/Detail/Detail?PublicationID=P20190517061", "https://ntsu.idm.oclc.org/login?url=https://www.airitibooks.com/Detail/Detail?PublicationID=P20190517061")</f>
        <v>https://ntsu.idm.oclc.org/login?url=https://www.airitibooks.com/Detail/Detail?PublicationID=P20190517061</v>
      </c>
    </row>
    <row r="1681" spans="1:11" ht="51" x14ac:dyDescent="0.4">
      <c r="A1681" s="10" t="s">
        <v>11368</v>
      </c>
      <c r="B1681" s="10" t="s">
        <v>11369</v>
      </c>
      <c r="C1681" s="10" t="s">
        <v>9828</v>
      </c>
      <c r="D1681" s="10" t="s">
        <v>11370</v>
      </c>
      <c r="E1681" s="10" t="s">
        <v>7391</v>
      </c>
      <c r="F1681" s="10" t="s">
        <v>11371</v>
      </c>
      <c r="G1681" s="10" t="s">
        <v>23</v>
      </c>
      <c r="H1681" s="7" t="s">
        <v>1031</v>
      </c>
      <c r="I1681" s="7" t="s">
        <v>25</v>
      </c>
      <c r="J1681" s="13" t="str">
        <f>HYPERLINK("https://www.airitibooks.com/Detail/Detail?PublicationID=P20190517070", "https://www.airitibooks.com/Detail/Detail?PublicationID=P20190517070")</f>
        <v>https://www.airitibooks.com/Detail/Detail?PublicationID=P20190517070</v>
      </c>
      <c r="K1681" s="13" t="str">
        <f>HYPERLINK("https://ntsu.idm.oclc.org/login?url=https://www.airitibooks.com/Detail/Detail?PublicationID=P20190517070", "https://ntsu.idm.oclc.org/login?url=https://www.airitibooks.com/Detail/Detail?PublicationID=P20190517070")</f>
        <v>https://ntsu.idm.oclc.org/login?url=https://www.airitibooks.com/Detail/Detail?PublicationID=P20190517070</v>
      </c>
    </row>
    <row r="1682" spans="1:11" ht="51" x14ac:dyDescent="0.4">
      <c r="A1682" s="10" t="s">
        <v>11419</v>
      </c>
      <c r="B1682" s="10" t="s">
        <v>11420</v>
      </c>
      <c r="C1682" s="10" t="s">
        <v>9828</v>
      </c>
      <c r="D1682" s="10" t="s">
        <v>11421</v>
      </c>
      <c r="E1682" s="10" t="s">
        <v>7391</v>
      </c>
      <c r="F1682" s="10" t="s">
        <v>11422</v>
      </c>
      <c r="G1682" s="10" t="s">
        <v>23</v>
      </c>
      <c r="H1682" s="7" t="s">
        <v>1031</v>
      </c>
      <c r="I1682" s="7" t="s">
        <v>25</v>
      </c>
      <c r="J1682" s="13" t="str">
        <f>HYPERLINK("https://www.airitibooks.com/Detail/Detail?PublicationID=P20190521014", "https://www.airitibooks.com/Detail/Detail?PublicationID=P20190521014")</f>
        <v>https://www.airitibooks.com/Detail/Detail?PublicationID=P20190521014</v>
      </c>
      <c r="K1682" s="13" t="str">
        <f>HYPERLINK("https://ntsu.idm.oclc.org/login?url=https://www.airitibooks.com/Detail/Detail?PublicationID=P20190521014", "https://ntsu.idm.oclc.org/login?url=https://www.airitibooks.com/Detail/Detail?PublicationID=P20190521014")</f>
        <v>https://ntsu.idm.oclc.org/login?url=https://www.airitibooks.com/Detail/Detail?PublicationID=P20190521014</v>
      </c>
    </row>
    <row r="1683" spans="1:11" ht="51" x14ac:dyDescent="0.4">
      <c r="A1683" s="10" t="s">
        <v>11423</v>
      </c>
      <c r="B1683" s="10" t="s">
        <v>11424</v>
      </c>
      <c r="C1683" s="10" t="s">
        <v>9828</v>
      </c>
      <c r="D1683" s="10" t="s">
        <v>11425</v>
      </c>
      <c r="E1683" s="10" t="s">
        <v>7391</v>
      </c>
      <c r="F1683" s="10" t="s">
        <v>11426</v>
      </c>
      <c r="G1683" s="10" t="s">
        <v>23</v>
      </c>
      <c r="H1683" s="7" t="s">
        <v>1031</v>
      </c>
      <c r="I1683" s="7" t="s">
        <v>25</v>
      </c>
      <c r="J1683" s="13" t="str">
        <f>HYPERLINK("https://www.airitibooks.com/Detail/Detail?PublicationID=P20190521015", "https://www.airitibooks.com/Detail/Detail?PublicationID=P20190521015")</f>
        <v>https://www.airitibooks.com/Detail/Detail?PublicationID=P20190521015</v>
      </c>
      <c r="K1683" s="13" t="str">
        <f>HYPERLINK("https://ntsu.idm.oclc.org/login?url=https://www.airitibooks.com/Detail/Detail?PublicationID=P20190521015", "https://ntsu.idm.oclc.org/login?url=https://www.airitibooks.com/Detail/Detail?PublicationID=P20190521015")</f>
        <v>https://ntsu.idm.oclc.org/login?url=https://www.airitibooks.com/Detail/Detail?PublicationID=P20190521015</v>
      </c>
    </row>
    <row r="1684" spans="1:11" ht="51" x14ac:dyDescent="0.4">
      <c r="A1684" s="10" t="s">
        <v>11462</v>
      </c>
      <c r="B1684" s="10" t="s">
        <v>11463</v>
      </c>
      <c r="C1684" s="10" t="s">
        <v>9828</v>
      </c>
      <c r="D1684" s="10" t="s">
        <v>11464</v>
      </c>
      <c r="E1684" s="10" t="s">
        <v>7391</v>
      </c>
      <c r="F1684" s="10" t="s">
        <v>9519</v>
      </c>
      <c r="G1684" s="10" t="s">
        <v>23</v>
      </c>
      <c r="H1684" s="7" t="s">
        <v>1031</v>
      </c>
      <c r="I1684" s="7" t="s">
        <v>25</v>
      </c>
      <c r="J1684" s="13" t="str">
        <f>HYPERLINK("https://www.airitibooks.com/Detail/Detail?PublicationID=P20190521031", "https://www.airitibooks.com/Detail/Detail?PublicationID=P20190521031")</f>
        <v>https://www.airitibooks.com/Detail/Detail?PublicationID=P20190521031</v>
      </c>
      <c r="K1684" s="13" t="str">
        <f>HYPERLINK("https://ntsu.idm.oclc.org/login?url=https://www.airitibooks.com/Detail/Detail?PublicationID=P20190521031", "https://ntsu.idm.oclc.org/login?url=https://www.airitibooks.com/Detail/Detail?PublicationID=P20190521031")</f>
        <v>https://ntsu.idm.oclc.org/login?url=https://www.airitibooks.com/Detail/Detail?PublicationID=P20190521031</v>
      </c>
    </row>
    <row r="1685" spans="1:11" ht="51" x14ac:dyDescent="0.4">
      <c r="A1685" s="10" t="s">
        <v>11540</v>
      </c>
      <c r="B1685" s="10" t="s">
        <v>11541</v>
      </c>
      <c r="C1685" s="10" t="s">
        <v>544</v>
      </c>
      <c r="D1685" s="10" t="s">
        <v>11542</v>
      </c>
      <c r="E1685" s="10" t="s">
        <v>7391</v>
      </c>
      <c r="F1685" s="10" t="s">
        <v>11543</v>
      </c>
      <c r="G1685" s="10" t="s">
        <v>23</v>
      </c>
      <c r="H1685" s="7" t="s">
        <v>24</v>
      </c>
      <c r="I1685" s="7" t="s">
        <v>25</v>
      </c>
      <c r="J1685" s="13" t="str">
        <f>HYPERLINK("https://www.airitibooks.com/Detail/Detail?PublicationID=P20190531010", "https://www.airitibooks.com/Detail/Detail?PublicationID=P20190531010")</f>
        <v>https://www.airitibooks.com/Detail/Detail?PublicationID=P20190531010</v>
      </c>
      <c r="K1685" s="13" t="str">
        <f>HYPERLINK("https://ntsu.idm.oclc.org/login?url=https://www.airitibooks.com/Detail/Detail?PublicationID=P20190531010", "https://ntsu.idm.oclc.org/login?url=https://www.airitibooks.com/Detail/Detail?PublicationID=P20190531010")</f>
        <v>https://ntsu.idm.oclc.org/login?url=https://www.airitibooks.com/Detail/Detail?PublicationID=P20190531010</v>
      </c>
    </row>
    <row r="1686" spans="1:11" ht="51" x14ac:dyDescent="0.4">
      <c r="A1686" s="10" t="s">
        <v>11544</v>
      </c>
      <c r="B1686" s="10" t="s">
        <v>11545</v>
      </c>
      <c r="C1686" s="10" t="s">
        <v>544</v>
      </c>
      <c r="D1686" s="10" t="s">
        <v>11546</v>
      </c>
      <c r="E1686" s="10" t="s">
        <v>7391</v>
      </c>
      <c r="F1686" s="10" t="s">
        <v>11547</v>
      </c>
      <c r="G1686" s="10" t="s">
        <v>23</v>
      </c>
      <c r="H1686" s="7" t="s">
        <v>24</v>
      </c>
      <c r="I1686" s="7" t="s">
        <v>25</v>
      </c>
      <c r="J1686" s="13" t="str">
        <f>HYPERLINK("https://www.airitibooks.com/Detail/Detail?PublicationID=P20190531011", "https://www.airitibooks.com/Detail/Detail?PublicationID=P20190531011")</f>
        <v>https://www.airitibooks.com/Detail/Detail?PublicationID=P20190531011</v>
      </c>
      <c r="K1686" s="13" t="str">
        <f>HYPERLINK("https://ntsu.idm.oclc.org/login?url=https://www.airitibooks.com/Detail/Detail?PublicationID=P20190531011", "https://ntsu.idm.oclc.org/login?url=https://www.airitibooks.com/Detail/Detail?PublicationID=P20190531011")</f>
        <v>https://ntsu.idm.oclc.org/login?url=https://www.airitibooks.com/Detail/Detail?PublicationID=P20190531011</v>
      </c>
    </row>
    <row r="1687" spans="1:11" ht="51" x14ac:dyDescent="0.4">
      <c r="A1687" s="10" t="s">
        <v>11551</v>
      </c>
      <c r="B1687" s="10" t="s">
        <v>11552</v>
      </c>
      <c r="C1687" s="10" t="s">
        <v>4873</v>
      </c>
      <c r="D1687" s="10" t="s">
        <v>11553</v>
      </c>
      <c r="E1687" s="10" t="s">
        <v>7391</v>
      </c>
      <c r="F1687" s="10" t="s">
        <v>1798</v>
      </c>
      <c r="G1687" s="10" t="s">
        <v>23</v>
      </c>
      <c r="H1687" s="7" t="s">
        <v>24</v>
      </c>
      <c r="I1687" s="7" t="s">
        <v>25</v>
      </c>
      <c r="J1687" s="13" t="str">
        <f>HYPERLINK("https://www.airitibooks.com/Detail/Detail?PublicationID=P20190531015", "https://www.airitibooks.com/Detail/Detail?PublicationID=P20190531015")</f>
        <v>https://www.airitibooks.com/Detail/Detail?PublicationID=P20190531015</v>
      </c>
      <c r="K1687" s="13" t="str">
        <f>HYPERLINK("https://ntsu.idm.oclc.org/login?url=https://www.airitibooks.com/Detail/Detail?PublicationID=P20190531015", "https://ntsu.idm.oclc.org/login?url=https://www.airitibooks.com/Detail/Detail?PublicationID=P20190531015")</f>
        <v>https://ntsu.idm.oclc.org/login?url=https://www.airitibooks.com/Detail/Detail?PublicationID=P20190531015</v>
      </c>
    </row>
    <row r="1688" spans="1:11" ht="51" x14ac:dyDescent="0.4">
      <c r="A1688" s="10" t="s">
        <v>11590</v>
      </c>
      <c r="B1688" s="10" t="s">
        <v>11591</v>
      </c>
      <c r="C1688" s="10" t="s">
        <v>212</v>
      </c>
      <c r="D1688" s="10" t="s">
        <v>11592</v>
      </c>
      <c r="E1688" s="10" t="s">
        <v>7391</v>
      </c>
      <c r="F1688" s="10" t="s">
        <v>4653</v>
      </c>
      <c r="G1688" s="10" t="s">
        <v>23</v>
      </c>
      <c r="H1688" s="7" t="s">
        <v>24</v>
      </c>
      <c r="I1688" s="7" t="s">
        <v>25</v>
      </c>
      <c r="J1688" s="13" t="str">
        <f>HYPERLINK("https://www.airitibooks.com/Detail/Detail?PublicationID=P20190531133", "https://www.airitibooks.com/Detail/Detail?PublicationID=P20190531133")</f>
        <v>https://www.airitibooks.com/Detail/Detail?PublicationID=P20190531133</v>
      </c>
      <c r="K1688" s="13" t="str">
        <f>HYPERLINK("https://ntsu.idm.oclc.org/login?url=https://www.airitibooks.com/Detail/Detail?PublicationID=P20190531133", "https://ntsu.idm.oclc.org/login?url=https://www.airitibooks.com/Detail/Detail?PublicationID=P20190531133")</f>
        <v>https://ntsu.idm.oclc.org/login?url=https://www.airitibooks.com/Detail/Detail?PublicationID=P20190531133</v>
      </c>
    </row>
    <row r="1689" spans="1:11" ht="51" x14ac:dyDescent="0.4">
      <c r="A1689" s="10" t="s">
        <v>11709</v>
      </c>
      <c r="B1689" s="10" t="s">
        <v>11710</v>
      </c>
      <c r="C1689" s="10" t="s">
        <v>3473</v>
      </c>
      <c r="D1689" s="10" t="s">
        <v>5672</v>
      </c>
      <c r="E1689" s="10" t="s">
        <v>7391</v>
      </c>
      <c r="F1689" s="10" t="s">
        <v>11711</v>
      </c>
      <c r="G1689" s="10" t="s">
        <v>23</v>
      </c>
      <c r="H1689" s="7" t="s">
        <v>7839</v>
      </c>
      <c r="I1689" s="7" t="s">
        <v>25</v>
      </c>
      <c r="J1689" s="13" t="str">
        <f>HYPERLINK("https://www.airitibooks.com/Detail/Detail?PublicationID=P20190614231", "https://www.airitibooks.com/Detail/Detail?PublicationID=P20190614231")</f>
        <v>https://www.airitibooks.com/Detail/Detail?PublicationID=P20190614231</v>
      </c>
      <c r="K1689" s="13" t="str">
        <f>HYPERLINK("https://ntsu.idm.oclc.org/login?url=https://www.airitibooks.com/Detail/Detail?PublicationID=P20190614231", "https://ntsu.idm.oclc.org/login?url=https://www.airitibooks.com/Detail/Detail?PublicationID=P20190614231")</f>
        <v>https://ntsu.idm.oclc.org/login?url=https://www.airitibooks.com/Detail/Detail?PublicationID=P20190614231</v>
      </c>
    </row>
    <row r="1690" spans="1:11" ht="51" x14ac:dyDescent="0.4">
      <c r="A1690" s="10" t="s">
        <v>11712</v>
      </c>
      <c r="B1690" s="10" t="s">
        <v>11713</v>
      </c>
      <c r="C1690" s="10" t="s">
        <v>3473</v>
      </c>
      <c r="D1690" s="10" t="s">
        <v>7876</v>
      </c>
      <c r="E1690" s="10" t="s">
        <v>7391</v>
      </c>
      <c r="F1690" s="10" t="s">
        <v>2492</v>
      </c>
      <c r="G1690" s="10" t="s">
        <v>23</v>
      </c>
      <c r="H1690" s="7" t="s">
        <v>24</v>
      </c>
      <c r="I1690" s="7" t="s">
        <v>25</v>
      </c>
      <c r="J1690" s="13" t="str">
        <f>HYPERLINK("https://www.airitibooks.com/Detail/Detail?PublicationID=P20190614232", "https://www.airitibooks.com/Detail/Detail?PublicationID=P20190614232")</f>
        <v>https://www.airitibooks.com/Detail/Detail?PublicationID=P20190614232</v>
      </c>
      <c r="K1690" s="13" t="str">
        <f>HYPERLINK("https://ntsu.idm.oclc.org/login?url=https://www.airitibooks.com/Detail/Detail?PublicationID=P20190614232", "https://ntsu.idm.oclc.org/login?url=https://www.airitibooks.com/Detail/Detail?PublicationID=P20190614232")</f>
        <v>https://ntsu.idm.oclc.org/login?url=https://www.airitibooks.com/Detail/Detail?PublicationID=P20190614232</v>
      </c>
    </row>
    <row r="1691" spans="1:11" ht="51" x14ac:dyDescent="0.4">
      <c r="A1691" s="10" t="s">
        <v>11718</v>
      </c>
      <c r="B1691" s="10" t="s">
        <v>11719</v>
      </c>
      <c r="C1691" s="10" t="s">
        <v>544</v>
      </c>
      <c r="D1691" s="10" t="s">
        <v>11720</v>
      </c>
      <c r="E1691" s="10" t="s">
        <v>7391</v>
      </c>
      <c r="F1691" s="10" t="s">
        <v>11721</v>
      </c>
      <c r="G1691" s="10" t="s">
        <v>23</v>
      </c>
      <c r="H1691" s="7" t="s">
        <v>24</v>
      </c>
      <c r="I1691" s="7" t="s">
        <v>25</v>
      </c>
      <c r="J1691" s="13" t="str">
        <f>HYPERLINK("https://www.airitibooks.com/Detail/Detail?PublicationID=P20190620001", "https://www.airitibooks.com/Detail/Detail?PublicationID=P20190620001")</f>
        <v>https://www.airitibooks.com/Detail/Detail?PublicationID=P20190620001</v>
      </c>
      <c r="K1691" s="13" t="str">
        <f>HYPERLINK("https://ntsu.idm.oclc.org/login?url=https://www.airitibooks.com/Detail/Detail?PublicationID=P20190620001", "https://ntsu.idm.oclc.org/login?url=https://www.airitibooks.com/Detail/Detail?PublicationID=P20190620001")</f>
        <v>https://ntsu.idm.oclc.org/login?url=https://www.airitibooks.com/Detail/Detail?PublicationID=P20190620001</v>
      </c>
    </row>
    <row r="1692" spans="1:11" ht="51" x14ac:dyDescent="0.4">
      <c r="A1692" s="10" t="s">
        <v>11722</v>
      </c>
      <c r="B1692" s="10" t="s">
        <v>11723</v>
      </c>
      <c r="C1692" s="10" t="s">
        <v>544</v>
      </c>
      <c r="D1692" s="10" t="s">
        <v>11724</v>
      </c>
      <c r="E1692" s="10" t="s">
        <v>7391</v>
      </c>
      <c r="F1692" s="10" t="s">
        <v>11725</v>
      </c>
      <c r="G1692" s="10" t="s">
        <v>23</v>
      </c>
      <c r="H1692" s="7" t="s">
        <v>24</v>
      </c>
      <c r="I1692" s="7" t="s">
        <v>25</v>
      </c>
      <c r="J1692" s="13" t="str">
        <f>HYPERLINK("https://www.airitibooks.com/Detail/Detail?PublicationID=P20190620005", "https://www.airitibooks.com/Detail/Detail?PublicationID=P20190620005")</f>
        <v>https://www.airitibooks.com/Detail/Detail?PublicationID=P20190620005</v>
      </c>
      <c r="K1692" s="13" t="str">
        <f>HYPERLINK("https://ntsu.idm.oclc.org/login?url=https://www.airitibooks.com/Detail/Detail?PublicationID=P20190620005", "https://ntsu.idm.oclc.org/login?url=https://www.airitibooks.com/Detail/Detail?PublicationID=P20190620005")</f>
        <v>https://ntsu.idm.oclc.org/login?url=https://www.airitibooks.com/Detail/Detail?PublicationID=P20190620005</v>
      </c>
    </row>
    <row r="1693" spans="1:11" ht="51" x14ac:dyDescent="0.4">
      <c r="A1693" s="10" t="s">
        <v>11741</v>
      </c>
      <c r="B1693" s="10" t="s">
        <v>11742</v>
      </c>
      <c r="C1693" s="10" t="s">
        <v>544</v>
      </c>
      <c r="D1693" s="10" t="s">
        <v>11743</v>
      </c>
      <c r="E1693" s="10" t="s">
        <v>7391</v>
      </c>
      <c r="F1693" s="10" t="s">
        <v>5981</v>
      </c>
      <c r="G1693" s="10" t="s">
        <v>23</v>
      </c>
      <c r="H1693" s="7" t="s">
        <v>24</v>
      </c>
      <c r="I1693" s="7" t="s">
        <v>25</v>
      </c>
      <c r="J1693" s="13" t="str">
        <f>HYPERLINK("https://www.airitibooks.com/Detail/Detail?PublicationID=P20190620014", "https://www.airitibooks.com/Detail/Detail?PublicationID=P20190620014")</f>
        <v>https://www.airitibooks.com/Detail/Detail?PublicationID=P20190620014</v>
      </c>
      <c r="K1693" s="13" t="str">
        <f>HYPERLINK("https://ntsu.idm.oclc.org/login?url=https://www.airitibooks.com/Detail/Detail?PublicationID=P20190620014", "https://ntsu.idm.oclc.org/login?url=https://www.airitibooks.com/Detail/Detail?PublicationID=P20190620014")</f>
        <v>https://ntsu.idm.oclc.org/login?url=https://www.airitibooks.com/Detail/Detail?PublicationID=P20190620014</v>
      </c>
    </row>
    <row r="1694" spans="1:11" ht="51" x14ac:dyDescent="0.4">
      <c r="A1694" s="10" t="s">
        <v>11948</v>
      </c>
      <c r="B1694" s="10" t="s">
        <v>11949</v>
      </c>
      <c r="C1694" s="10" t="s">
        <v>18</v>
      </c>
      <c r="D1694" s="10" t="s">
        <v>11950</v>
      </c>
      <c r="E1694" s="10" t="s">
        <v>7391</v>
      </c>
      <c r="F1694" s="10" t="s">
        <v>1049</v>
      </c>
      <c r="G1694" s="10" t="s">
        <v>23</v>
      </c>
      <c r="H1694" s="7" t="s">
        <v>24</v>
      </c>
      <c r="I1694" s="7" t="s">
        <v>25</v>
      </c>
      <c r="J1694" s="13" t="str">
        <f>HYPERLINK("https://www.airitibooks.com/Detail/Detail?PublicationID=P20190718003", "https://www.airitibooks.com/Detail/Detail?PublicationID=P20190718003")</f>
        <v>https://www.airitibooks.com/Detail/Detail?PublicationID=P20190718003</v>
      </c>
      <c r="K1694" s="13" t="str">
        <f>HYPERLINK("https://ntsu.idm.oclc.org/login?url=https://www.airitibooks.com/Detail/Detail?PublicationID=P20190718003", "https://ntsu.idm.oclc.org/login?url=https://www.airitibooks.com/Detail/Detail?PublicationID=P20190718003")</f>
        <v>https://ntsu.idm.oclc.org/login?url=https://www.airitibooks.com/Detail/Detail?PublicationID=P20190718003</v>
      </c>
    </row>
    <row r="1695" spans="1:11" ht="51" x14ac:dyDescent="0.4">
      <c r="A1695" s="10" t="s">
        <v>11951</v>
      </c>
      <c r="B1695" s="10" t="s">
        <v>11952</v>
      </c>
      <c r="C1695" s="10" t="s">
        <v>18</v>
      </c>
      <c r="D1695" s="10" t="s">
        <v>11953</v>
      </c>
      <c r="E1695" s="10" t="s">
        <v>7391</v>
      </c>
      <c r="F1695" s="10" t="s">
        <v>11491</v>
      </c>
      <c r="G1695" s="10" t="s">
        <v>23</v>
      </c>
      <c r="H1695" s="7" t="s">
        <v>24</v>
      </c>
      <c r="I1695" s="7" t="s">
        <v>25</v>
      </c>
      <c r="J1695" s="13" t="str">
        <f>HYPERLINK("https://www.airitibooks.com/Detail/Detail?PublicationID=P20190718004", "https://www.airitibooks.com/Detail/Detail?PublicationID=P20190718004")</f>
        <v>https://www.airitibooks.com/Detail/Detail?PublicationID=P20190718004</v>
      </c>
      <c r="K1695" s="13" t="str">
        <f>HYPERLINK("https://ntsu.idm.oclc.org/login?url=https://www.airitibooks.com/Detail/Detail?PublicationID=P20190718004", "https://ntsu.idm.oclc.org/login?url=https://www.airitibooks.com/Detail/Detail?PublicationID=P20190718004")</f>
        <v>https://ntsu.idm.oclc.org/login?url=https://www.airitibooks.com/Detail/Detail?PublicationID=P20190718004</v>
      </c>
    </row>
    <row r="1696" spans="1:11" ht="51" x14ac:dyDescent="0.4">
      <c r="A1696" s="10" t="s">
        <v>11961</v>
      </c>
      <c r="B1696" s="10" t="s">
        <v>11962</v>
      </c>
      <c r="C1696" s="10" t="s">
        <v>18</v>
      </c>
      <c r="D1696" s="10" t="s">
        <v>11963</v>
      </c>
      <c r="E1696" s="10" t="s">
        <v>7391</v>
      </c>
      <c r="F1696" s="10" t="s">
        <v>11964</v>
      </c>
      <c r="G1696" s="10" t="s">
        <v>23</v>
      </c>
      <c r="H1696" s="7" t="s">
        <v>24</v>
      </c>
      <c r="I1696" s="7" t="s">
        <v>25</v>
      </c>
      <c r="J1696" s="13" t="str">
        <f>HYPERLINK("https://www.airitibooks.com/Detail/Detail?PublicationID=P20190718009", "https://www.airitibooks.com/Detail/Detail?PublicationID=P20190718009")</f>
        <v>https://www.airitibooks.com/Detail/Detail?PublicationID=P20190718009</v>
      </c>
      <c r="K1696" s="13" t="str">
        <f>HYPERLINK("https://ntsu.idm.oclc.org/login?url=https://www.airitibooks.com/Detail/Detail?PublicationID=P20190718009", "https://ntsu.idm.oclc.org/login?url=https://www.airitibooks.com/Detail/Detail?PublicationID=P20190718009")</f>
        <v>https://ntsu.idm.oclc.org/login?url=https://www.airitibooks.com/Detail/Detail?PublicationID=P20190718009</v>
      </c>
    </row>
    <row r="1697" spans="1:11" ht="51" x14ac:dyDescent="0.4">
      <c r="A1697" s="10" t="s">
        <v>12060</v>
      </c>
      <c r="B1697" s="10" t="s">
        <v>12061</v>
      </c>
      <c r="C1697" s="10" t="s">
        <v>212</v>
      </c>
      <c r="D1697" s="10" t="s">
        <v>671</v>
      </c>
      <c r="E1697" s="10" t="s">
        <v>7391</v>
      </c>
      <c r="F1697" s="10" t="s">
        <v>1599</v>
      </c>
      <c r="G1697" s="10" t="s">
        <v>23</v>
      </c>
      <c r="H1697" s="7" t="s">
        <v>24</v>
      </c>
      <c r="I1697" s="7" t="s">
        <v>25</v>
      </c>
      <c r="J1697" s="13" t="str">
        <f>HYPERLINK("https://www.airitibooks.com/Detail/Detail?PublicationID=P20190816083", "https://www.airitibooks.com/Detail/Detail?PublicationID=P20190816083")</f>
        <v>https://www.airitibooks.com/Detail/Detail?PublicationID=P20190816083</v>
      </c>
      <c r="K1697" s="13" t="str">
        <f>HYPERLINK("https://ntsu.idm.oclc.org/login?url=https://www.airitibooks.com/Detail/Detail?PublicationID=P20190816083", "https://ntsu.idm.oclc.org/login?url=https://www.airitibooks.com/Detail/Detail?PublicationID=P20190816083")</f>
        <v>https://ntsu.idm.oclc.org/login?url=https://www.airitibooks.com/Detail/Detail?PublicationID=P20190816083</v>
      </c>
    </row>
    <row r="1698" spans="1:11" ht="51" x14ac:dyDescent="0.4">
      <c r="A1698" s="10" t="s">
        <v>12062</v>
      </c>
      <c r="B1698" s="10" t="s">
        <v>12063</v>
      </c>
      <c r="C1698" s="10" t="s">
        <v>212</v>
      </c>
      <c r="D1698" s="10" t="s">
        <v>671</v>
      </c>
      <c r="E1698" s="10" t="s">
        <v>7391</v>
      </c>
      <c r="F1698" s="10" t="s">
        <v>1599</v>
      </c>
      <c r="G1698" s="10" t="s">
        <v>23</v>
      </c>
      <c r="H1698" s="7" t="s">
        <v>24</v>
      </c>
      <c r="I1698" s="7" t="s">
        <v>25</v>
      </c>
      <c r="J1698" s="13" t="str">
        <f>HYPERLINK("https://www.airitibooks.com/Detail/Detail?PublicationID=P20190816084", "https://www.airitibooks.com/Detail/Detail?PublicationID=P20190816084")</f>
        <v>https://www.airitibooks.com/Detail/Detail?PublicationID=P20190816084</v>
      </c>
      <c r="K1698" s="13" t="str">
        <f>HYPERLINK("https://ntsu.idm.oclc.org/login?url=https://www.airitibooks.com/Detail/Detail?PublicationID=P20190816084", "https://ntsu.idm.oclc.org/login?url=https://www.airitibooks.com/Detail/Detail?PublicationID=P20190816084")</f>
        <v>https://ntsu.idm.oclc.org/login?url=https://www.airitibooks.com/Detail/Detail?PublicationID=P20190816084</v>
      </c>
    </row>
    <row r="1699" spans="1:11" ht="51" x14ac:dyDescent="0.4">
      <c r="A1699" s="10" t="s">
        <v>12064</v>
      </c>
      <c r="B1699" s="10" t="s">
        <v>12065</v>
      </c>
      <c r="C1699" s="10" t="s">
        <v>212</v>
      </c>
      <c r="D1699" s="10" t="s">
        <v>671</v>
      </c>
      <c r="E1699" s="10" t="s">
        <v>7391</v>
      </c>
      <c r="F1699" s="10" t="s">
        <v>1599</v>
      </c>
      <c r="G1699" s="10" t="s">
        <v>23</v>
      </c>
      <c r="H1699" s="7" t="s">
        <v>24</v>
      </c>
      <c r="I1699" s="7" t="s">
        <v>25</v>
      </c>
      <c r="J1699" s="13" t="str">
        <f>HYPERLINK("https://www.airitibooks.com/Detail/Detail?PublicationID=P20190816085", "https://www.airitibooks.com/Detail/Detail?PublicationID=P20190816085")</f>
        <v>https://www.airitibooks.com/Detail/Detail?PublicationID=P20190816085</v>
      </c>
      <c r="K1699" s="13" t="str">
        <f>HYPERLINK("https://ntsu.idm.oclc.org/login?url=https://www.airitibooks.com/Detail/Detail?PublicationID=P20190816085", "https://ntsu.idm.oclc.org/login?url=https://www.airitibooks.com/Detail/Detail?PublicationID=P20190816085")</f>
        <v>https://ntsu.idm.oclc.org/login?url=https://www.airitibooks.com/Detail/Detail?PublicationID=P20190816085</v>
      </c>
    </row>
    <row r="1700" spans="1:11" ht="51" x14ac:dyDescent="0.4">
      <c r="A1700" s="10" t="s">
        <v>12093</v>
      </c>
      <c r="B1700" s="10" t="s">
        <v>12094</v>
      </c>
      <c r="C1700" s="10" t="s">
        <v>7294</v>
      </c>
      <c r="D1700" s="10" t="s">
        <v>12095</v>
      </c>
      <c r="E1700" s="10" t="s">
        <v>7391</v>
      </c>
      <c r="F1700" s="10" t="s">
        <v>394</v>
      </c>
      <c r="G1700" s="10" t="s">
        <v>23</v>
      </c>
      <c r="H1700" s="7" t="s">
        <v>7839</v>
      </c>
      <c r="I1700" s="7" t="s">
        <v>25</v>
      </c>
      <c r="J1700" s="13" t="str">
        <f>HYPERLINK("https://www.airitibooks.com/Detail/Detail?PublicationID=P20190816166", "https://www.airitibooks.com/Detail/Detail?PublicationID=P20190816166")</f>
        <v>https://www.airitibooks.com/Detail/Detail?PublicationID=P20190816166</v>
      </c>
      <c r="K1700" s="13" t="str">
        <f>HYPERLINK("https://ntsu.idm.oclc.org/login?url=https://www.airitibooks.com/Detail/Detail?PublicationID=P20190816166", "https://ntsu.idm.oclc.org/login?url=https://www.airitibooks.com/Detail/Detail?PublicationID=P20190816166")</f>
        <v>https://ntsu.idm.oclc.org/login?url=https://www.airitibooks.com/Detail/Detail?PublicationID=P20190816166</v>
      </c>
    </row>
    <row r="1701" spans="1:11" ht="51" x14ac:dyDescent="0.4">
      <c r="A1701" s="10" t="s">
        <v>12096</v>
      </c>
      <c r="B1701" s="10" t="s">
        <v>12097</v>
      </c>
      <c r="C1701" s="10" t="s">
        <v>7294</v>
      </c>
      <c r="D1701" s="10" t="s">
        <v>12098</v>
      </c>
      <c r="E1701" s="10" t="s">
        <v>7391</v>
      </c>
      <c r="F1701" s="10" t="s">
        <v>394</v>
      </c>
      <c r="G1701" s="10" t="s">
        <v>23</v>
      </c>
      <c r="H1701" s="7" t="s">
        <v>7839</v>
      </c>
      <c r="I1701" s="7" t="s">
        <v>25</v>
      </c>
      <c r="J1701" s="13" t="str">
        <f>HYPERLINK("https://www.airitibooks.com/Detail/Detail?PublicationID=P20190816167", "https://www.airitibooks.com/Detail/Detail?PublicationID=P20190816167")</f>
        <v>https://www.airitibooks.com/Detail/Detail?PublicationID=P20190816167</v>
      </c>
      <c r="K1701" s="13" t="str">
        <f>HYPERLINK("https://ntsu.idm.oclc.org/login?url=https://www.airitibooks.com/Detail/Detail?PublicationID=P20190816167", "https://ntsu.idm.oclc.org/login?url=https://www.airitibooks.com/Detail/Detail?PublicationID=P20190816167")</f>
        <v>https://ntsu.idm.oclc.org/login?url=https://www.airitibooks.com/Detail/Detail?PublicationID=P20190816167</v>
      </c>
    </row>
    <row r="1702" spans="1:11" ht="51" x14ac:dyDescent="0.4">
      <c r="A1702" s="10" t="s">
        <v>12099</v>
      </c>
      <c r="B1702" s="10" t="s">
        <v>12100</v>
      </c>
      <c r="C1702" s="10" t="s">
        <v>7294</v>
      </c>
      <c r="D1702" s="10" t="s">
        <v>12101</v>
      </c>
      <c r="E1702" s="10" t="s">
        <v>7391</v>
      </c>
      <c r="F1702" s="10" t="s">
        <v>3181</v>
      </c>
      <c r="G1702" s="10" t="s">
        <v>23</v>
      </c>
      <c r="H1702" s="7" t="s">
        <v>24</v>
      </c>
      <c r="I1702" s="7" t="s">
        <v>25</v>
      </c>
      <c r="J1702" s="13" t="str">
        <f>HYPERLINK("https://www.airitibooks.com/Detail/Detail?PublicationID=P20190816168", "https://www.airitibooks.com/Detail/Detail?PublicationID=P20190816168")</f>
        <v>https://www.airitibooks.com/Detail/Detail?PublicationID=P20190816168</v>
      </c>
      <c r="K1702" s="13" t="str">
        <f>HYPERLINK("https://ntsu.idm.oclc.org/login?url=https://www.airitibooks.com/Detail/Detail?PublicationID=P20190816168", "https://ntsu.idm.oclc.org/login?url=https://www.airitibooks.com/Detail/Detail?PublicationID=P20190816168")</f>
        <v>https://ntsu.idm.oclc.org/login?url=https://www.airitibooks.com/Detail/Detail?PublicationID=P20190816168</v>
      </c>
    </row>
    <row r="1703" spans="1:11" ht="68" x14ac:dyDescent="0.4">
      <c r="A1703" s="10" t="s">
        <v>12102</v>
      </c>
      <c r="B1703" s="10" t="s">
        <v>12103</v>
      </c>
      <c r="C1703" s="10" t="s">
        <v>7294</v>
      </c>
      <c r="D1703" s="10" t="s">
        <v>12104</v>
      </c>
      <c r="E1703" s="10" t="s">
        <v>7391</v>
      </c>
      <c r="F1703" s="10" t="s">
        <v>4326</v>
      </c>
      <c r="G1703" s="10" t="s">
        <v>23</v>
      </c>
      <c r="H1703" s="7" t="s">
        <v>24</v>
      </c>
      <c r="I1703" s="7" t="s">
        <v>25</v>
      </c>
      <c r="J1703" s="13" t="str">
        <f>HYPERLINK("https://www.airitibooks.com/Detail/Detail?PublicationID=P20190816170", "https://www.airitibooks.com/Detail/Detail?PublicationID=P20190816170")</f>
        <v>https://www.airitibooks.com/Detail/Detail?PublicationID=P20190816170</v>
      </c>
      <c r="K1703" s="13" t="str">
        <f>HYPERLINK("https://ntsu.idm.oclc.org/login?url=https://www.airitibooks.com/Detail/Detail?PublicationID=P20190816170", "https://ntsu.idm.oclc.org/login?url=https://www.airitibooks.com/Detail/Detail?PublicationID=P20190816170")</f>
        <v>https://ntsu.idm.oclc.org/login?url=https://www.airitibooks.com/Detail/Detail?PublicationID=P20190816170</v>
      </c>
    </row>
    <row r="1704" spans="1:11" ht="51" x14ac:dyDescent="0.4">
      <c r="A1704" s="10" t="s">
        <v>12105</v>
      </c>
      <c r="B1704" s="10" t="s">
        <v>12106</v>
      </c>
      <c r="C1704" s="10" t="s">
        <v>7294</v>
      </c>
      <c r="D1704" s="10" t="s">
        <v>7301</v>
      </c>
      <c r="E1704" s="10" t="s">
        <v>7391</v>
      </c>
      <c r="F1704" s="10" t="s">
        <v>394</v>
      </c>
      <c r="G1704" s="10" t="s">
        <v>23</v>
      </c>
      <c r="H1704" s="7" t="s">
        <v>7839</v>
      </c>
      <c r="I1704" s="7" t="s">
        <v>25</v>
      </c>
      <c r="J1704" s="13" t="str">
        <f>HYPERLINK("https://www.airitibooks.com/Detail/Detail?PublicationID=P20190816171", "https://www.airitibooks.com/Detail/Detail?PublicationID=P20190816171")</f>
        <v>https://www.airitibooks.com/Detail/Detail?PublicationID=P20190816171</v>
      </c>
      <c r="K1704" s="13" t="str">
        <f>HYPERLINK("https://ntsu.idm.oclc.org/login?url=https://www.airitibooks.com/Detail/Detail?PublicationID=P20190816171", "https://ntsu.idm.oclc.org/login?url=https://www.airitibooks.com/Detail/Detail?PublicationID=P20190816171")</f>
        <v>https://ntsu.idm.oclc.org/login?url=https://www.airitibooks.com/Detail/Detail?PublicationID=P20190816171</v>
      </c>
    </row>
    <row r="1705" spans="1:11" ht="68" x14ac:dyDescent="0.4">
      <c r="A1705" s="10" t="s">
        <v>12107</v>
      </c>
      <c r="B1705" s="10" t="s">
        <v>12108</v>
      </c>
      <c r="C1705" s="10" t="s">
        <v>7294</v>
      </c>
      <c r="D1705" s="10" t="s">
        <v>12104</v>
      </c>
      <c r="E1705" s="10" t="s">
        <v>7391</v>
      </c>
      <c r="F1705" s="10" t="s">
        <v>7869</v>
      </c>
      <c r="G1705" s="10" t="s">
        <v>23</v>
      </c>
      <c r="H1705" s="7" t="s">
        <v>24</v>
      </c>
      <c r="I1705" s="7" t="s">
        <v>25</v>
      </c>
      <c r="J1705" s="13" t="str">
        <f>HYPERLINK("https://www.airitibooks.com/Detail/Detail?PublicationID=P20190816172", "https://www.airitibooks.com/Detail/Detail?PublicationID=P20190816172")</f>
        <v>https://www.airitibooks.com/Detail/Detail?PublicationID=P20190816172</v>
      </c>
      <c r="K1705" s="13" t="str">
        <f>HYPERLINK("https://ntsu.idm.oclc.org/login?url=https://www.airitibooks.com/Detail/Detail?PublicationID=P20190816172", "https://ntsu.idm.oclc.org/login?url=https://www.airitibooks.com/Detail/Detail?PublicationID=P20190816172")</f>
        <v>https://ntsu.idm.oclc.org/login?url=https://www.airitibooks.com/Detail/Detail?PublicationID=P20190816172</v>
      </c>
    </row>
    <row r="1706" spans="1:11" ht="51" x14ac:dyDescent="0.4">
      <c r="A1706" s="10" t="s">
        <v>12109</v>
      </c>
      <c r="B1706" s="10" t="s">
        <v>12110</v>
      </c>
      <c r="C1706" s="10" t="s">
        <v>3473</v>
      </c>
      <c r="D1706" s="10" t="s">
        <v>12111</v>
      </c>
      <c r="E1706" s="10" t="s">
        <v>7391</v>
      </c>
      <c r="F1706" s="10" t="s">
        <v>394</v>
      </c>
      <c r="G1706" s="10" t="s">
        <v>23</v>
      </c>
      <c r="H1706" s="7" t="s">
        <v>7839</v>
      </c>
      <c r="I1706" s="7" t="s">
        <v>25</v>
      </c>
      <c r="J1706" s="13" t="str">
        <f>HYPERLINK("https://www.airitibooks.com/Detail/Detail?PublicationID=P20190816173", "https://www.airitibooks.com/Detail/Detail?PublicationID=P20190816173")</f>
        <v>https://www.airitibooks.com/Detail/Detail?PublicationID=P20190816173</v>
      </c>
      <c r="K1706" s="13" t="str">
        <f>HYPERLINK("https://ntsu.idm.oclc.org/login?url=https://www.airitibooks.com/Detail/Detail?PublicationID=P20190816173", "https://ntsu.idm.oclc.org/login?url=https://www.airitibooks.com/Detail/Detail?PublicationID=P20190816173")</f>
        <v>https://ntsu.idm.oclc.org/login?url=https://www.airitibooks.com/Detail/Detail?PublicationID=P20190816173</v>
      </c>
    </row>
    <row r="1707" spans="1:11" ht="68" x14ac:dyDescent="0.4">
      <c r="A1707" s="10" t="s">
        <v>12112</v>
      </c>
      <c r="B1707" s="10" t="s">
        <v>12113</v>
      </c>
      <c r="C1707" s="10" t="s">
        <v>3473</v>
      </c>
      <c r="D1707" s="10" t="s">
        <v>12111</v>
      </c>
      <c r="E1707" s="10" t="s">
        <v>7391</v>
      </c>
      <c r="F1707" s="10" t="s">
        <v>394</v>
      </c>
      <c r="G1707" s="10" t="s">
        <v>23</v>
      </c>
      <c r="H1707" s="7" t="s">
        <v>7839</v>
      </c>
      <c r="I1707" s="7" t="s">
        <v>25</v>
      </c>
      <c r="J1707" s="13" t="str">
        <f>HYPERLINK("https://www.airitibooks.com/Detail/Detail?PublicationID=P20190816174", "https://www.airitibooks.com/Detail/Detail?PublicationID=P20190816174")</f>
        <v>https://www.airitibooks.com/Detail/Detail?PublicationID=P20190816174</v>
      </c>
      <c r="K1707" s="13" t="str">
        <f>HYPERLINK("https://ntsu.idm.oclc.org/login?url=https://www.airitibooks.com/Detail/Detail?PublicationID=P20190816174", "https://ntsu.idm.oclc.org/login?url=https://www.airitibooks.com/Detail/Detail?PublicationID=P20190816174")</f>
        <v>https://ntsu.idm.oclc.org/login?url=https://www.airitibooks.com/Detail/Detail?PublicationID=P20190816174</v>
      </c>
    </row>
    <row r="1708" spans="1:11" ht="51" x14ac:dyDescent="0.4">
      <c r="A1708" s="10" t="s">
        <v>12114</v>
      </c>
      <c r="B1708" s="10" t="s">
        <v>12115</v>
      </c>
      <c r="C1708" s="10" t="s">
        <v>3473</v>
      </c>
      <c r="D1708" s="10" t="s">
        <v>7876</v>
      </c>
      <c r="E1708" s="10" t="s">
        <v>7391</v>
      </c>
      <c r="F1708" s="10" t="s">
        <v>214</v>
      </c>
      <c r="G1708" s="10" t="s">
        <v>23</v>
      </c>
      <c r="H1708" s="7" t="s">
        <v>7839</v>
      </c>
      <c r="I1708" s="7" t="s">
        <v>25</v>
      </c>
      <c r="J1708" s="13" t="str">
        <f>HYPERLINK("https://www.airitibooks.com/Detail/Detail?PublicationID=P20190816175", "https://www.airitibooks.com/Detail/Detail?PublicationID=P20190816175")</f>
        <v>https://www.airitibooks.com/Detail/Detail?PublicationID=P20190816175</v>
      </c>
      <c r="K1708" s="13" t="str">
        <f>HYPERLINK("https://ntsu.idm.oclc.org/login?url=https://www.airitibooks.com/Detail/Detail?PublicationID=P20190816175", "https://ntsu.idm.oclc.org/login?url=https://www.airitibooks.com/Detail/Detail?PublicationID=P20190816175")</f>
        <v>https://ntsu.idm.oclc.org/login?url=https://www.airitibooks.com/Detail/Detail?PublicationID=P20190816175</v>
      </c>
    </row>
    <row r="1709" spans="1:11" ht="51" x14ac:dyDescent="0.4">
      <c r="A1709" s="10" t="s">
        <v>12116</v>
      </c>
      <c r="B1709" s="10" t="s">
        <v>12117</v>
      </c>
      <c r="C1709" s="10" t="s">
        <v>3473</v>
      </c>
      <c r="D1709" s="10" t="s">
        <v>7876</v>
      </c>
      <c r="E1709" s="10" t="s">
        <v>7391</v>
      </c>
      <c r="F1709" s="10" t="s">
        <v>214</v>
      </c>
      <c r="G1709" s="10" t="s">
        <v>23</v>
      </c>
      <c r="H1709" s="7" t="s">
        <v>7839</v>
      </c>
      <c r="I1709" s="7" t="s">
        <v>25</v>
      </c>
      <c r="J1709" s="13" t="str">
        <f>HYPERLINK("https://www.airitibooks.com/Detail/Detail?PublicationID=P20190816176", "https://www.airitibooks.com/Detail/Detail?PublicationID=P20190816176")</f>
        <v>https://www.airitibooks.com/Detail/Detail?PublicationID=P20190816176</v>
      </c>
      <c r="K1709" s="13" t="str">
        <f>HYPERLINK("https://ntsu.idm.oclc.org/login?url=https://www.airitibooks.com/Detail/Detail?PublicationID=P20190816176", "https://ntsu.idm.oclc.org/login?url=https://www.airitibooks.com/Detail/Detail?PublicationID=P20190816176")</f>
        <v>https://ntsu.idm.oclc.org/login?url=https://www.airitibooks.com/Detail/Detail?PublicationID=P20190816176</v>
      </c>
    </row>
    <row r="1710" spans="1:11" ht="68" x14ac:dyDescent="0.4">
      <c r="A1710" s="10" t="s">
        <v>12118</v>
      </c>
      <c r="B1710" s="10" t="s">
        <v>12119</v>
      </c>
      <c r="C1710" s="10" t="s">
        <v>7294</v>
      </c>
      <c r="D1710" s="10" t="s">
        <v>12104</v>
      </c>
      <c r="E1710" s="10" t="s">
        <v>7391</v>
      </c>
      <c r="F1710" s="10" t="s">
        <v>1122</v>
      </c>
      <c r="G1710" s="10" t="s">
        <v>23</v>
      </c>
      <c r="H1710" s="7" t="s">
        <v>24</v>
      </c>
      <c r="I1710" s="7" t="s">
        <v>25</v>
      </c>
      <c r="J1710" s="13" t="str">
        <f>HYPERLINK("https://www.airitibooks.com/Detail/Detail?PublicationID=P20190816177", "https://www.airitibooks.com/Detail/Detail?PublicationID=P20190816177")</f>
        <v>https://www.airitibooks.com/Detail/Detail?PublicationID=P20190816177</v>
      </c>
      <c r="K1710" s="13" t="str">
        <f>HYPERLINK("https://ntsu.idm.oclc.org/login?url=https://www.airitibooks.com/Detail/Detail?PublicationID=P20190816177", "https://ntsu.idm.oclc.org/login?url=https://www.airitibooks.com/Detail/Detail?PublicationID=P20190816177")</f>
        <v>https://ntsu.idm.oclc.org/login?url=https://www.airitibooks.com/Detail/Detail?PublicationID=P20190816177</v>
      </c>
    </row>
    <row r="1711" spans="1:11" ht="68" x14ac:dyDescent="0.4">
      <c r="A1711" s="10" t="s">
        <v>12120</v>
      </c>
      <c r="B1711" s="10" t="s">
        <v>12121</v>
      </c>
      <c r="C1711" s="10" t="s">
        <v>7294</v>
      </c>
      <c r="D1711" s="10" t="s">
        <v>12104</v>
      </c>
      <c r="E1711" s="10" t="s">
        <v>7391</v>
      </c>
      <c r="F1711" s="10" t="s">
        <v>214</v>
      </c>
      <c r="G1711" s="10" t="s">
        <v>23</v>
      </c>
      <c r="H1711" s="7" t="s">
        <v>7839</v>
      </c>
      <c r="I1711" s="7" t="s">
        <v>25</v>
      </c>
      <c r="J1711" s="13" t="str">
        <f>HYPERLINK("https://www.airitibooks.com/Detail/Detail?PublicationID=P20190816178", "https://www.airitibooks.com/Detail/Detail?PublicationID=P20190816178")</f>
        <v>https://www.airitibooks.com/Detail/Detail?PublicationID=P20190816178</v>
      </c>
      <c r="K1711" s="13" t="str">
        <f>HYPERLINK("https://ntsu.idm.oclc.org/login?url=https://www.airitibooks.com/Detail/Detail?PublicationID=P20190816178", "https://ntsu.idm.oclc.org/login?url=https://www.airitibooks.com/Detail/Detail?PublicationID=P20190816178")</f>
        <v>https://ntsu.idm.oclc.org/login?url=https://www.airitibooks.com/Detail/Detail?PublicationID=P20190816178</v>
      </c>
    </row>
    <row r="1712" spans="1:11" ht="51" x14ac:dyDescent="0.4">
      <c r="A1712" s="10" t="s">
        <v>12122</v>
      </c>
      <c r="B1712" s="10" t="s">
        <v>12123</v>
      </c>
      <c r="C1712" s="10" t="s">
        <v>7294</v>
      </c>
      <c r="D1712" s="10" t="s">
        <v>7301</v>
      </c>
      <c r="E1712" s="10" t="s">
        <v>7391</v>
      </c>
      <c r="F1712" s="10" t="s">
        <v>394</v>
      </c>
      <c r="G1712" s="10" t="s">
        <v>23</v>
      </c>
      <c r="H1712" s="7" t="s">
        <v>7839</v>
      </c>
      <c r="I1712" s="7" t="s">
        <v>25</v>
      </c>
      <c r="J1712" s="13" t="str">
        <f>HYPERLINK("https://www.airitibooks.com/Detail/Detail?PublicationID=P20190816179", "https://www.airitibooks.com/Detail/Detail?PublicationID=P20190816179")</f>
        <v>https://www.airitibooks.com/Detail/Detail?PublicationID=P20190816179</v>
      </c>
      <c r="K1712" s="13" t="str">
        <f>HYPERLINK("https://ntsu.idm.oclc.org/login?url=https://www.airitibooks.com/Detail/Detail?PublicationID=P20190816179", "https://ntsu.idm.oclc.org/login?url=https://www.airitibooks.com/Detail/Detail?PublicationID=P20190816179")</f>
        <v>https://ntsu.idm.oclc.org/login?url=https://www.airitibooks.com/Detail/Detail?PublicationID=P20190816179</v>
      </c>
    </row>
    <row r="1713" spans="1:11" ht="51" x14ac:dyDescent="0.4">
      <c r="A1713" s="10" t="s">
        <v>12124</v>
      </c>
      <c r="B1713" s="10" t="s">
        <v>12125</v>
      </c>
      <c r="C1713" s="10" t="s">
        <v>7294</v>
      </c>
      <c r="D1713" s="10" t="s">
        <v>7301</v>
      </c>
      <c r="E1713" s="10" t="s">
        <v>7391</v>
      </c>
      <c r="F1713" s="10" t="s">
        <v>394</v>
      </c>
      <c r="G1713" s="10" t="s">
        <v>23</v>
      </c>
      <c r="H1713" s="7" t="s">
        <v>7839</v>
      </c>
      <c r="I1713" s="7" t="s">
        <v>25</v>
      </c>
      <c r="J1713" s="13" t="str">
        <f>HYPERLINK("https://www.airitibooks.com/Detail/Detail?PublicationID=P20190816180", "https://www.airitibooks.com/Detail/Detail?PublicationID=P20190816180")</f>
        <v>https://www.airitibooks.com/Detail/Detail?PublicationID=P20190816180</v>
      </c>
      <c r="K1713" s="13" t="str">
        <f>HYPERLINK("https://ntsu.idm.oclc.org/login?url=https://www.airitibooks.com/Detail/Detail?PublicationID=P20190816180", "https://ntsu.idm.oclc.org/login?url=https://www.airitibooks.com/Detail/Detail?PublicationID=P20190816180")</f>
        <v>https://ntsu.idm.oclc.org/login?url=https://www.airitibooks.com/Detail/Detail?PublicationID=P20190816180</v>
      </c>
    </row>
    <row r="1714" spans="1:11" ht="51" x14ac:dyDescent="0.4">
      <c r="A1714" s="10" t="s">
        <v>12126</v>
      </c>
      <c r="B1714" s="10" t="s">
        <v>12127</v>
      </c>
      <c r="C1714" s="10" t="s">
        <v>7294</v>
      </c>
      <c r="D1714" s="10" t="s">
        <v>7301</v>
      </c>
      <c r="E1714" s="10" t="s">
        <v>7391</v>
      </c>
      <c r="F1714" s="10" t="s">
        <v>394</v>
      </c>
      <c r="G1714" s="10" t="s">
        <v>23</v>
      </c>
      <c r="H1714" s="7" t="s">
        <v>7839</v>
      </c>
      <c r="I1714" s="7" t="s">
        <v>25</v>
      </c>
      <c r="J1714" s="13" t="str">
        <f>HYPERLINK("https://www.airitibooks.com/Detail/Detail?PublicationID=P20190816181", "https://www.airitibooks.com/Detail/Detail?PublicationID=P20190816181")</f>
        <v>https://www.airitibooks.com/Detail/Detail?PublicationID=P20190816181</v>
      </c>
      <c r="K1714" s="13" t="str">
        <f>HYPERLINK("https://ntsu.idm.oclc.org/login?url=https://www.airitibooks.com/Detail/Detail?PublicationID=P20190816181", "https://ntsu.idm.oclc.org/login?url=https://www.airitibooks.com/Detail/Detail?PublicationID=P20190816181")</f>
        <v>https://ntsu.idm.oclc.org/login?url=https://www.airitibooks.com/Detail/Detail?PublicationID=P20190816181</v>
      </c>
    </row>
    <row r="1715" spans="1:11" ht="51" x14ac:dyDescent="0.4">
      <c r="A1715" s="10" t="s">
        <v>12128</v>
      </c>
      <c r="B1715" s="10" t="s">
        <v>12129</v>
      </c>
      <c r="C1715" s="10" t="s">
        <v>7294</v>
      </c>
      <c r="D1715" s="10" t="s">
        <v>7301</v>
      </c>
      <c r="E1715" s="10" t="s">
        <v>7391</v>
      </c>
      <c r="F1715" s="10" t="s">
        <v>394</v>
      </c>
      <c r="G1715" s="10" t="s">
        <v>23</v>
      </c>
      <c r="H1715" s="7" t="s">
        <v>7839</v>
      </c>
      <c r="I1715" s="7" t="s">
        <v>25</v>
      </c>
      <c r="J1715" s="13" t="str">
        <f>HYPERLINK("https://www.airitibooks.com/Detail/Detail?PublicationID=P20190816182", "https://www.airitibooks.com/Detail/Detail?PublicationID=P20190816182")</f>
        <v>https://www.airitibooks.com/Detail/Detail?PublicationID=P20190816182</v>
      </c>
      <c r="K1715" s="13" t="str">
        <f>HYPERLINK("https://ntsu.idm.oclc.org/login?url=https://www.airitibooks.com/Detail/Detail?PublicationID=P20190816182", "https://ntsu.idm.oclc.org/login?url=https://www.airitibooks.com/Detail/Detail?PublicationID=P20190816182")</f>
        <v>https://ntsu.idm.oclc.org/login?url=https://www.airitibooks.com/Detail/Detail?PublicationID=P20190816182</v>
      </c>
    </row>
    <row r="1716" spans="1:11" ht="51" x14ac:dyDescent="0.4">
      <c r="A1716" s="10" t="s">
        <v>12130</v>
      </c>
      <c r="B1716" s="10" t="s">
        <v>12131</v>
      </c>
      <c r="C1716" s="10" t="s">
        <v>7294</v>
      </c>
      <c r="D1716" s="10" t="s">
        <v>12132</v>
      </c>
      <c r="E1716" s="10" t="s">
        <v>7391</v>
      </c>
      <c r="F1716" s="10" t="s">
        <v>394</v>
      </c>
      <c r="G1716" s="10" t="s">
        <v>23</v>
      </c>
      <c r="H1716" s="7" t="s">
        <v>7839</v>
      </c>
      <c r="I1716" s="7" t="s">
        <v>25</v>
      </c>
      <c r="J1716" s="13" t="str">
        <f>HYPERLINK("https://www.airitibooks.com/Detail/Detail?PublicationID=P20190816183", "https://www.airitibooks.com/Detail/Detail?PublicationID=P20190816183")</f>
        <v>https://www.airitibooks.com/Detail/Detail?PublicationID=P20190816183</v>
      </c>
      <c r="K1716" s="13" t="str">
        <f>HYPERLINK("https://ntsu.idm.oclc.org/login?url=https://www.airitibooks.com/Detail/Detail?PublicationID=P20190816183", "https://ntsu.idm.oclc.org/login?url=https://www.airitibooks.com/Detail/Detail?PublicationID=P20190816183")</f>
        <v>https://ntsu.idm.oclc.org/login?url=https://www.airitibooks.com/Detail/Detail?PublicationID=P20190816183</v>
      </c>
    </row>
    <row r="1717" spans="1:11" ht="51" x14ac:dyDescent="0.4">
      <c r="A1717" s="10" t="s">
        <v>12133</v>
      </c>
      <c r="B1717" s="10" t="s">
        <v>12134</v>
      </c>
      <c r="C1717" s="10" t="s">
        <v>7294</v>
      </c>
      <c r="D1717" s="10" t="s">
        <v>12135</v>
      </c>
      <c r="E1717" s="10" t="s">
        <v>7391</v>
      </c>
      <c r="F1717" s="10" t="s">
        <v>394</v>
      </c>
      <c r="G1717" s="10" t="s">
        <v>23</v>
      </c>
      <c r="H1717" s="7" t="s">
        <v>7839</v>
      </c>
      <c r="I1717" s="7" t="s">
        <v>25</v>
      </c>
      <c r="J1717" s="13" t="str">
        <f>HYPERLINK("https://www.airitibooks.com/Detail/Detail?PublicationID=P20190816184", "https://www.airitibooks.com/Detail/Detail?PublicationID=P20190816184")</f>
        <v>https://www.airitibooks.com/Detail/Detail?PublicationID=P20190816184</v>
      </c>
      <c r="K1717" s="13" t="str">
        <f>HYPERLINK("https://ntsu.idm.oclc.org/login?url=https://www.airitibooks.com/Detail/Detail?PublicationID=P20190816184", "https://ntsu.idm.oclc.org/login?url=https://www.airitibooks.com/Detail/Detail?PublicationID=P20190816184")</f>
        <v>https://ntsu.idm.oclc.org/login?url=https://www.airitibooks.com/Detail/Detail?PublicationID=P20190816184</v>
      </c>
    </row>
    <row r="1718" spans="1:11" ht="68" x14ac:dyDescent="0.4">
      <c r="A1718" s="10" t="s">
        <v>12136</v>
      </c>
      <c r="B1718" s="10" t="s">
        <v>12137</v>
      </c>
      <c r="C1718" s="10" t="s">
        <v>7294</v>
      </c>
      <c r="D1718" s="10" t="s">
        <v>12135</v>
      </c>
      <c r="E1718" s="10" t="s">
        <v>7391</v>
      </c>
      <c r="F1718" s="10" t="s">
        <v>394</v>
      </c>
      <c r="G1718" s="10" t="s">
        <v>23</v>
      </c>
      <c r="H1718" s="7" t="s">
        <v>7839</v>
      </c>
      <c r="I1718" s="7" t="s">
        <v>25</v>
      </c>
      <c r="J1718" s="13" t="str">
        <f>HYPERLINK("https://www.airitibooks.com/Detail/Detail?PublicationID=P20190816185", "https://www.airitibooks.com/Detail/Detail?PublicationID=P20190816185")</f>
        <v>https://www.airitibooks.com/Detail/Detail?PublicationID=P20190816185</v>
      </c>
      <c r="K1718" s="13" t="str">
        <f>HYPERLINK("https://ntsu.idm.oclc.org/login?url=https://www.airitibooks.com/Detail/Detail?PublicationID=P20190816185", "https://ntsu.idm.oclc.org/login?url=https://www.airitibooks.com/Detail/Detail?PublicationID=P20190816185")</f>
        <v>https://ntsu.idm.oclc.org/login?url=https://www.airitibooks.com/Detail/Detail?PublicationID=P20190816185</v>
      </c>
    </row>
    <row r="1719" spans="1:11" ht="51" x14ac:dyDescent="0.4">
      <c r="A1719" s="10" t="s">
        <v>12138</v>
      </c>
      <c r="B1719" s="10" t="s">
        <v>12139</v>
      </c>
      <c r="C1719" s="10" t="s">
        <v>7294</v>
      </c>
      <c r="D1719" s="10" t="s">
        <v>5672</v>
      </c>
      <c r="E1719" s="10" t="s">
        <v>7391</v>
      </c>
      <c r="F1719" s="10" t="s">
        <v>1022</v>
      </c>
      <c r="G1719" s="10" t="s">
        <v>23</v>
      </c>
      <c r="H1719" s="7" t="s">
        <v>7839</v>
      </c>
      <c r="I1719" s="7" t="s">
        <v>25</v>
      </c>
      <c r="J1719" s="13" t="str">
        <f>HYPERLINK("https://www.airitibooks.com/Detail/Detail?PublicationID=P20190816186", "https://www.airitibooks.com/Detail/Detail?PublicationID=P20190816186")</f>
        <v>https://www.airitibooks.com/Detail/Detail?PublicationID=P20190816186</v>
      </c>
      <c r="K1719" s="13" t="str">
        <f>HYPERLINK("https://ntsu.idm.oclc.org/login?url=https://www.airitibooks.com/Detail/Detail?PublicationID=P20190816186", "https://ntsu.idm.oclc.org/login?url=https://www.airitibooks.com/Detail/Detail?PublicationID=P20190816186")</f>
        <v>https://ntsu.idm.oclc.org/login?url=https://www.airitibooks.com/Detail/Detail?PublicationID=P20190816186</v>
      </c>
    </row>
    <row r="1720" spans="1:11" ht="51" x14ac:dyDescent="0.4">
      <c r="A1720" s="10" t="s">
        <v>12140</v>
      </c>
      <c r="B1720" s="10" t="s">
        <v>12141</v>
      </c>
      <c r="C1720" s="10" t="s">
        <v>7294</v>
      </c>
      <c r="D1720" s="10" t="s">
        <v>7301</v>
      </c>
      <c r="E1720" s="10" t="s">
        <v>7391</v>
      </c>
      <c r="F1720" s="10" t="s">
        <v>394</v>
      </c>
      <c r="G1720" s="10" t="s">
        <v>23</v>
      </c>
      <c r="H1720" s="7" t="s">
        <v>7839</v>
      </c>
      <c r="I1720" s="7" t="s">
        <v>25</v>
      </c>
      <c r="J1720" s="13" t="str">
        <f>HYPERLINK("https://www.airitibooks.com/Detail/Detail?PublicationID=P20190816187", "https://www.airitibooks.com/Detail/Detail?PublicationID=P20190816187")</f>
        <v>https://www.airitibooks.com/Detail/Detail?PublicationID=P20190816187</v>
      </c>
      <c r="K1720" s="13" t="str">
        <f>HYPERLINK("https://ntsu.idm.oclc.org/login?url=https://www.airitibooks.com/Detail/Detail?PublicationID=P20190816187", "https://ntsu.idm.oclc.org/login?url=https://www.airitibooks.com/Detail/Detail?PublicationID=P20190816187")</f>
        <v>https://ntsu.idm.oclc.org/login?url=https://www.airitibooks.com/Detail/Detail?PublicationID=P20190816187</v>
      </c>
    </row>
    <row r="1721" spans="1:11" ht="51" x14ac:dyDescent="0.4">
      <c r="A1721" s="10" t="s">
        <v>12164</v>
      </c>
      <c r="B1721" s="10" t="s">
        <v>12165</v>
      </c>
      <c r="C1721" s="10" t="s">
        <v>212</v>
      </c>
      <c r="D1721" s="10" t="s">
        <v>213</v>
      </c>
      <c r="E1721" s="10" t="s">
        <v>7391</v>
      </c>
      <c r="F1721" s="10" t="s">
        <v>214</v>
      </c>
      <c r="G1721" s="10" t="s">
        <v>23</v>
      </c>
      <c r="H1721" s="7" t="s">
        <v>7839</v>
      </c>
      <c r="I1721" s="7" t="s">
        <v>25</v>
      </c>
      <c r="J1721" s="13" t="str">
        <f>HYPERLINK("https://www.airitibooks.com/Detail/Detail?PublicationID=P20190816278", "https://www.airitibooks.com/Detail/Detail?PublicationID=P20190816278")</f>
        <v>https://www.airitibooks.com/Detail/Detail?PublicationID=P20190816278</v>
      </c>
      <c r="K1721" s="13" t="str">
        <f>HYPERLINK("https://ntsu.idm.oclc.org/login?url=https://www.airitibooks.com/Detail/Detail?PublicationID=P20190816278", "https://ntsu.idm.oclc.org/login?url=https://www.airitibooks.com/Detail/Detail?PublicationID=P20190816278")</f>
        <v>https://ntsu.idm.oclc.org/login?url=https://www.airitibooks.com/Detail/Detail?PublicationID=P20190816278</v>
      </c>
    </row>
    <row r="1722" spans="1:11" ht="51" x14ac:dyDescent="0.4">
      <c r="A1722" s="10" t="s">
        <v>12166</v>
      </c>
      <c r="B1722" s="10" t="s">
        <v>12167</v>
      </c>
      <c r="C1722" s="10" t="s">
        <v>212</v>
      </c>
      <c r="D1722" s="10" t="s">
        <v>213</v>
      </c>
      <c r="E1722" s="10" t="s">
        <v>7391</v>
      </c>
      <c r="F1722" s="10" t="s">
        <v>214</v>
      </c>
      <c r="G1722" s="10" t="s">
        <v>23</v>
      </c>
      <c r="H1722" s="7" t="s">
        <v>7839</v>
      </c>
      <c r="I1722" s="7" t="s">
        <v>25</v>
      </c>
      <c r="J1722" s="13" t="str">
        <f>HYPERLINK("https://www.airitibooks.com/Detail/Detail?PublicationID=P20190816279", "https://www.airitibooks.com/Detail/Detail?PublicationID=P20190816279")</f>
        <v>https://www.airitibooks.com/Detail/Detail?PublicationID=P20190816279</v>
      </c>
      <c r="K1722" s="13" t="str">
        <f>HYPERLINK("https://ntsu.idm.oclc.org/login?url=https://www.airitibooks.com/Detail/Detail?PublicationID=P20190816279", "https://ntsu.idm.oclc.org/login?url=https://www.airitibooks.com/Detail/Detail?PublicationID=P20190816279")</f>
        <v>https://ntsu.idm.oclc.org/login?url=https://www.airitibooks.com/Detail/Detail?PublicationID=P20190816279</v>
      </c>
    </row>
    <row r="1723" spans="1:11" ht="51" x14ac:dyDescent="0.4">
      <c r="A1723" s="10" t="s">
        <v>12177</v>
      </c>
      <c r="B1723" s="10" t="s">
        <v>12178</v>
      </c>
      <c r="C1723" s="10" t="s">
        <v>791</v>
      </c>
      <c r="D1723" s="10" t="s">
        <v>12179</v>
      </c>
      <c r="E1723" s="10" t="s">
        <v>7391</v>
      </c>
      <c r="F1723" s="10" t="s">
        <v>394</v>
      </c>
      <c r="G1723" s="10" t="s">
        <v>23</v>
      </c>
      <c r="H1723" s="7" t="s">
        <v>7839</v>
      </c>
      <c r="I1723" s="7" t="s">
        <v>25</v>
      </c>
      <c r="J1723" s="13" t="str">
        <f>HYPERLINK("https://www.airitibooks.com/Detail/Detail?PublicationID=P20190823012", "https://www.airitibooks.com/Detail/Detail?PublicationID=P20190823012")</f>
        <v>https://www.airitibooks.com/Detail/Detail?PublicationID=P20190823012</v>
      </c>
      <c r="K1723" s="13" t="str">
        <f>HYPERLINK("https://ntsu.idm.oclc.org/login?url=https://www.airitibooks.com/Detail/Detail?PublicationID=P20190823012", "https://ntsu.idm.oclc.org/login?url=https://www.airitibooks.com/Detail/Detail?PublicationID=P20190823012")</f>
        <v>https://ntsu.idm.oclc.org/login?url=https://www.airitibooks.com/Detail/Detail?PublicationID=P20190823012</v>
      </c>
    </row>
    <row r="1724" spans="1:11" ht="68" x14ac:dyDescent="0.4">
      <c r="A1724" s="10" t="s">
        <v>12180</v>
      </c>
      <c r="B1724" s="10" t="s">
        <v>12181</v>
      </c>
      <c r="C1724" s="10" t="s">
        <v>791</v>
      </c>
      <c r="D1724" s="10" t="s">
        <v>12182</v>
      </c>
      <c r="E1724" s="10" t="s">
        <v>7391</v>
      </c>
      <c r="F1724" s="10" t="s">
        <v>394</v>
      </c>
      <c r="G1724" s="10" t="s">
        <v>23</v>
      </c>
      <c r="H1724" s="7" t="s">
        <v>7839</v>
      </c>
      <c r="I1724" s="7" t="s">
        <v>25</v>
      </c>
      <c r="J1724" s="13" t="str">
        <f>HYPERLINK("https://www.airitibooks.com/Detail/Detail?PublicationID=P20190823013", "https://www.airitibooks.com/Detail/Detail?PublicationID=P20190823013")</f>
        <v>https://www.airitibooks.com/Detail/Detail?PublicationID=P20190823013</v>
      </c>
      <c r="K1724" s="13" t="str">
        <f>HYPERLINK("https://ntsu.idm.oclc.org/login?url=https://www.airitibooks.com/Detail/Detail?PublicationID=P20190823013", "https://ntsu.idm.oclc.org/login?url=https://www.airitibooks.com/Detail/Detail?PublicationID=P20190823013")</f>
        <v>https://ntsu.idm.oclc.org/login?url=https://www.airitibooks.com/Detail/Detail?PublicationID=P20190823013</v>
      </c>
    </row>
    <row r="1725" spans="1:11" ht="51" x14ac:dyDescent="0.4">
      <c r="A1725" s="10" t="s">
        <v>12183</v>
      </c>
      <c r="B1725" s="10" t="s">
        <v>12184</v>
      </c>
      <c r="C1725" s="10" t="s">
        <v>7294</v>
      </c>
      <c r="D1725" s="10" t="s">
        <v>12135</v>
      </c>
      <c r="E1725" s="10" t="s">
        <v>7391</v>
      </c>
      <c r="F1725" s="10" t="s">
        <v>394</v>
      </c>
      <c r="G1725" s="10" t="s">
        <v>23</v>
      </c>
      <c r="H1725" s="7" t="s">
        <v>7839</v>
      </c>
      <c r="I1725" s="7" t="s">
        <v>25</v>
      </c>
      <c r="J1725" s="13" t="str">
        <f>HYPERLINK("https://www.airitibooks.com/Detail/Detail?PublicationID=P20190823040", "https://www.airitibooks.com/Detail/Detail?PublicationID=P20190823040")</f>
        <v>https://www.airitibooks.com/Detail/Detail?PublicationID=P20190823040</v>
      </c>
      <c r="K1725" s="13" t="str">
        <f>HYPERLINK("https://ntsu.idm.oclc.org/login?url=https://www.airitibooks.com/Detail/Detail?PublicationID=P20190823040", "https://ntsu.idm.oclc.org/login?url=https://www.airitibooks.com/Detail/Detail?PublicationID=P20190823040")</f>
        <v>https://ntsu.idm.oclc.org/login?url=https://www.airitibooks.com/Detail/Detail?PublicationID=P20190823040</v>
      </c>
    </row>
    <row r="1726" spans="1:11" ht="102" x14ac:dyDescent="0.4">
      <c r="A1726" s="10" t="s">
        <v>12225</v>
      </c>
      <c r="B1726" s="10" t="s">
        <v>12226</v>
      </c>
      <c r="C1726" s="10" t="s">
        <v>499</v>
      </c>
      <c r="D1726" s="10" t="s">
        <v>12227</v>
      </c>
      <c r="E1726" s="10" t="s">
        <v>7391</v>
      </c>
      <c r="F1726" s="10" t="s">
        <v>12228</v>
      </c>
      <c r="G1726" s="10" t="s">
        <v>23</v>
      </c>
      <c r="H1726" s="7" t="s">
        <v>24</v>
      </c>
      <c r="I1726" s="7" t="s">
        <v>25</v>
      </c>
      <c r="J1726" s="13" t="str">
        <f>HYPERLINK("https://www.airitibooks.com/Detail/Detail?PublicationID=P20190905049", "https://www.airitibooks.com/Detail/Detail?PublicationID=P20190905049")</f>
        <v>https://www.airitibooks.com/Detail/Detail?PublicationID=P20190905049</v>
      </c>
      <c r="K1726" s="13" t="str">
        <f>HYPERLINK("https://ntsu.idm.oclc.org/login?url=https://www.airitibooks.com/Detail/Detail?PublicationID=P20190905049", "https://ntsu.idm.oclc.org/login?url=https://www.airitibooks.com/Detail/Detail?PublicationID=P20190905049")</f>
        <v>https://ntsu.idm.oclc.org/login?url=https://www.airitibooks.com/Detail/Detail?PublicationID=P20190905049</v>
      </c>
    </row>
    <row r="1727" spans="1:11" ht="51" x14ac:dyDescent="0.4">
      <c r="A1727" s="10" t="s">
        <v>12289</v>
      </c>
      <c r="B1727" s="10" t="s">
        <v>12290</v>
      </c>
      <c r="C1727" s="10" t="s">
        <v>240</v>
      </c>
      <c r="D1727" s="10" t="s">
        <v>12291</v>
      </c>
      <c r="E1727" s="10" t="s">
        <v>7391</v>
      </c>
      <c r="F1727" s="10" t="s">
        <v>565</v>
      </c>
      <c r="G1727" s="10" t="s">
        <v>23</v>
      </c>
      <c r="H1727" s="7" t="s">
        <v>24</v>
      </c>
      <c r="I1727" s="7" t="s">
        <v>25</v>
      </c>
      <c r="J1727" s="13" t="str">
        <f>HYPERLINK("https://www.airitibooks.com/Detail/Detail?PublicationID=P20190920060", "https://www.airitibooks.com/Detail/Detail?PublicationID=P20190920060")</f>
        <v>https://www.airitibooks.com/Detail/Detail?PublicationID=P20190920060</v>
      </c>
      <c r="K1727" s="13" t="str">
        <f>HYPERLINK("https://ntsu.idm.oclc.org/login?url=https://www.airitibooks.com/Detail/Detail?PublicationID=P20190920060", "https://ntsu.idm.oclc.org/login?url=https://www.airitibooks.com/Detail/Detail?PublicationID=P20190920060")</f>
        <v>https://ntsu.idm.oclc.org/login?url=https://www.airitibooks.com/Detail/Detail?PublicationID=P20190920060</v>
      </c>
    </row>
    <row r="1728" spans="1:11" ht="51" x14ac:dyDescent="0.4">
      <c r="A1728" s="10" t="s">
        <v>12561</v>
      </c>
      <c r="B1728" s="10" t="s">
        <v>12562</v>
      </c>
      <c r="C1728" s="10" t="s">
        <v>12510</v>
      </c>
      <c r="D1728" s="10" t="s">
        <v>12563</v>
      </c>
      <c r="E1728" s="10" t="s">
        <v>7391</v>
      </c>
      <c r="F1728" s="10" t="s">
        <v>2325</v>
      </c>
      <c r="G1728" s="10" t="s">
        <v>23</v>
      </c>
      <c r="H1728" s="7" t="s">
        <v>1031</v>
      </c>
      <c r="I1728" s="7" t="s">
        <v>25</v>
      </c>
      <c r="J1728" s="13" t="str">
        <f>HYPERLINK("https://www.airitibooks.com/Detail/Detail?PublicationID=P20191009127", "https://www.airitibooks.com/Detail/Detail?PublicationID=P20191009127")</f>
        <v>https://www.airitibooks.com/Detail/Detail?PublicationID=P20191009127</v>
      </c>
      <c r="K1728" s="13" t="str">
        <f>HYPERLINK("https://ntsu.idm.oclc.org/login?url=https://www.airitibooks.com/Detail/Detail?PublicationID=P20191009127", "https://ntsu.idm.oclc.org/login?url=https://www.airitibooks.com/Detail/Detail?PublicationID=P20191009127")</f>
        <v>https://ntsu.idm.oclc.org/login?url=https://www.airitibooks.com/Detail/Detail?PublicationID=P20191009127</v>
      </c>
    </row>
    <row r="1729" spans="1:11" ht="51" x14ac:dyDescent="0.4">
      <c r="A1729" s="10" t="s">
        <v>12564</v>
      </c>
      <c r="B1729" s="10" t="s">
        <v>12565</v>
      </c>
      <c r="C1729" s="10" t="s">
        <v>12510</v>
      </c>
      <c r="D1729" s="10" t="s">
        <v>12566</v>
      </c>
      <c r="E1729" s="10" t="s">
        <v>7391</v>
      </c>
      <c r="F1729" s="10" t="s">
        <v>9864</v>
      </c>
      <c r="G1729" s="10" t="s">
        <v>23</v>
      </c>
      <c r="H1729" s="7" t="s">
        <v>1031</v>
      </c>
      <c r="I1729" s="7" t="s">
        <v>25</v>
      </c>
      <c r="J1729" s="13" t="str">
        <f>HYPERLINK("https://www.airitibooks.com/Detail/Detail?PublicationID=P20191009128", "https://www.airitibooks.com/Detail/Detail?PublicationID=P20191009128")</f>
        <v>https://www.airitibooks.com/Detail/Detail?PublicationID=P20191009128</v>
      </c>
      <c r="K1729" s="13" t="str">
        <f>HYPERLINK("https://ntsu.idm.oclc.org/login?url=https://www.airitibooks.com/Detail/Detail?PublicationID=P20191009128", "https://ntsu.idm.oclc.org/login?url=https://www.airitibooks.com/Detail/Detail?PublicationID=P20191009128")</f>
        <v>https://ntsu.idm.oclc.org/login?url=https://www.airitibooks.com/Detail/Detail?PublicationID=P20191009128</v>
      </c>
    </row>
    <row r="1730" spans="1:11" ht="51" x14ac:dyDescent="0.4">
      <c r="A1730" s="10" t="s">
        <v>12567</v>
      </c>
      <c r="B1730" s="10" t="s">
        <v>12568</v>
      </c>
      <c r="C1730" s="10" t="s">
        <v>12510</v>
      </c>
      <c r="D1730" s="10" t="s">
        <v>12569</v>
      </c>
      <c r="E1730" s="10" t="s">
        <v>7391</v>
      </c>
      <c r="F1730" s="10" t="s">
        <v>9864</v>
      </c>
      <c r="G1730" s="10" t="s">
        <v>23</v>
      </c>
      <c r="H1730" s="7" t="s">
        <v>1031</v>
      </c>
      <c r="I1730" s="7" t="s">
        <v>25</v>
      </c>
      <c r="J1730" s="13" t="str">
        <f>HYPERLINK("https://www.airitibooks.com/Detail/Detail?PublicationID=P20191009129", "https://www.airitibooks.com/Detail/Detail?PublicationID=P20191009129")</f>
        <v>https://www.airitibooks.com/Detail/Detail?PublicationID=P20191009129</v>
      </c>
      <c r="K1730" s="13" t="str">
        <f>HYPERLINK("https://ntsu.idm.oclc.org/login?url=https://www.airitibooks.com/Detail/Detail?PublicationID=P20191009129", "https://ntsu.idm.oclc.org/login?url=https://www.airitibooks.com/Detail/Detail?PublicationID=P20191009129")</f>
        <v>https://ntsu.idm.oclc.org/login?url=https://www.airitibooks.com/Detail/Detail?PublicationID=P20191009129</v>
      </c>
    </row>
    <row r="1731" spans="1:11" ht="51" x14ac:dyDescent="0.4">
      <c r="A1731" s="10" t="s">
        <v>12579</v>
      </c>
      <c r="B1731" s="10" t="s">
        <v>12580</v>
      </c>
      <c r="C1731" s="10" t="s">
        <v>12510</v>
      </c>
      <c r="D1731" s="10" t="s">
        <v>12581</v>
      </c>
      <c r="E1731" s="10" t="s">
        <v>7391</v>
      </c>
      <c r="F1731" s="10" t="s">
        <v>12582</v>
      </c>
      <c r="G1731" s="10" t="s">
        <v>23</v>
      </c>
      <c r="H1731" s="7" t="s">
        <v>1031</v>
      </c>
      <c r="I1731" s="7" t="s">
        <v>25</v>
      </c>
      <c r="J1731" s="13" t="str">
        <f>HYPERLINK("https://www.airitibooks.com/Detail/Detail?PublicationID=P20191009139", "https://www.airitibooks.com/Detail/Detail?PublicationID=P20191009139")</f>
        <v>https://www.airitibooks.com/Detail/Detail?PublicationID=P20191009139</v>
      </c>
      <c r="K1731" s="13" t="str">
        <f>HYPERLINK("https://ntsu.idm.oclc.org/login?url=https://www.airitibooks.com/Detail/Detail?PublicationID=P20191009139", "https://ntsu.idm.oclc.org/login?url=https://www.airitibooks.com/Detail/Detail?PublicationID=P20191009139")</f>
        <v>https://ntsu.idm.oclc.org/login?url=https://www.airitibooks.com/Detail/Detail?PublicationID=P20191009139</v>
      </c>
    </row>
    <row r="1732" spans="1:11" ht="51" x14ac:dyDescent="0.4">
      <c r="A1732" s="10" t="s">
        <v>12583</v>
      </c>
      <c r="B1732" s="10" t="s">
        <v>12584</v>
      </c>
      <c r="C1732" s="10" t="s">
        <v>12510</v>
      </c>
      <c r="D1732" s="10" t="s">
        <v>12585</v>
      </c>
      <c r="E1732" s="10" t="s">
        <v>7391</v>
      </c>
      <c r="F1732" s="10" t="s">
        <v>12582</v>
      </c>
      <c r="G1732" s="10" t="s">
        <v>23</v>
      </c>
      <c r="H1732" s="7" t="s">
        <v>1031</v>
      </c>
      <c r="I1732" s="7" t="s">
        <v>25</v>
      </c>
      <c r="J1732" s="13" t="str">
        <f>HYPERLINK("https://www.airitibooks.com/Detail/Detail?PublicationID=P20191009143", "https://www.airitibooks.com/Detail/Detail?PublicationID=P20191009143")</f>
        <v>https://www.airitibooks.com/Detail/Detail?PublicationID=P20191009143</v>
      </c>
      <c r="K1732" s="13" t="str">
        <f>HYPERLINK("https://ntsu.idm.oclc.org/login?url=https://www.airitibooks.com/Detail/Detail?PublicationID=P20191009143", "https://ntsu.idm.oclc.org/login?url=https://www.airitibooks.com/Detail/Detail?PublicationID=P20191009143")</f>
        <v>https://ntsu.idm.oclc.org/login?url=https://www.airitibooks.com/Detail/Detail?PublicationID=P20191009143</v>
      </c>
    </row>
    <row r="1733" spans="1:11" ht="51" x14ac:dyDescent="0.4">
      <c r="A1733" s="10" t="s">
        <v>12599</v>
      </c>
      <c r="B1733" s="10" t="s">
        <v>12600</v>
      </c>
      <c r="C1733" s="10" t="s">
        <v>12510</v>
      </c>
      <c r="D1733" s="10" t="s">
        <v>12601</v>
      </c>
      <c r="E1733" s="10" t="s">
        <v>7391</v>
      </c>
      <c r="F1733" s="10" t="s">
        <v>4484</v>
      </c>
      <c r="G1733" s="10" t="s">
        <v>23</v>
      </c>
      <c r="H1733" s="7" t="s">
        <v>1031</v>
      </c>
      <c r="I1733" s="7" t="s">
        <v>25</v>
      </c>
      <c r="J1733" s="13" t="str">
        <f>HYPERLINK("https://www.airitibooks.com/Detail/Detail?PublicationID=P20191009166", "https://www.airitibooks.com/Detail/Detail?PublicationID=P20191009166")</f>
        <v>https://www.airitibooks.com/Detail/Detail?PublicationID=P20191009166</v>
      </c>
      <c r="K1733" s="13" t="str">
        <f>HYPERLINK("https://ntsu.idm.oclc.org/login?url=https://www.airitibooks.com/Detail/Detail?PublicationID=P20191009166", "https://ntsu.idm.oclc.org/login?url=https://www.airitibooks.com/Detail/Detail?PublicationID=P20191009166")</f>
        <v>https://ntsu.idm.oclc.org/login?url=https://www.airitibooks.com/Detail/Detail?PublicationID=P20191009166</v>
      </c>
    </row>
    <row r="1734" spans="1:11" ht="51" x14ac:dyDescent="0.4">
      <c r="A1734" s="10" t="s">
        <v>12602</v>
      </c>
      <c r="B1734" s="10" t="s">
        <v>12603</v>
      </c>
      <c r="C1734" s="10" t="s">
        <v>12510</v>
      </c>
      <c r="D1734" s="10" t="s">
        <v>12604</v>
      </c>
      <c r="E1734" s="10" t="s">
        <v>7391</v>
      </c>
      <c r="F1734" s="10" t="s">
        <v>1856</v>
      </c>
      <c r="G1734" s="10" t="s">
        <v>23</v>
      </c>
      <c r="H1734" s="7" t="s">
        <v>1031</v>
      </c>
      <c r="I1734" s="7" t="s">
        <v>25</v>
      </c>
      <c r="J1734" s="13" t="str">
        <f>HYPERLINK("https://www.airitibooks.com/Detail/Detail?PublicationID=P20191009167", "https://www.airitibooks.com/Detail/Detail?PublicationID=P20191009167")</f>
        <v>https://www.airitibooks.com/Detail/Detail?PublicationID=P20191009167</v>
      </c>
      <c r="K1734" s="13" t="str">
        <f>HYPERLINK("https://ntsu.idm.oclc.org/login?url=https://www.airitibooks.com/Detail/Detail?PublicationID=P20191009167", "https://ntsu.idm.oclc.org/login?url=https://www.airitibooks.com/Detail/Detail?PublicationID=P20191009167")</f>
        <v>https://ntsu.idm.oclc.org/login?url=https://www.airitibooks.com/Detail/Detail?PublicationID=P20191009167</v>
      </c>
    </row>
    <row r="1735" spans="1:11" ht="51" x14ac:dyDescent="0.4">
      <c r="A1735" s="10" t="s">
        <v>12605</v>
      </c>
      <c r="B1735" s="10" t="s">
        <v>12606</v>
      </c>
      <c r="C1735" s="10" t="s">
        <v>12510</v>
      </c>
      <c r="D1735" s="10" t="s">
        <v>12607</v>
      </c>
      <c r="E1735" s="10" t="s">
        <v>7391</v>
      </c>
      <c r="F1735" s="10" t="s">
        <v>565</v>
      </c>
      <c r="G1735" s="10" t="s">
        <v>23</v>
      </c>
      <c r="H1735" s="7" t="s">
        <v>1031</v>
      </c>
      <c r="I1735" s="7" t="s">
        <v>25</v>
      </c>
      <c r="J1735" s="13" t="str">
        <f>HYPERLINK("https://www.airitibooks.com/Detail/Detail?PublicationID=P20191009169", "https://www.airitibooks.com/Detail/Detail?PublicationID=P20191009169")</f>
        <v>https://www.airitibooks.com/Detail/Detail?PublicationID=P20191009169</v>
      </c>
      <c r="K1735" s="13" t="str">
        <f>HYPERLINK("https://ntsu.idm.oclc.org/login?url=https://www.airitibooks.com/Detail/Detail?PublicationID=P20191009169", "https://ntsu.idm.oclc.org/login?url=https://www.airitibooks.com/Detail/Detail?PublicationID=P20191009169")</f>
        <v>https://ntsu.idm.oclc.org/login?url=https://www.airitibooks.com/Detail/Detail?PublicationID=P20191009169</v>
      </c>
    </row>
    <row r="1736" spans="1:11" ht="51" x14ac:dyDescent="0.4">
      <c r="A1736" s="10" t="s">
        <v>12608</v>
      </c>
      <c r="B1736" s="10" t="s">
        <v>12609</v>
      </c>
      <c r="C1736" s="10" t="s">
        <v>12510</v>
      </c>
      <c r="D1736" s="10" t="s">
        <v>12610</v>
      </c>
      <c r="E1736" s="10" t="s">
        <v>7391</v>
      </c>
      <c r="F1736" s="10" t="s">
        <v>565</v>
      </c>
      <c r="G1736" s="10" t="s">
        <v>23</v>
      </c>
      <c r="H1736" s="7" t="s">
        <v>1031</v>
      </c>
      <c r="I1736" s="7" t="s">
        <v>25</v>
      </c>
      <c r="J1736" s="13" t="str">
        <f>HYPERLINK("https://www.airitibooks.com/Detail/Detail?PublicationID=P20191009170", "https://www.airitibooks.com/Detail/Detail?PublicationID=P20191009170")</f>
        <v>https://www.airitibooks.com/Detail/Detail?PublicationID=P20191009170</v>
      </c>
      <c r="K1736" s="13" t="str">
        <f>HYPERLINK("https://ntsu.idm.oclc.org/login?url=https://www.airitibooks.com/Detail/Detail?PublicationID=P20191009170", "https://ntsu.idm.oclc.org/login?url=https://www.airitibooks.com/Detail/Detail?PublicationID=P20191009170")</f>
        <v>https://ntsu.idm.oclc.org/login?url=https://www.airitibooks.com/Detail/Detail?PublicationID=P20191009170</v>
      </c>
    </row>
    <row r="1737" spans="1:11" ht="51" x14ac:dyDescent="0.4">
      <c r="A1737" s="10" t="s">
        <v>13054</v>
      </c>
      <c r="B1737" s="10" t="s">
        <v>13055</v>
      </c>
      <c r="C1737" s="10" t="s">
        <v>13056</v>
      </c>
      <c r="D1737" s="10" t="s">
        <v>13057</v>
      </c>
      <c r="E1737" s="10" t="s">
        <v>7391</v>
      </c>
      <c r="F1737" s="10" t="s">
        <v>394</v>
      </c>
      <c r="G1737" s="10" t="s">
        <v>23</v>
      </c>
      <c r="H1737" s="7" t="s">
        <v>24</v>
      </c>
      <c r="I1737" s="7" t="s">
        <v>25</v>
      </c>
      <c r="J1737" s="13" t="str">
        <f>HYPERLINK("https://www.airitibooks.com/Detail/Detail?PublicationID=P20191202055", "https://www.airitibooks.com/Detail/Detail?PublicationID=P20191202055")</f>
        <v>https://www.airitibooks.com/Detail/Detail?PublicationID=P20191202055</v>
      </c>
      <c r="K1737" s="13" t="str">
        <f>HYPERLINK("https://ntsu.idm.oclc.org/login?url=https://www.airitibooks.com/Detail/Detail?PublicationID=P20191202055", "https://ntsu.idm.oclc.org/login?url=https://www.airitibooks.com/Detail/Detail?PublicationID=P20191202055")</f>
        <v>https://ntsu.idm.oclc.org/login?url=https://www.airitibooks.com/Detail/Detail?PublicationID=P20191202055</v>
      </c>
    </row>
    <row r="1738" spans="1:11" ht="51" x14ac:dyDescent="0.4">
      <c r="A1738" s="10" t="s">
        <v>13354</v>
      </c>
      <c r="B1738" s="10" t="s">
        <v>13355</v>
      </c>
      <c r="C1738" s="10" t="s">
        <v>13356</v>
      </c>
      <c r="D1738" s="10" t="s">
        <v>13357</v>
      </c>
      <c r="E1738" s="10" t="s">
        <v>7391</v>
      </c>
      <c r="F1738" s="10" t="s">
        <v>1856</v>
      </c>
      <c r="G1738" s="10" t="s">
        <v>23</v>
      </c>
      <c r="H1738" s="7" t="s">
        <v>24</v>
      </c>
      <c r="I1738" s="7" t="s">
        <v>25</v>
      </c>
      <c r="J1738" s="13" t="str">
        <f>HYPERLINK("https://www.airitibooks.com/Detail/Detail?PublicationID=P20200117254", "https://www.airitibooks.com/Detail/Detail?PublicationID=P20200117254")</f>
        <v>https://www.airitibooks.com/Detail/Detail?PublicationID=P20200117254</v>
      </c>
      <c r="K1738" s="13" t="str">
        <f>HYPERLINK("https://ntsu.idm.oclc.org/login?url=https://www.airitibooks.com/Detail/Detail?PublicationID=P20200117254", "https://ntsu.idm.oclc.org/login?url=https://www.airitibooks.com/Detail/Detail?PublicationID=P20200117254")</f>
        <v>https://ntsu.idm.oclc.org/login?url=https://www.airitibooks.com/Detail/Detail?PublicationID=P20200117254</v>
      </c>
    </row>
    <row r="1739" spans="1:11" ht="51" x14ac:dyDescent="0.4">
      <c r="A1739" s="10" t="s">
        <v>13380</v>
      </c>
      <c r="B1739" s="10" t="s">
        <v>13381</v>
      </c>
      <c r="C1739" s="10" t="s">
        <v>13382</v>
      </c>
      <c r="D1739" s="10" t="s">
        <v>13383</v>
      </c>
      <c r="E1739" s="10" t="s">
        <v>7391</v>
      </c>
      <c r="F1739" s="10" t="s">
        <v>11422</v>
      </c>
      <c r="G1739" s="10" t="s">
        <v>23</v>
      </c>
      <c r="H1739" s="7" t="s">
        <v>1031</v>
      </c>
      <c r="I1739" s="7" t="s">
        <v>25</v>
      </c>
      <c r="J1739" s="13" t="str">
        <f>HYPERLINK("https://www.airitibooks.com/Detail/Detail?PublicationID=P20200117270", "https://www.airitibooks.com/Detail/Detail?PublicationID=P20200117270")</f>
        <v>https://www.airitibooks.com/Detail/Detail?PublicationID=P20200117270</v>
      </c>
      <c r="K1739" s="13" t="str">
        <f>HYPERLINK("https://ntsu.idm.oclc.org/login?url=https://www.airitibooks.com/Detail/Detail?PublicationID=P20200117270", "https://ntsu.idm.oclc.org/login?url=https://www.airitibooks.com/Detail/Detail?PublicationID=P20200117270")</f>
        <v>https://ntsu.idm.oclc.org/login?url=https://www.airitibooks.com/Detail/Detail?PublicationID=P20200117270</v>
      </c>
    </row>
    <row r="1740" spans="1:11" ht="51" x14ac:dyDescent="0.4">
      <c r="A1740" s="10" t="s">
        <v>13384</v>
      </c>
      <c r="B1740" s="10" t="s">
        <v>13385</v>
      </c>
      <c r="C1740" s="10" t="s">
        <v>13382</v>
      </c>
      <c r="D1740" s="10" t="s">
        <v>13383</v>
      </c>
      <c r="E1740" s="10" t="s">
        <v>7391</v>
      </c>
      <c r="F1740" s="10" t="s">
        <v>11422</v>
      </c>
      <c r="G1740" s="10" t="s">
        <v>23</v>
      </c>
      <c r="H1740" s="7" t="s">
        <v>1031</v>
      </c>
      <c r="I1740" s="7" t="s">
        <v>25</v>
      </c>
      <c r="J1740" s="13" t="str">
        <f>HYPERLINK("https://www.airitibooks.com/Detail/Detail?PublicationID=P20200117271", "https://www.airitibooks.com/Detail/Detail?PublicationID=P20200117271")</f>
        <v>https://www.airitibooks.com/Detail/Detail?PublicationID=P20200117271</v>
      </c>
      <c r="K1740" s="13" t="str">
        <f>HYPERLINK("https://ntsu.idm.oclc.org/login?url=https://www.airitibooks.com/Detail/Detail?PublicationID=P20200117271", "https://ntsu.idm.oclc.org/login?url=https://www.airitibooks.com/Detail/Detail?PublicationID=P20200117271")</f>
        <v>https://ntsu.idm.oclc.org/login?url=https://www.airitibooks.com/Detail/Detail?PublicationID=P20200117271</v>
      </c>
    </row>
    <row r="1741" spans="1:11" ht="51" x14ac:dyDescent="0.4">
      <c r="A1741" s="10" t="s">
        <v>13538</v>
      </c>
      <c r="B1741" s="10" t="s">
        <v>13539</v>
      </c>
      <c r="C1741" s="10" t="s">
        <v>5050</v>
      </c>
      <c r="D1741" s="10" t="s">
        <v>13540</v>
      </c>
      <c r="E1741" s="10" t="s">
        <v>7391</v>
      </c>
      <c r="F1741" s="10" t="s">
        <v>565</v>
      </c>
      <c r="G1741" s="10" t="s">
        <v>23</v>
      </c>
      <c r="H1741" s="7" t="s">
        <v>24</v>
      </c>
      <c r="I1741" s="7" t="s">
        <v>25</v>
      </c>
      <c r="J1741" s="13" t="str">
        <f>HYPERLINK("https://www.airitibooks.com/Detail/Detail?PublicationID=P20200221077", "https://www.airitibooks.com/Detail/Detail?PublicationID=P20200221077")</f>
        <v>https://www.airitibooks.com/Detail/Detail?PublicationID=P20200221077</v>
      </c>
      <c r="K1741" s="13" t="str">
        <f>HYPERLINK("https://ntsu.idm.oclc.org/login?url=https://www.airitibooks.com/Detail/Detail?PublicationID=P20200221077", "https://ntsu.idm.oclc.org/login?url=https://www.airitibooks.com/Detail/Detail?PublicationID=P20200221077")</f>
        <v>https://ntsu.idm.oclc.org/login?url=https://www.airitibooks.com/Detail/Detail?PublicationID=P20200221077</v>
      </c>
    </row>
    <row r="1742" spans="1:11" ht="85" x14ac:dyDescent="0.4">
      <c r="A1742" s="10" t="s">
        <v>13541</v>
      </c>
      <c r="B1742" s="10" t="s">
        <v>13542</v>
      </c>
      <c r="C1742" s="10" t="s">
        <v>5050</v>
      </c>
      <c r="D1742" s="10" t="s">
        <v>13543</v>
      </c>
      <c r="E1742" s="10" t="s">
        <v>7391</v>
      </c>
      <c r="F1742" s="10" t="s">
        <v>762</v>
      </c>
      <c r="G1742" s="10" t="s">
        <v>23</v>
      </c>
      <c r="H1742" s="7" t="s">
        <v>2593</v>
      </c>
      <c r="I1742" s="7" t="s">
        <v>25</v>
      </c>
      <c r="J1742" s="13" t="str">
        <f>HYPERLINK("https://www.airitibooks.com/Detail/Detail?PublicationID=P20200221088", "https://www.airitibooks.com/Detail/Detail?PublicationID=P20200221088")</f>
        <v>https://www.airitibooks.com/Detail/Detail?PublicationID=P20200221088</v>
      </c>
      <c r="K1742" s="13" t="str">
        <f>HYPERLINK("https://ntsu.idm.oclc.org/login?url=https://www.airitibooks.com/Detail/Detail?PublicationID=P20200221088", "https://ntsu.idm.oclc.org/login?url=https://www.airitibooks.com/Detail/Detail?PublicationID=P20200221088")</f>
        <v>https://ntsu.idm.oclc.org/login?url=https://www.airitibooks.com/Detail/Detail?PublicationID=P20200221088</v>
      </c>
    </row>
    <row r="1743" spans="1:11" ht="51" x14ac:dyDescent="0.4">
      <c r="A1743" s="10" t="s">
        <v>13571</v>
      </c>
      <c r="B1743" s="10" t="s">
        <v>13572</v>
      </c>
      <c r="C1743" s="10" t="s">
        <v>5050</v>
      </c>
      <c r="D1743" s="10" t="s">
        <v>13573</v>
      </c>
      <c r="E1743" s="10" t="s">
        <v>7391</v>
      </c>
      <c r="F1743" s="10" t="s">
        <v>762</v>
      </c>
      <c r="G1743" s="10" t="s">
        <v>23</v>
      </c>
      <c r="H1743" s="7" t="s">
        <v>24</v>
      </c>
      <c r="I1743" s="7" t="s">
        <v>25</v>
      </c>
      <c r="J1743" s="13" t="str">
        <f>HYPERLINK("https://www.airitibooks.com/Detail/Detail?PublicationID=P20200221140", "https://www.airitibooks.com/Detail/Detail?PublicationID=P20200221140")</f>
        <v>https://www.airitibooks.com/Detail/Detail?PublicationID=P20200221140</v>
      </c>
      <c r="K1743" s="13" t="str">
        <f>HYPERLINK("https://ntsu.idm.oclc.org/login?url=https://www.airitibooks.com/Detail/Detail?PublicationID=P20200221140", "https://ntsu.idm.oclc.org/login?url=https://www.airitibooks.com/Detail/Detail?PublicationID=P20200221140")</f>
        <v>https://ntsu.idm.oclc.org/login?url=https://www.airitibooks.com/Detail/Detail?PublicationID=P20200221140</v>
      </c>
    </row>
    <row r="1744" spans="1:11" ht="51" x14ac:dyDescent="0.4">
      <c r="A1744" s="10" t="s">
        <v>13647</v>
      </c>
      <c r="B1744" s="10" t="s">
        <v>13648</v>
      </c>
      <c r="C1744" s="10" t="s">
        <v>544</v>
      </c>
      <c r="D1744" s="10" t="s">
        <v>13649</v>
      </c>
      <c r="E1744" s="10" t="s">
        <v>7391</v>
      </c>
      <c r="F1744" s="10" t="s">
        <v>762</v>
      </c>
      <c r="G1744" s="10" t="s">
        <v>23</v>
      </c>
      <c r="H1744" s="7" t="s">
        <v>24</v>
      </c>
      <c r="I1744" s="7" t="s">
        <v>25</v>
      </c>
      <c r="J1744" s="13" t="str">
        <f>HYPERLINK("https://www.airitibooks.com/Detail/Detail?PublicationID=P20200321039", "https://www.airitibooks.com/Detail/Detail?PublicationID=P20200321039")</f>
        <v>https://www.airitibooks.com/Detail/Detail?PublicationID=P20200321039</v>
      </c>
      <c r="K1744" s="13" t="str">
        <f>HYPERLINK("https://ntsu.idm.oclc.org/login?url=https://www.airitibooks.com/Detail/Detail?PublicationID=P20200321039", "https://ntsu.idm.oclc.org/login?url=https://www.airitibooks.com/Detail/Detail?PublicationID=P20200321039")</f>
        <v>https://ntsu.idm.oclc.org/login?url=https://www.airitibooks.com/Detail/Detail?PublicationID=P20200321039</v>
      </c>
    </row>
    <row r="1745" spans="1:11" ht="51" x14ac:dyDescent="0.4">
      <c r="A1745" s="10" t="s">
        <v>13654</v>
      </c>
      <c r="B1745" s="10" t="s">
        <v>13655</v>
      </c>
      <c r="C1745" s="10" t="s">
        <v>544</v>
      </c>
      <c r="D1745" s="10" t="s">
        <v>13656</v>
      </c>
      <c r="E1745" s="10" t="s">
        <v>7391</v>
      </c>
      <c r="F1745" s="10" t="s">
        <v>6659</v>
      </c>
      <c r="G1745" s="10" t="s">
        <v>23</v>
      </c>
      <c r="H1745" s="7" t="s">
        <v>24</v>
      </c>
      <c r="I1745" s="7" t="s">
        <v>25</v>
      </c>
      <c r="J1745" s="13" t="str">
        <f>HYPERLINK("https://www.airitibooks.com/Detail/Detail?PublicationID=P20200321042", "https://www.airitibooks.com/Detail/Detail?PublicationID=P20200321042")</f>
        <v>https://www.airitibooks.com/Detail/Detail?PublicationID=P20200321042</v>
      </c>
      <c r="K1745" s="13" t="str">
        <f>HYPERLINK("https://ntsu.idm.oclc.org/login?url=https://www.airitibooks.com/Detail/Detail?PublicationID=P20200321042", "https://ntsu.idm.oclc.org/login?url=https://www.airitibooks.com/Detail/Detail?PublicationID=P20200321042")</f>
        <v>https://ntsu.idm.oclc.org/login?url=https://www.airitibooks.com/Detail/Detail?PublicationID=P20200321042</v>
      </c>
    </row>
    <row r="1746" spans="1:11" ht="51" x14ac:dyDescent="0.4">
      <c r="A1746" s="10" t="s">
        <v>13660</v>
      </c>
      <c r="B1746" s="10" t="s">
        <v>13661</v>
      </c>
      <c r="C1746" s="10" t="s">
        <v>544</v>
      </c>
      <c r="D1746" s="10" t="s">
        <v>13662</v>
      </c>
      <c r="E1746" s="10" t="s">
        <v>7391</v>
      </c>
      <c r="F1746" s="10" t="s">
        <v>13663</v>
      </c>
      <c r="G1746" s="10" t="s">
        <v>23</v>
      </c>
      <c r="H1746" s="7" t="s">
        <v>24</v>
      </c>
      <c r="I1746" s="7" t="s">
        <v>25</v>
      </c>
      <c r="J1746" s="13" t="str">
        <f>HYPERLINK("https://www.airitibooks.com/Detail/Detail?PublicationID=P20200321044", "https://www.airitibooks.com/Detail/Detail?PublicationID=P20200321044")</f>
        <v>https://www.airitibooks.com/Detail/Detail?PublicationID=P20200321044</v>
      </c>
      <c r="K1746" s="13" t="str">
        <f>HYPERLINK("https://ntsu.idm.oclc.org/login?url=https://www.airitibooks.com/Detail/Detail?PublicationID=P20200321044", "https://ntsu.idm.oclc.org/login?url=https://www.airitibooks.com/Detail/Detail?PublicationID=P20200321044")</f>
        <v>https://ntsu.idm.oclc.org/login?url=https://www.airitibooks.com/Detail/Detail?PublicationID=P20200321044</v>
      </c>
    </row>
    <row r="1747" spans="1:11" ht="51" x14ac:dyDescent="0.4">
      <c r="A1747" s="10" t="s">
        <v>13664</v>
      </c>
      <c r="B1747" s="10" t="s">
        <v>13665</v>
      </c>
      <c r="C1747" s="10" t="s">
        <v>544</v>
      </c>
      <c r="D1747" s="10" t="s">
        <v>4436</v>
      </c>
      <c r="E1747" s="10" t="s">
        <v>7391</v>
      </c>
      <c r="F1747" s="10" t="s">
        <v>13646</v>
      </c>
      <c r="G1747" s="10" t="s">
        <v>23</v>
      </c>
      <c r="H1747" s="7" t="s">
        <v>24</v>
      </c>
      <c r="I1747" s="7" t="s">
        <v>25</v>
      </c>
      <c r="J1747" s="13" t="str">
        <f>HYPERLINK("https://www.airitibooks.com/Detail/Detail?PublicationID=P20200321045", "https://www.airitibooks.com/Detail/Detail?PublicationID=P20200321045")</f>
        <v>https://www.airitibooks.com/Detail/Detail?PublicationID=P20200321045</v>
      </c>
      <c r="K1747" s="13" t="str">
        <f>HYPERLINK("https://ntsu.idm.oclc.org/login?url=https://www.airitibooks.com/Detail/Detail?PublicationID=P20200321045", "https://ntsu.idm.oclc.org/login?url=https://www.airitibooks.com/Detail/Detail?PublicationID=P20200321045")</f>
        <v>https://ntsu.idm.oclc.org/login?url=https://www.airitibooks.com/Detail/Detail?PublicationID=P20200321045</v>
      </c>
    </row>
    <row r="1748" spans="1:11" ht="51" x14ac:dyDescent="0.4">
      <c r="A1748" s="10" t="s">
        <v>13885</v>
      </c>
      <c r="B1748" s="10" t="s">
        <v>13886</v>
      </c>
      <c r="C1748" s="10" t="s">
        <v>7294</v>
      </c>
      <c r="D1748" s="10" t="s">
        <v>12135</v>
      </c>
      <c r="E1748" s="10" t="s">
        <v>7391</v>
      </c>
      <c r="F1748" s="10" t="s">
        <v>394</v>
      </c>
      <c r="G1748" s="10" t="s">
        <v>23</v>
      </c>
      <c r="H1748" s="7" t="s">
        <v>7839</v>
      </c>
      <c r="I1748" s="7" t="s">
        <v>25</v>
      </c>
      <c r="J1748" s="13" t="str">
        <f>HYPERLINK("https://www.airitibooks.com/Detail/Detail?PublicationID=P20200417376", "https://www.airitibooks.com/Detail/Detail?PublicationID=P20200417376")</f>
        <v>https://www.airitibooks.com/Detail/Detail?PublicationID=P20200417376</v>
      </c>
      <c r="K1748" s="13" t="str">
        <f>HYPERLINK("https://ntsu.idm.oclc.org/login?url=https://www.airitibooks.com/Detail/Detail?PublicationID=P20200417376", "https://ntsu.idm.oclc.org/login?url=https://www.airitibooks.com/Detail/Detail?PublicationID=P20200417376")</f>
        <v>https://ntsu.idm.oclc.org/login?url=https://www.airitibooks.com/Detail/Detail?PublicationID=P20200417376</v>
      </c>
    </row>
    <row r="1749" spans="1:11" ht="85" x14ac:dyDescent="0.4">
      <c r="A1749" s="10" t="s">
        <v>14074</v>
      </c>
      <c r="B1749" s="10" t="s">
        <v>14075</v>
      </c>
      <c r="C1749" s="10" t="s">
        <v>544</v>
      </c>
      <c r="D1749" s="10" t="s">
        <v>14076</v>
      </c>
      <c r="E1749" s="10" t="s">
        <v>7391</v>
      </c>
      <c r="F1749" s="10" t="s">
        <v>6609</v>
      </c>
      <c r="G1749" s="10" t="s">
        <v>23</v>
      </c>
      <c r="H1749" s="7" t="s">
        <v>24</v>
      </c>
      <c r="I1749" s="7" t="s">
        <v>25</v>
      </c>
      <c r="J1749" s="13" t="str">
        <f>HYPERLINK("https://www.airitibooks.com/Detail/Detail?PublicationID=P20200507047", "https://www.airitibooks.com/Detail/Detail?PublicationID=P20200507047")</f>
        <v>https://www.airitibooks.com/Detail/Detail?PublicationID=P20200507047</v>
      </c>
      <c r="K1749" s="13" t="str">
        <f>HYPERLINK("https://ntsu.idm.oclc.org/login?url=https://www.airitibooks.com/Detail/Detail?PublicationID=P20200507047", "https://ntsu.idm.oclc.org/login?url=https://www.airitibooks.com/Detail/Detail?PublicationID=P20200507047")</f>
        <v>https://ntsu.idm.oclc.org/login?url=https://www.airitibooks.com/Detail/Detail?PublicationID=P20200507047</v>
      </c>
    </row>
    <row r="1750" spans="1:11" ht="51" x14ac:dyDescent="0.4">
      <c r="A1750" s="10" t="s">
        <v>14077</v>
      </c>
      <c r="B1750" s="10" t="s">
        <v>14078</v>
      </c>
      <c r="C1750" s="10" t="s">
        <v>544</v>
      </c>
      <c r="D1750" s="10" t="s">
        <v>14079</v>
      </c>
      <c r="E1750" s="10" t="s">
        <v>7391</v>
      </c>
      <c r="F1750" s="10" t="s">
        <v>14080</v>
      </c>
      <c r="G1750" s="10" t="s">
        <v>23</v>
      </c>
      <c r="H1750" s="7" t="s">
        <v>24</v>
      </c>
      <c r="I1750" s="7" t="s">
        <v>25</v>
      </c>
      <c r="J1750" s="13" t="str">
        <f>HYPERLINK("https://www.airitibooks.com/Detail/Detail?PublicationID=P20200507051", "https://www.airitibooks.com/Detail/Detail?PublicationID=P20200507051")</f>
        <v>https://www.airitibooks.com/Detail/Detail?PublicationID=P20200507051</v>
      </c>
      <c r="K1750" s="13" t="str">
        <f>HYPERLINK("https://ntsu.idm.oclc.org/login?url=https://www.airitibooks.com/Detail/Detail?PublicationID=P20200507051", "https://ntsu.idm.oclc.org/login?url=https://www.airitibooks.com/Detail/Detail?PublicationID=P20200507051")</f>
        <v>https://ntsu.idm.oclc.org/login?url=https://www.airitibooks.com/Detail/Detail?PublicationID=P20200507051</v>
      </c>
    </row>
    <row r="1751" spans="1:11" ht="51" x14ac:dyDescent="0.4">
      <c r="A1751" s="10" t="s">
        <v>14086</v>
      </c>
      <c r="B1751" s="10" t="s">
        <v>14087</v>
      </c>
      <c r="C1751" s="10" t="s">
        <v>13117</v>
      </c>
      <c r="D1751" s="10" t="s">
        <v>14088</v>
      </c>
      <c r="E1751" s="10" t="s">
        <v>7391</v>
      </c>
      <c r="F1751" s="10" t="s">
        <v>7849</v>
      </c>
      <c r="G1751" s="10" t="s">
        <v>23</v>
      </c>
      <c r="H1751" s="7" t="s">
        <v>1031</v>
      </c>
      <c r="I1751" s="7" t="s">
        <v>25</v>
      </c>
      <c r="J1751" s="13" t="str">
        <f>HYPERLINK("https://www.airitibooks.com/Detail/Detail?PublicationID=P20200507386", "https://www.airitibooks.com/Detail/Detail?PublicationID=P20200507386")</f>
        <v>https://www.airitibooks.com/Detail/Detail?PublicationID=P20200507386</v>
      </c>
      <c r="K1751" s="13" t="str">
        <f>HYPERLINK("https://ntsu.idm.oclc.org/login?url=https://www.airitibooks.com/Detail/Detail?PublicationID=P20200507386", "https://ntsu.idm.oclc.org/login?url=https://www.airitibooks.com/Detail/Detail?PublicationID=P20200507386")</f>
        <v>https://ntsu.idm.oclc.org/login?url=https://www.airitibooks.com/Detail/Detail?PublicationID=P20200507386</v>
      </c>
    </row>
    <row r="1752" spans="1:11" ht="51" x14ac:dyDescent="0.4">
      <c r="A1752" s="10" t="s">
        <v>14104</v>
      </c>
      <c r="B1752" s="10" t="s">
        <v>14105</v>
      </c>
      <c r="C1752" s="10" t="s">
        <v>3473</v>
      </c>
      <c r="D1752" s="10" t="s">
        <v>3474</v>
      </c>
      <c r="E1752" s="10" t="s">
        <v>7391</v>
      </c>
      <c r="F1752" s="10" t="s">
        <v>696</v>
      </c>
      <c r="G1752" s="10" t="s">
        <v>23</v>
      </c>
      <c r="H1752" s="7" t="s">
        <v>2593</v>
      </c>
      <c r="I1752" s="7" t="s">
        <v>25</v>
      </c>
      <c r="J1752" s="13" t="str">
        <f>HYPERLINK("https://www.airitibooks.com/Detail/Detail?PublicationID=P20200514142", "https://www.airitibooks.com/Detail/Detail?PublicationID=P20200514142")</f>
        <v>https://www.airitibooks.com/Detail/Detail?PublicationID=P20200514142</v>
      </c>
      <c r="K1752" s="13" t="str">
        <f>HYPERLINK("https://ntsu.idm.oclc.org/login?url=https://www.airitibooks.com/Detail/Detail?PublicationID=P20200514142", "https://ntsu.idm.oclc.org/login?url=https://www.airitibooks.com/Detail/Detail?PublicationID=P20200514142")</f>
        <v>https://ntsu.idm.oclc.org/login?url=https://www.airitibooks.com/Detail/Detail?PublicationID=P20200514142</v>
      </c>
    </row>
    <row r="1753" spans="1:11" ht="68" x14ac:dyDescent="0.4">
      <c r="A1753" s="10" t="s">
        <v>15507</v>
      </c>
      <c r="B1753" s="10" t="s">
        <v>15508</v>
      </c>
      <c r="C1753" s="10" t="s">
        <v>707</v>
      </c>
      <c r="D1753" s="10" t="s">
        <v>15509</v>
      </c>
      <c r="E1753" s="10" t="s">
        <v>7391</v>
      </c>
      <c r="F1753" s="10" t="s">
        <v>1122</v>
      </c>
      <c r="G1753" s="10" t="s">
        <v>23</v>
      </c>
      <c r="H1753" s="7" t="s">
        <v>2593</v>
      </c>
      <c r="I1753" s="7" t="s">
        <v>25</v>
      </c>
      <c r="J1753" s="13" t="str">
        <f>HYPERLINK("https://www.airitibooks.com/Detail/Detail?PublicationID=P20210521006", "https://www.airitibooks.com/Detail/Detail?PublicationID=P20210521006")</f>
        <v>https://www.airitibooks.com/Detail/Detail?PublicationID=P20210521006</v>
      </c>
      <c r="K1753" s="13" t="str">
        <f>HYPERLINK("https://ntsu.idm.oclc.org/login?url=https://www.airitibooks.com/Detail/Detail?PublicationID=P20210521006", "https://ntsu.idm.oclc.org/login?url=https://www.airitibooks.com/Detail/Detail?PublicationID=P20210521006")</f>
        <v>https://ntsu.idm.oclc.org/login?url=https://www.airitibooks.com/Detail/Detail?PublicationID=P20210521006</v>
      </c>
    </row>
    <row r="1754" spans="1:11" ht="51" x14ac:dyDescent="0.4">
      <c r="A1754" s="10" t="s">
        <v>15513</v>
      </c>
      <c r="B1754" s="10" t="s">
        <v>15514</v>
      </c>
      <c r="C1754" s="10" t="s">
        <v>707</v>
      </c>
      <c r="D1754" s="10" t="s">
        <v>15515</v>
      </c>
      <c r="E1754" s="10" t="s">
        <v>7391</v>
      </c>
      <c r="F1754" s="10" t="s">
        <v>1122</v>
      </c>
      <c r="G1754" s="10" t="s">
        <v>23</v>
      </c>
      <c r="H1754" s="7" t="s">
        <v>2593</v>
      </c>
      <c r="I1754" s="7" t="s">
        <v>25</v>
      </c>
      <c r="J1754" s="13" t="str">
        <f>HYPERLINK("https://www.airitibooks.com/Detail/Detail?PublicationID=P20210528005", "https://www.airitibooks.com/Detail/Detail?PublicationID=P20210528005")</f>
        <v>https://www.airitibooks.com/Detail/Detail?PublicationID=P20210528005</v>
      </c>
      <c r="K1754" s="13" t="str">
        <f>HYPERLINK("https://ntsu.idm.oclc.org/login?url=https://www.airitibooks.com/Detail/Detail?PublicationID=P20210528005", "https://ntsu.idm.oclc.org/login?url=https://www.airitibooks.com/Detail/Detail?PublicationID=P20210528005")</f>
        <v>https://ntsu.idm.oclc.org/login?url=https://www.airitibooks.com/Detail/Detail?PublicationID=P20210528005</v>
      </c>
    </row>
    <row r="1755" spans="1:11" ht="51" x14ac:dyDescent="0.4">
      <c r="A1755" s="10" t="s">
        <v>8173</v>
      </c>
      <c r="B1755" s="10" t="s">
        <v>8174</v>
      </c>
      <c r="C1755" s="10" t="s">
        <v>130</v>
      </c>
      <c r="D1755" s="10" t="s">
        <v>8175</v>
      </c>
      <c r="E1755" s="10" t="s">
        <v>7391</v>
      </c>
      <c r="F1755" s="10" t="s">
        <v>570</v>
      </c>
      <c r="G1755" s="10" t="s">
        <v>32</v>
      </c>
      <c r="H1755" s="7" t="s">
        <v>24</v>
      </c>
      <c r="I1755" s="7" t="s">
        <v>25</v>
      </c>
      <c r="J1755" s="13" t="str">
        <f>HYPERLINK("https://www.airitibooks.com/Detail/Detail?PublicationID=P20180112001", "https://www.airitibooks.com/Detail/Detail?PublicationID=P20180112001")</f>
        <v>https://www.airitibooks.com/Detail/Detail?PublicationID=P20180112001</v>
      </c>
      <c r="K1755" s="13" t="str">
        <f>HYPERLINK("https://ntsu.idm.oclc.org/login?url=https://www.airitibooks.com/Detail/Detail?PublicationID=P20180112001", "https://ntsu.idm.oclc.org/login?url=https://www.airitibooks.com/Detail/Detail?PublicationID=P20180112001")</f>
        <v>https://ntsu.idm.oclc.org/login?url=https://www.airitibooks.com/Detail/Detail?PublicationID=P20180112001</v>
      </c>
    </row>
    <row r="1756" spans="1:11" ht="51" x14ac:dyDescent="0.4">
      <c r="A1756" s="10" t="s">
        <v>8180</v>
      </c>
      <c r="B1756" s="10" t="s">
        <v>8181</v>
      </c>
      <c r="C1756" s="10" t="s">
        <v>746</v>
      </c>
      <c r="D1756" s="10" t="s">
        <v>8182</v>
      </c>
      <c r="E1756" s="10" t="s">
        <v>7391</v>
      </c>
      <c r="F1756" s="10" t="s">
        <v>8183</v>
      </c>
      <c r="G1756" s="10" t="s">
        <v>32</v>
      </c>
      <c r="H1756" s="7" t="s">
        <v>24</v>
      </c>
      <c r="I1756" s="7" t="s">
        <v>25</v>
      </c>
      <c r="J1756" s="13" t="str">
        <f>HYPERLINK("https://www.airitibooks.com/Detail/Detail?PublicationID=P20180112006", "https://www.airitibooks.com/Detail/Detail?PublicationID=P20180112006")</f>
        <v>https://www.airitibooks.com/Detail/Detail?PublicationID=P20180112006</v>
      </c>
      <c r="K1756" s="13" t="str">
        <f>HYPERLINK("https://ntsu.idm.oclc.org/login?url=https://www.airitibooks.com/Detail/Detail?PublicationID=P20180112006", "https://ntsu.idm.oclc.org/login?url=https://www.airitibooks.com/Detail/Detail?PublicationID=P20180112006")</f>
        <v>https://ntsu.idm.oclc.org/login?url=https://www.airitibooks.com/Detail/Detail?PublicationID=P20180112006</v>
      </c>
    </row>
    <row r="1757" spans="1:11" ht="68" x14ac:dyDescent="0.4">
      <c r="A1757" s="10" t="s">
        <v>8201</v>
      </c>
      <c r="B1757" s="10" t="s">
        <v>8202</v>
      </c>
      <c r="C1757" s="10" t="s">
        <v>7164</v>
      </c>
      <c r="D1757" s="10" t="s">
        <v>8203</v>
      </c>
      <c r="E1757" s="10" t="s">
        <v>7391</v>
      </c>
      <c r="F1757" s="10" t="s">
        <v>181</v>
      </c>
      <c r="G1757" s="10" t="s">
        <v>32</v>
      </c>
      <c r="H1757" s="7" t="s">
        <v>24</v>
      </c>
      <c r="I1757" s="7" t="s">
        <v>25</v>
      </c>
      <c r="J1757" s="13" t="str">
        <f>HYPERLINK("https://www.airitibooks.com/Detail/Detail?PublicationID=P20180119043", "https://www.airitibooks.com/Detail/Detail?PublicationID=P20180119043")</f>
        <v>https://www.airitibooks.com/Detail/Detail?PublicationID=P20180119043</v>
      </c>
      <c r="K1757" s="13" t="str">
        <f>HYPERLINK("https://ntsu.idm.oclc.org/login?url=https://www.airitibooks.com/Detail/Detail?PublicationID=P20180119043", "https://ntsu.idm.oclc.org/login?url=https://www.airitibooks.com/Detail/Detail?PublicationID=P20180119043")</f>
        <v>https://ntsu.idm.oclc.org/login?url=https://www.airitibooks.com/Detail/Detail?PublicationID=P20180119043</v>
      </c>
    </row>
    <row r="1758" spans="1:11" ht="51" x14ac:dyDescent="0.4">
      <c r="A1758" s="10" t="s">
        <v>8221</v>
      </c>
      <c r="B1758" s="10" t="s">
        <v>8222</v>
      </c>
      <c r="C1758" s="10" t="s">
        <v>7164</v>
      </c>
      <c r="D1758" s="10" t="s">
        <v>8223</v>
      </c>
      <c r="E1758" s="10" t="s">
        <v>7391</v>
      </c>
      <c r="F1758" s="10" t="s">
        <v>181</v>
      </c>
      <c r="G1758" s="10" t="s">
        <v>32</v>
      </c>
      <c r="H1758" s="7" t="s">
        <v>24</v>
      </c>
      <c r="I1758" s="7" t="s">
        <v>25</v>
      </c>
      <c r="J1758" s="13" t="str">
        <f>HYPERLINK("https://www.airitibooks.com/Detail/Detail?PublicationID=P20180119075", "https://www.airitibooks.com/Detail/Detail?PublicationID=P20180119075")</f>
        <v>https://www.airitibooks.com/Detail/Detail?PublicationID=P20180119075</v>
      </c>
      <c r="K1758" s="13" t="str">
        <f>HYPERLINK("https://ntsu.idm.oclc.org/login?url=https://www.airitibooks.com/Detail/Detail?PublicationID=P20180119075", "https://ntsu.idm.oclc.org/login?url=https://www.airitibooks.com/Detail/Detail?PublicationID=P20180119075")</f>
        <v>https://ntsu.idm.oclc.org/login?url=https://www.airitibooks.com/Detail/Detail?PublicationID=P20180119075</v>
      </c>
    </row>
    <row r="1759" spans="1:11" ht="51" x14ac:dyDescent="0.4">
      <c r="A1759" s="10" t="s">
        <v>8224</v>
      </c>
      <c r="B1759" s="10" t="s">
        <v>8225</v>
      </c>
      <c r="C1759" s="10" t="s">
        <v>7164</v>
      </c>
      <c r="D1759" s="10" t="s">
        <v>8223</v>
      </c>
      <c r="E1759" s="10" t="s">
        <v>7391</v>
      </c>
      <c r="F1759" s="10" t="s">
        <v>181</v>
      </c>
      <c r="G1759" s="10" t="s">
        <v>32</v>
      </c>
      <c r="H1759" s="7" t="s">
        <v>24</v>
      </c>
      <c r="I1759" s="7" t="s">
        <v>25</v>
      </c>
      <c r="J1759" s="13" t="str">
        <f>HYPERLINK("https://www.airitibooks.com/Detail/Detail?PublicationID=P20180119076", "https://www.airitibooks.com/Detail/Detail?PublicationID=P20180119076")</f>
        <v>https://www.airitibooks.com/Detail/Detail?PublicationID=P20180119076</v>
      </c>
      <c r="K1759" s="13" t="str">
        <f>HYPERLINK("https://ntsu.idm.oclc.org/login?url=https://www.airitibooks.com/Detail/Detail?PublicationID=P20180119076", "https://ntsu.idm.oclc.org/login?url=https://www.airitibooks.com/Detail/Detail?PublicationID=P20180119076")</f>
        <v>https://ntsu.idm.oclc.org/login?url=https://www.airitibooks.com/Detail/Detail?PublicationID=P20180119076</v>
      </c>
    </row>
    <row r="1760" spans="1:11" ht="51" x14ac:dyDescent="0.4">
      <c r="A1760" s="10" t="s">
        <v>8235</v>
      </c>
      <c r="B1760" s="10" t="s">
        <v>8236</v>
      </c>
      <c r="C1760" s="10" t="s">
        <v>7164</v>
      </c>
      <c r="D1760" s="10" t="s">
        <v>8237</v>
      </c>
      <c r="E1760" s="10" t="s">
        <v>7391</v>
      </c>
      <c r="F1760" s="10" t="s">
        <v>575</v>
      </c>
      <c r="G1760" s="10" t="s">
        <v>32</v>
      </c>
      <c r="H1760" s="7" t="s">
        <v>24</v>
      </c>
      <c r="I1760" s="7" t="s">
        <v>25</v>
      </c>
      <c r="J1760" s="13" t="str">
        <f>HYPERLINK("https://www.airitibooks.com/Detail/Detail?PublicationID=P20180119095", "https://www.airitibooks.com/Detail/Detail?PublicationID=P20180119095")</f>
        <v>https://www.airitibooks.com/Detail/Detail?PublicationID=P20180119095</v>
      </c>
      <c r="K1760" s="13" t="str">
        <f>HYPERLINK("https://ntsu.idm.oclc.org/login?url=https://www.airitibooks.com/Detail/Detail?PublicationID=P20180119095", "https://ntsu.idm.oclc.org/login?url=https://www.airitibooks.com/Detail/Detail?PublicationID=P20180119095")</f>
        <v>https://ntsu.idm.oclc.org/login?url=https://www.airitibooks.com/Detail/Detail?PublicationID=P20180119095</v>
      </c>
    </row>
    <row r="1761" spans="1:11" ht="51" x14ac:dyDescent="0.4">
      <c r="A1761" s="10" t="s">
        <v>8238</v>
      </c>
      <c r="B1761" s="10" t="s">
        <v>8239</v>
      </c>
      <c r="C1761" s="10" t="s">
        <v>7164</v>
      </c>
      <c r="D1761" s="10" t="s">
        <v>8240</v>
      </c>
      <c r="E1761" s="10" t="s">
        <v>7391</v>
      </c>
      <c r="F1761" s="10" t="s">
        <v>181</v>
      </c>
      <c r="G1761" s="10" t="s">
        <v>32</v>
      </c>
      <c r="H1761" s="7" t="s">
        <v>24</v>
      </c>
      <c r="I1761" s="7" t="s">
        <v>25</v>
      </c>
      <c r="J1761" s="13" t="str">
        <f>HYPERLINK("https://www.airitibooks.com/Detail/Detail?PublicationID=P20180119097", "https://www.airitibooks.com/Detail/Detail?PublicationID=P20180119097")</f>
        <v>https://www.airitibooks.com/Detail/Detail?PublicationID=P20180119097</v>
      </c>
      <c r="K1761" s="13" t="str">
        <f>HYPERLINK("https://ntsu.idm.oclc.org/login?url=https://www.airitibooks.com/Detail/Detail?PublicationID=P20180119097", "https://ntsu.idm.oclc.org/login?url=https://www.airitibooks.com/Detail/Detail?PublicationID=P20180119097")</f>
        <v>https://ntsu.idm.oclc.org/login?url=https://www.airitibooks.com/Detail/Detail?PublicationID=P20180119097</v>
      </c>
    </row>
    <row r="1762" spans="1:11" ht="51" x14ac:dyDescent="0.4">
      <c r="A1762" s="10" t="s">
        <v>8247</v>
      </c>
      <c r="B1762" s="10" t="s">
        <v>8248</v>
      </c>
      <c r="C1762" s="10" t="s">
        <v>7164</v>
      </c>
      <c r="D1762" s="10" t="s">
        <v>8249</v>
      </c>
      <c r="E1762" s="10" t="s">
        <v>7391</v>
      </c>
      <c r="F1762" s="10" t="s">
        <v>181</v>
      </c>
      <c r="G1762" s="10" t="s">
        <v>32</v>
      </c>
      <c r="H1762" s="7" t="s">
        <v>24</v>
      </c>
      <c r="I1762" s="7" t="s">
        <v>25</v>
      </c>
      <c r="J1762" s="13" t="str">
        <f>HYPERLINK("https://www.airitibooks.com/Detail/Detail?PublicationID=P20180119101", "https://www.airitibooks.com/Detail/Detail?PublicationID=P20180119101")</f>
        <v>https://www.airitibooks.com/Detail/Detail?PublicationID=P20180119101</v>
      </c>
      <c r="K1762" s="13" t="str">
        <f>HYPERLINK("https://ntsu.idm.oclc.org/login?url=https://www.airitibooks.com/Detail/Detail?PublicationID=P20180119101", "https://ntsu.idm.oclc.org/login?url=https://www.airitibooks.com/Detail/Detail?PublicationID=P20180119101")</f>
        <v>https://ntsu.idm.oclc.org/login?url=https://www.airitibooks.com/Detail/Detail?PublicationID=P20180119101</v>
      </c>
    </row>
    <row r="1763" spans="1:11" ht="51" x14ac:dyDescent="0.4">
      <c r="A1763" s="10" t="s">
        <v>8257</v>
      </c>
      <c r="B1763" s="10" t="s">
        <v>8258</v>
      </c>
      <c r="C1763" s="10" t="s">
        <v>7164</v>
      </c>
      <c r="D1763" s="10" t="s">
        <v>8259</v>
      </c>
      <c r="E1763" s="10" t="s">
        <v>7391</v>
      </c>
      <c r="F1763" s="10" t="s">
        <v>8260</v>
      </c>
      <c r="G1763" s="10" t="s">
        <v>32</v>
      </c>
      <c r="H1763" s="7" t="s">
        <v>24</v>
      </c>
      <c r="I1763" s="7" t="s">
        <v>25</v>
      </c>
      <c r="J1763" s="13" t="str">
        <f>HYPERLINK("https://www.airitibooks.com/Detail/Detail?PublicationID=P20180119105", "https://www.airitibooks.com/Detail/Detail?PublicationID=P20180119105")</f>
        <v>https://www.airitibooks.com/Detail/Detail?PublicationID=P20180119105</v>
      </c>
      <c r="K1763" s="13" t="str">
        <f>HYPERLINK("https://ntsu.idm.oclc.org/login?url=https://www.airitibooks.com/Detail/Detail?PublicationID=P20180119105", "https://ntsu.idm.oclc.org/login?url=https://www.airitibooks.com/Detail/Detail?PublicationID=P20180119105")</f>
        <v>https://ntsu.idm.oclc.org/login?url=https://www.airitibooks.com/Detail/Detail?PublicationID=P20180119105</v>
      </c>
    </row>
    <row r="1764" spans="1:11" ht="51" x14ac:dyDescent="0.4">
      <c r="A1764" s="10" t="s">
        <v>8277</v>
      </c>
      <c r="B1764" s="10" t="s">
        <v>8278</v>
      </c>
      <c r="C1764" s="10" t="s">
        <v>7164</v>
      </c>
      <c r="D1764" s="10" t="s">
        <v>8279</v>
      </c>
      <c r="E1764" s="10" t="s">
        <v>7391</v>
      </c>
      <c r="F1764" s="10" t="s">
        <v>8273</v>
      </c>
      <c r="G1764" s="10" t="s">
        <v>32</v>
      </c>
      <c r="H1764" s="7" t="s">
        <v>24</v>
      </c>
      <c r="I1764" s="7" t="s">
        <v>25</v>
      </c>
      <c r="J1764" s="13" t="str">
        <f>HYPERLINK("https://www.airitibooks.com/Detail/Detail?PublicationID=P20180119120", "https://www.airitibooks.com/Detail/Detail?PublicationID=P20180119120")</f>
        <v>https://www.airitibooks.com/Detail/Detail?PublicationID=P20180119120</v>
      </c>
      <c r="K1764" s="13" t="str">
        <f>HYPERLINK("https://ntsu.idm.oclc.org/login?url=https://www.airitibooks.com/Detail/Detail?PublicationID=P20180119120", "https://ntsu.idm.oclc.org/login?url=https://www.airitibooks.com/Detail/Detail?PublicationID=P20180119120")</f>
        <v>https://ntsu.idm.oclc.org/login?url=https://www.airitibooks.com/Detail/Detail?PublicationID=P20180119120</v>
      </c>
    </row>
    <row r="1765" spans="1:11" ht="51" x14ac:dyDescent="0.4">
      <c r="A1765" s="10" t="s">
        <v>8280</v>
      </c>
      <c r="B1765" s="10" t="s">
        <v>8281</v>
      </c>
      <c r="C1765" s="10" t="s">
        <v>7164</v>
      </c>
      <c r="D1765" s="10" t="s">
        <v>8279</v>
      </c>
      <c r="E1765" s="10" t="s">
        <v>7391</v>
      </c>
      <c r="F1765" s="10" t="s">
        <v>8273</v>
      </c>
      <c r="G1765" s="10" t="s">
        <v>32</v>
      </c>
      <c r="H1765" s="7" t="s">
        <v>24</v>
      </c>
      <c r="I1765" s="7" t="s">
        <v>25</v>
      </c>
      <c r="J1765" s="13" t="str">
        <f>HYPERLINK("https://www.airitibooks.com/Detail/Detail?PublicationID=P20180119121", "https://www.airitibooks.com/Detail/Detail?PublicationID=P20180119121")</f>
        <v>https://www.airitibooks.com/Detail/Detail?PublicationID=P20180119121</v>
      </c>
      <c r="K1765" s="13" t="str">
        <f>HYPERLINK("https://ntsu.idm.oclc.org/login?url=https://www.airitibooks.com/Detail/Detail?PublicationID=P20180119121", "https://ntsu.idm.oclc.org/login?url=https://www.airitibooks.com/Detail/Detail?PublicationID=P20180119121")</f>
        <v>https://ntsu.idm.oclc.org/login?url=https://www.airitibooks.com/Detail/Detail?PublicationID=P20180119121</v>
      </c>
    </row>
    <row r="1766" spans="1:11" ht="51" x14ac:dyDescent="0.4">
      <c r="A1766" s="10" t="s">
        <v>8282</v>
      </c>
      <c r="B1766" s="10" t="s">
        <v>8283</v>
      </c>
      <c r="C1766" s="10" t="s">
        <v>7164</v>
      </c>
      <c r="D1766" s="10" t="s">
        <v>8279</v>
      </c>
      <c r="E1766" s="10" t="s">
        <v>7391</v>
      </c>
      <c r="F1766" s="10" t="s">
        <v>8273</v>
      </c>
      <c r="G1766" s="10" t="s">
        <v>32</v>
      </c>
      <c r="H1766" s="7" t="s">
        <v>24</v>
      </c>
      <c r="I1766" s="7" t="s">
        <v>25</v>
      </c>
      <c r="J1766" s="13" t="str">
        <f>HYPERLINK("https://www.airitibooks.com/Detail/Detail?PublicationID=P20180119122", "https://www.airitibooks.com/Detail/Detail?PublicationID=P20180119122")</f>
        <v>https://www.airitibooks.com/Detail/Detail?PublicationID=P20180119122</v>
      </c>
      <c r="K1766" s="13" t="str">
        <f>HYPERLINK("https://ntsu.idm.oclc.org/login?url=https://www.airitibooks.com/Detail/Detail?PublicationID=P20180119122", "https://ntsu.idm.oclc.org/login?url=https://www.airitibooks.com/Detail/Detail?PublicationID=P20180119122")</f>
        <v>https://ntsu.idm.oclc.org/login?url=https://www.airitibooks.com/Detail/Detail?PublicationID=P20180119122</v>
      </c>
    </row>
    <row r="1767" spans="1:11" ht="51" x14ac:dyDescent="0.4">
      <c r="A1767" s="10" t="s">
        <v>8284</v>
      </c>
      <c r="B1767" s="10" t="s">
        <v>8285</v>
      </c>
      <c r="C1767" s="10" t="s">
        <v>7164</v>
      </c>
      <c r="D1767" s="10" t="s">
        <v>8286</v>
      </c>
      <c r="E1767" s="10" t="s">
        <v>7391</v>
      </c>
      <c r="F1767" s="10" t="s">
        <v>181</v>
      </c>
      <c r="G1767" s="10" t="s">
        <v>32</v>
      </c>
      <c r="H1767" s="7" t="s">
        <v>24</v>
      </c>
      <c r="I1767" s="7" t="s">
        <v>25</v>
      </c>
      <c r="J1767" s="13" t="str">
        <f>HYPERLINK("https://www.airitibooks.com/Detail/Detail?PublicationID=P20180119123", "https://www.airitibooks.com/Detail/Detail?PublicationID=P20180119123")</f>
        <v>https://www.airitibooks.com/Detail/Detail?PublicationID=P20180119123</v>
      </c>
      <c r="K1767" s="13" t="str">
        <f>HYPERLINK("https://ntsu.idm.oclc.org/login?url=https://www.airitibooks.com/Detail/Detail?PublicationID=P20180119123", "https://ntsu.idm.oclc.org/login?url=https://www.airitibooks.com/Detail/Detail?PublicationID=P20180119123")</f>
        <v>https://ntsu.idm.oclc.org/login?url=https://www.airitibooks.com/Detail/Detail?PublicationID=P20180119123</v>
      </c>
    </row>
    <row r="1768" spans="1:11" ht="51" x14ac:dyDescent="0.4">
      <c r="A1768" s="10" t="s">
        <v>8296</v>
      </c>
      <c r="B1768" s="10" t="s">
        <v>8297</v>
      </c>
      <c r="C1768" s="10" t="s">
        <v>7164</v>
      </c>
      <c r="D1768" s="10" t="s">
        <v>8298</v>
      </c>
      <c r="E1768" s="10" t="s">
        <v>7391</v>
      </c>
      <c r="F1768" s="10" t="s">
        <v>181</v>
      </c>
      <c r="G1768" s="10" t="s">
        <v>32</v>
      </c>
      <c r="H1768" s="7" t="s">
        <v>24</v>
      </c>
      <c r="I1768" s="7" t="s">
        <v>25</v>
      </c>
      <c r="J1768" s="13" t="str">
        <f>HYPERLINK("https://www.airitibooks.com/Detail/Detail?PublicationID=P20180119136", "https://www.airitibooks.com/Detail/Detail?PublicationID=P20180119136")</f>
        <v>https://www.airitibooks.com/Detail/Detail?PublicationID=P20180119136</v>
      </c>
      <c r="K1768" s="13" t="str">
        <f>HYPERLINK("https://ntsu.idm.oclc.org/login?url=https://www.airitibooks.com/Detail/Detail?PublicationID=P20180119136", "https://ntsu.idm.oclc.org/login?url=https://www.airitibooks.com/Detail/Detail?PublicationID=P20180119136")</f>
        <v>https://ntsu.idm.oclc.org/login?url=https://www.airitibooks.com/Detail/Detail?PublicationID=P20180119136</v>
      </c>
    </row>
    <row r="1769" spans="1:11" ht="51" x14ac:dyDescent="0.4">
      <c r="A1769" s="10" t="s">
        <v>8302</v>
      </c>
      <c r="B1769" s="10" t="s">
        <v>8303</v>
      </c>
      <c r="C1769" s="10" t="s">
        <v>7164</v>
      </c>
      <c r="D1769" s="10" t="s">
        <v>8304</v>
      </c>
      <c r="E1769" s="10" t="s">
        <v>7391</v>
      </c>
      <c r="F1769" s="10" t="s">
        <v>8260</v>
      </c>
      <c r="G1769" s="10" t="s">
        <v>32</v>
      </c>
      <c r="H1769" s="7" t="s">
        <v>24</v>
      </c>
      <c r="I1769" s="7" t="s">
        <v>25</v>
      </c>
      <c r="J1769" s="13" t="str">
        <f>HYPERLINK("https://www.airitibooks.com/Detail/Detail?PublicationID=P20180119138", "https://www.airitibooks.com/Detail/Detail?PublicationID=P20180119138")</f>
        <v>https://www.airitibooks.com/Detail/Detail?PublicationID=P20180119138</v>
      </c>
      <c r="K1769" s="13" t="str">
        <f>HYPERLINK("https://ntsu.idm.oclc.org/login?url=https://www.airitibooks.com/Detail/Detail?PublicationID=P20180119138", "https://ntsu.idm.oclc.org/login?url=https://www.airitibooks.com/Detail/Detail?PublicationID=P20180119138")</f>
        <v>https://ntsu.idm.oclc.org/login?url=https://www.airitibooks.com/Detail/Detail?PublicationID=P20180119138</v>
      </c>
    </row>
    <row r="1770" spans="1:11" ht="51" x14ac:dyDescent="0.4">
      <c r="A1770" s="10" t="s">
        <v>8305</v>
      </c>
      <c r="B1770" s="10" t="s">
        <v>8306</v>
      </c>
      <c r="C1770" s="10" t="s">
        <v>7164</v>
      </c>
      <c r="D1770" s="10" t="s">
        <v>8307</v>
      </c>
      <c r="E1770" s="10" t="s">
        <v>7391</v>
      </c>
      <c r="F1770" s="10" t="s">
        <v>181</v>
      </c>
      <c r="G1770" s="10" t="s">
        <v>32</v>
      </c>
      <c r="H1770" s="7" t="s">
        <v>24</v>
      </c>
      <c r="I1770" s="7" t="s">
        <v>25</v>
      </c>
      <c r="J1770" s="13" t="str">
        <f>HYPERLINK("https://www.airitibooks.com/Detail/Detail?PublicationID=P20180119146", "https://www.airitibooks.com/Detail/Detail?PublicationID=P20180119146")</f>
        <v>https://www.airitibooks.com/Detail/Detail?PublicationID=P20180119146</v>
      </c>
      <c r="K1770" s="13" t="str">
        <f>HYPERLINK("https://ntsu.idm.oclc.org/login?url=https://www.airitibooks.com/Detail/Detail?PublicationID=P20180119146", "https://ntsu.idm.oclc.org/login?url=https://www.airitibooks.com/Detail/Detail?PublicationID=P20180119146")</f>
        <v>https://ntsu.idm.oclc.org/login?url=https://www.airitibooks.com/Detail/Detail?PublicationID=P20180119146</v>
      </c>
    </row>
    <row r="1771" spans="1:11" ht="51" x14ac:dyDescent="0.4">
      <c r="A1771" s="10" t="s">
        <v>8312</v>
      </c>
      <c r="B1771" s="10" t="s">
        <v>8313</v>
      </c>
      <c r="C1771" s="10" t="s">
        <v>7164</v>
      </c>
      <c r="D1771" s="10" t="s">
        <v>8314</v>
      </c>
      <c r="E1771" s="10" t="s">
        <v>7391</v>
      </c>
      <c r="F1771" s="10" t="s">
        <v>575</v>
      </c>
      <c r="G1771" s="10" t="s">
        <v>32</v>
      </c>
      <c r="H1771" s="7" t="s">
        <v>24</v>
      </c>
      <c r="I1771" s="7" t="s">
        <v>25</v>
      </c>
      <c r="J1771" s="13" t="str">
        <f>HYPERLINK("https://www.airitibooks.com/Detail/Detail?PublicationID=P20180119149", "https://www.airitibooks.com/Detail/Detail?PublicationID=P20180119149")</f>
        <v>https://www.airitibooks.com/Detail/Detail?PublicationID=P20180119149</v>
      </c>
      <c r="K1771" s="13" t="str">
        <f>HYPERLINK("https://ntsu.idm.oclc.org/login?url=https://www.airitibooks.com/Detail/Detail?PublicationID=P20180119149", "https://ntsu.idm.oclc.org/login?url=https://www.airitibooks.com/Detail/Detail?PublicationID=P20180119149")</f>
        <v>https://ntsu.idm.oclc.org/login?url=https://www.airitibooks.com/Detail/Detail?PublicationID=P20180119149</v>
      </c>
    </row>
    <row r="1772" spans="1:11" ht="51" x14ac:dyDescent="0.4">
      <c r="A1772" s="10" t="s">
        <v>8318</v>
      </c>
      <c r="B1772" s="10" t="s">
        <v>8319</v>
      </c>
      <c r="C1772" s="10" t="s">
        <v>7164</v>
      </c>
      <c r="D1772" s="10" t="s">
        <v>8320</v>
      </c>
      <c r="E1772" s="10" t="s">
        <v>7391</v>
      </c>
      <c r="F1772" s="10" t="s">
        <v>8273</v>
      </c>
      <c r="G1772" s="10" t="s">
        <v>32</v>
      </c>
      <c r="H1772" s="7" t="s">
        <v>24</v>
      </c>
      <c r="I1772" s="7" t="s">
        <v>25</v>
      </c>
      <c r="J1772" s="13" t="str">
        <f>HYPERLINK("https://www.airitibooks.com/Detail/Detail?PublicationID=P20180119154", "https://www.airitibooks.com/Detail/Detail?PublicationID=P20180119154")</f>
        <v>https://www.airitibooks.com/Detail/Detail?PublicationID=P20180119154</v>
      </c>
      <c r="K1772" s="13" t="str">
        <f>HYPERLINK("https://ntsu.idm.oclc.org/login?url=https://www.airitibooks.com/Detail/Detail?PublicationID=P20180119154", "https://ntsu.idm.oclc.org/login?url=https://www.airitibooks.com/Detail/Detail?PublicationID=P20180119154")</f>
        <v>https://ntsu.idm.oclc.org/login?url=https://www.airitibooks.com/Detail/Detail?PublicationID=P20180119154</v>
      </c>
    </row>
    <row r="1773" spans="1:11" ht="51" x14ac:dyDescent="0.4">
      <c r="A1773" s="10" t="s">
        <v>8321</v>
      </c>
      <c r="B1773" s="10" t="s">
        <v>8322</v>
      </c>
      <c r="C1773" s="10" t="s">
        <v>7164</v>
      </c>
      <c r="D1773" s="10" t="s">
        <v>8323</v>
      </c>
      <c r="E1773" s="10" t="s">
        <v>7391</v>
      </c>
      <c r="F1773" s="10" t="s">
        <v>8324</v>
      </c>
      <c r="G1773" s="10" t="s">
        <v>32</v>
      </c>
      <c r="H1773" s="7" t="s">
        <v>24</v>
      </c>
      <c r="I1773" s="7" t="s">
        <v>25</v>
      </c>
      <c r="J1773" s="13" t="str">
        <f>HYPERLINK("https://www.airitibooks.com/Detail/Detail?PublicationID=P20180119156", "https://www.airitibooks.com/Detail/Detail?PublicationID=P20180119156")</f>
        <v>https://www.airitibooks.com/Detail/Detail?PublicationID=P20180119156</v>
      </c>
      <c r="K1773" s="13" t="str">
        <f>HYPERLINK("https://ntsu.idm.oclc.org/login?url=https://www.airitibooks.com/Detail/Detail?PublicationID=P20180119156", "https://ntsu.idm.oclc.org/login?url=https://www.airitibooks.com/Detail/Detail?PublicationID=P20180119156")</f>
        <v>https://ntsu.idm.oclc.org/login?url=https://www.airitibooks.com/Detail/Detail?PublicationID=P20180119156</v>
      </c>
    </row>
    <row r="1774" spans="1:11" ht="51" x14ac:dyDescent="0.4">
      <c r="A1774" s="10" t="s">
        <v>8325</v>
      </c>
      <c r="B1774" s="10" t="s">
        <v>8326</v>
      </c>
      <c r="C1774" s="10" t="s">
        <v>7164</v>
      </c>
      <c r="D1774" s="10" t="s">
        <v>8327</v>
      </c>
      <c r="E1774" s="10" t="s">
        <v>7391</v>
      </c>
      <c r="F1774" s="10" t="s">
        <v>181</v>
      </c>
      <c r="G1774" s="10" t="s">
        <v>32</v>
      </c>
      <c r="H1774" s="7" t="s">
        <v>24</v>
      </c>
      <c r="I1774" s="7" t="s">
        <v>25</v>
      </c>
      <c r="J1774" s="13" t="str">
        <f>HYPERLINK("https://www.airitibooks.com/Detail/Detail?PublicationID=P20180119157", "https://www.airitibooks.com/Detail/Detail?PublicationID=P20180119157")</f>
        <v>https://www.airitibooks.com/Detail/Detail?PublicationID=P20180119157</v>
      </c>
      <c r="K1774" s="13" t="str">
        <f>HYPERLINK("https://ntsu.idm.oclc.org/login?url=https://www.airitibooks.com/Detail/Detail?PublicationID=P20180119157", "https://ntsu.idm.oclc.org/login?url=https://www.airitibooks.com/Detail/Detail?PublicationID=P20180119157")</f>
        <v>https://ntsu.idm.oclc.org/login?url=https://www.airitibooks.com/Detail/Detail?PublicationID=P20180119157</v>
      </c>
    </row>
    <row r="1775" spans="1:11" ht="51" x14ac:dyDescent="0.4">
      <c r="A1775" s="10" t="s">
        <v>8328</v>
      </c>
      <c r="B1775" s="10" t="s">
        <v>8329</v>
      </c>
      <c r="C1775" s="10" t="s">
        <v>7164</v>
      </c>
      <c r="D1775" s="10" t="s">
        <v>8330</v>
      </c>
      <c r="E1775" s="10" t="s">
        <v>7391</v>
      </c>
      <c r="F1775" s="10" t="s">
        <v>8273</v>
      </c>
      <c r="G1775" s="10" t="s">
        <v>32</v>
      </c>
      <c r="H1775" s="7" t="s">
        <v>24</v>
      </c>
      <c r="I1775" s="7" t="s">
        <v>25</v>
      </c>
      <c r="J1775" s="13" t="str">
        <f>HYPERLINK("https://www.airitibooks.com/Detail/Detail?PublicationID=P20180119166", "https://www.airitibooks.com/Detail/Detail?PublicationID=P20180119166")</f>
        <v>https://www.airitibooks.com/Detail/Detail?PublicationID=P20180119166</v>
      </c>
      <c r="K1775" s="13" t="str">
        <f>HYPERLINK("https://ntsu.idm.oclc.org/login?url=https://www.airitibooks.com/Detail/Detail?PublicationID=P20180119166", "https://ntsu.idm.oclc.org/login?url=https://www.airitibooks.com/Detail/Detail?PublicationID=P20180119166")</f>
        <v>https://ntsu.idm.oclc.org/login?url=https://www.airitibooks.com/Detail/Detail?PublicationID=P20180119166</v>
      </c>
    </row>
    <row r="1776" spans="1:11" ht="51" x14ac:dyDescent="0.4">
      <c r="A1776" s="10" t="s">
        <v>8340</v>
      </c>
      <c r="B1776" s="10" t="s">
        <v>8341</v>
      </c>
      <c r="C1776" s="10" t="s">
        <v>7164</v>
      </c>
      <c r="D1776" s="10" t="s">
        <v>8342</v>
      </c>
      <c r="E1776" s="10" t="s">
        <v>7391</v>
      </c>
      <c r="F1776" s="10" t="s">
        <v>181</v>
      </c>
      <c r="G1776" s="10" t="s">
        <v>32</v>
      </c>
      <c r="H1776" s="7" t="s">
        <v>24</v>
      </c>
      <c r="I1776" s="7" t="s">
        <v>25</v>
      </c>
      <c r="J1776" s="13" t="str">
        <f>HYPERLINK("https://www.airitibooks.com/Detail/Detail?PublicationID=P20180119175", "https://www.airitibooks.com/Detail/Detail?PublicationID=P20180119175")</f>
        <v>https://www.airitibooks.com/Detail/Detail?PublicationID=P20180119175</v>
      </c>
      <c r="K1776" s="13" t="str">
        <f>HYPERLINK("https://ntsu.idm.oclc.org/login?url=https://www.airitibooks.com/Detail/Detail?PublicationID=P20180119175", "https://ntsu.idm.oclc.org/login?url=https://www.airitibooks.com/Detail/Detail?PublicationID=P20180119175")</f>
        <v>https://ntsu.idm.oclc.org/login?url=https://www.airitibooks.com/Detail/Detail?PublicationID=P20180119175</v>
      </c>
    </row>
    <row r="1777" spans="1:11" ht="68" x14ac:dyDescent="0.4">
      <c r="A1777" s="10" t="s">
        <v>8377</v>
      </c>
      <c r="B1777" s="10" t="s">
        <v>8378</v>
      </c>
      <c r="C1777" s="10" t="s">
        <v>791</v>
      </c>
      <c r="D1777" s="10" t="s">
        <v>8379</v>
      </c>
      <c r="E1777" s="10" t="s">
        <v>7391</v>
      </c>
      <c r="F1777" s="10" t="s">
        <v>4218</v>
      </c>
      <c r="G1777" s="10" t="s">
        <v>32</v>
      </c>
      <c r="H1777" s="7" t="s">
        <v>24</v>
      </c>
      <c r="I1777" s="7" t="s">
        <v>25</v>
      </c>
      <c r="J1777" s="13" t="str">
        <f>HYPERLINK("https://www.airitibooks.com/Detail/Detail?PublicationID=P20180126031", "https://www.airitibooks.com/Detail/Detail?PublicationID=P20180126031")</f>
        <v>https://www.airitibooks.com/Detail/Detail?PublicationID=P20180126031</v>
      </c>
      <c r="K1777" s="13" t="str">
        <f>HYPERLINK("https://ntsu.idm.oclc.org/login?url=https://www.airitibooks.com/Detail/Detail?PublicationID=P20180126031", "https://ntsu.idm.oclc.org/login?url=https://www.airitibooks.com/Detail/Detail?PublicationID=P20180126031")</f>
        <v>https://ntsu.idm.oclc.org/login?url=https://www.airitibooks.com/Detail/Detail?PublicationID=P20180126031</v>
      </c>
    </row>
    <row r="1778" spans="1:11" ht="51" x14ac:dyDescent="0.4">
      <c r="A1778" s="10" t="s">
        <v>8386</v>
      </c>
      <c r="B1778" s="10" t="s">
        <v>8387</v>
      </c>
      <c r="C1778" s="10" t="s">
        <v>1253</v>
      </c>
      <c r="D1778" s="10" t="s">
        <v>8388</v>
      </c>
      <c r="E1778" s="10" t="s">
        <v>7391</v>
      </c>
      <c r="F1778" s="10" t="s">
        <v>2856</v>
      </c>
      <c r="G1778" s="10" t="s">
        <v>32</v>
      </c>
      <c r="H1778" s="7" t="s">
        <v>24</v>
      </c>
      <c r="I1778" s="7" t="s">
        <v>25</v>
      </c>
      <c r="J1778" s="13" t="str">
        <f>HYPERLINK("https://www.airitibooks.com/Detail/Detail?PublicationID=P20180205020", "https://www.airitibooks.com/Detail/Detail?PublicationID=P20180205020")</f>
        <v>https://www.airitibooks.com/Detail/Detail?PublicationID=P20180205020</v>
      </c>
      <c r="K1778" s="13" t="str">
        <f>HYPERLINK("https://ntsu.idm.oclc.org/login?url=https://www.airitibooks.com/Detail/Detail?PublicationID=P20180205020", "https://ntsu.idm.oclc.org/login?url=https://www.airitibooks.com/Detail/Detail?PublicationID=P20180205020")</f>
        <v>https://ntsu.idm.oclc.org/login?url=https://www.airitibooks.com/Detail/Detail?PublicationID=P20180205020</v>
      </c>
    </row>
    <row r="1779" spans="1:11" ht="51" x14ac:dyDescent="0.4">
      <c r="A1779" s="10" t="s">
        <v>8420</v>
      </c>
      <c r="B1779" s="10" t="s">
        <v>8421</v>
      </c>
      <c r="C1779" s="10" t="s">
        <v>7164</v>
      </c>
      <c r="D1779" s="10" t="s">
        <v>8422</v>
      </c>
      <c r="E1779" s="10" t="s">
        <v>7391</v>
      </c>
      <c r="F1779" s="10" t="s">
        <v>274</v>
      </c>
      <c r="G1779" s="10" t="s">
        <v>32</v>
      </c>
      <c r="H1779" s="7" t="s">
        <v>24</v>
      </c>
      <c r="I1779" s="7" t="s">
        <v>25</v>
      </c>
      <c r="J1779" s="13" t="str">
        <f>HYPERLINK("https://www.airitibooks.com/Detail/Detail?PublicationID=P201802081001", "https://www.airitibooks.com/Detail/Detail?PublicationID=P201802081001")</f>
        <v>https://www.airitibooks.com/Detail/Detail?PublicationID=P201802081001</v>
      </c>
      <c r="K1779" s="13" t="str">
        <f>HYPERLINK("https://ntsu.idm.oclc.org/login?url=https://www.airitibooks.com/Detail/Detail?PublicationID=P201802081001", "https://ntsu.idm.oclc.org/login?url=https://www.airitibooks.com/Detail/Detail?PublicationID=P201802081001")</f>
        <v>https://ntsu.idm.oclc.org/login?url=https://www.airitibooks.com/Detail/Detail?PublicationID=P201802081001</v>
      </c>
    </row>
    <row r="1780" spans="1:11" ht="51" x14ac:dyDescent="0.4">
      <c r="A1780" s="10" t="s">
        <v>8446</v>
      </c>
      <c r="B1780" s="10" t="s">
        <v>8447</v>
      </c>
      <c r="C1780" s="10" t="s">
        <v>7164</v>
      </c>
      <c r="D1780" s="10" t="s">
        <v>8448</v>
      </c>
      <c r="E1780" s="10" t="s">
        <v>7391</v>
      </c>
      <c r="F1780" s="10" t="s">
        <v>181</v>
      </c>
      <c r="G1780" s="10" t="s">
        <v>32</v>
      </c>
      <c r="H1780" s="7" t="s">
        <v>24</v>
      </c>
      <c r="I1780" s="7" t="s">
        <v>25</v>
      </c>
      <c r="J1780" s="13" t="str">
        <f>HYPERLINK("https://www.airitibooks.com/Detail/Detail?PublicationID=P20180208166", "https://www.airitibooks.com/Detail/Detail?PublicationID=P20180208166")</f>
        <v>https://www.airitibooks.com/Detail/Detail?PublicationID=P20180208166</v>
      </c>
      <c r="K1780" s="13" t="str">
        <f>HYPERLINK("https://ntsu.idm.oclc.org/login?url=https://www.airitibooks.com/Detail/Detail?PublicationID=P20180208166", "https://ntsu.idm.oclc.org/login?url=https://www.airitibooks.com/Detail/Detail?PublicationID=P20180208166")</f>
        <v>https://ntsu.idm.oclc.org/login?url=https://www.airitibooks.com/Detail/Detail?PublicationID=P20180208166</v>
      </c>
    </row>
    <row r="1781" spans="1:11" ht="51" x14ac:dyDescent="0.4">
      <c r="A1781" s="10" t="s">
        <v>8455</v>
      </c>
      <c r="B1781" s="10" t="s">
        <v>8456</v>
      </c>
      <c r="C1781" s="10" t="s">
        <v>7164</v>
      </c>
      <c r="D1781" s="10" t="s">
        <v>8457</v>
      </c>
      <c r="E1781" s="10" t="s">
        <v>7391</v>
      </c>
      <c r="F1781" s="10" t="s">
        <v>575</v>
      </c>
      <c r="G1781" s="10" t="s">
        <v>32</v>
      </c>
      <c r="H1781" s="7" t="s">
        <v>24</v>
      </c>
      <c r="I1781" s="7" t="s">
        <v>25</v>
      </c>
      <c r="J1781" s="13" t="str">
        <f>HYPERLINK("https://www.airitibooks.com/Detail/Detail?PublicationID=P20180208169", "https://www.airitibooks.com/Detail/Detail?PublicationID=P20180208169")</f>
        <v>https://www.airitibooks.com/Detail/Detail?PublicationID=P20180208169</v>
      </c>
      <c r="K1781" s="13" t="str">
        <f>HYPERLINK("https://ntsu.idm.oclc.org/login?url=https://www.airitibooks.com/Detail/Detail?PublicationID=P20180208169", "https://ntsu.idm.oclc.org/login?url=https://www.airitibooks.com/Detail/Detail?PublicationID=P20180208169")</f>
        <v>https://ntsu.idm.oclc.org/login?url=https://www.airitibooks.com/Detail/Detail?PublicationID=P20180208169</v>
      </c>
    </row>
    <row r="1782" spans="1:11" ht="51" x14ac:dyDescent="0.4">
      <c r="A1782" s="10" t="s">
        <v>8458</v>
      </c>
      <c r="B1782" s="10" t="s">
        <v>8459</v>
      </c>
      <c r="C1782" s="10" t="s">
        <v>7164</v>
      </c>
      <c r="D1782" s="10" t="s">
        <v>8460</v>
      </c>
      <c r="E1782" s="10" t="s">
        <v>7391</v>
      </c>
      <c r="F1782" s="10" t="s">
        <v>7368</v>
      </c>
      <c r="G1782" s="10" t="s">
        <v>32</v>
      </c>
      <c r="H1782" s="7" t="s">
        <v>24</v>
      </c>
      <c r="I1782" s="7" t="s">
        <v>25</v>
      </c>
      <c r="J1782" s="13" t="str">
        <f>HYPERLINK("https://www.airitibooks.com/Detail/Detail?PublicationID=P20180208171", "https://www.airitibooks.com/Detail/Detail?PublicationID=P20180208171")</f>
        <v>https://www.airitibooks.com/Detail/Detail?PublicationID=P20180208171</v>
      </c>
      <c r="K1782" s="13" t="str">
        <f>HYPERLINK("https://ntsu.idm.oclc.org/login?url=https://www.airitibooks.com/Detail/Detail?PublicationID=P20180208171", "https://ntsu.idm.oclc.org/login?url=https://www.airitibooks.com/Detail/Detail?PublicationID=P20180208171")</f>
        <v>https://ntsu.idm.oclc.org/login?url=https://www.airitibooks.com/Detail/Detail?PublicationID=P20180208171</v>
      </c>
    </row>
    <row r="1783" spans="1:11" ht="51" x14ac:dyDescent="0.4">
      <c r="A1783" s="10" t="s">
        <v>8467</v>
      </c>
      <c r="B1783" s="10" t="s">
        <v>8468</v>
      </c>
      <c r="C1783" s="10" t="s">
        <v>7164</v>
      </c>
      <c r="D1783" s="10" t="s">
        <v>8469</v>
      </c>
      <c r="E1783" s="10" t="s">
        <v>7391</v>
      </c>
      <c r="F1783" s="10" t="s">
        <v>8470</v>
      </c>
      <c r="G1783" s="10" t="s">
        <v>32</v>
      </c>
      <c r="H1783" s="7" t="s">
        <v>24</v>
      </c>
      <c r="I1783" s="7" t="s">
        <v>25</v>
      </c>
      <c r="J1783" s="13" t="str">
        <f>HYPERLINK("https://www.airitibooks.com/Detail/Detail?PublicationID=P20180208183", "https://www.airitibooks.com/Detail/Detail?PublicationID=P20180208183")</f>
        <v>https://www.airitibooks.com/Detail/Detail?PublicationID=P20180208183</v>
      </c>
      <c r="K1783" s="13" t="str">
        <f>HYPERLINK("https://ntsu.idm.oclc.org/login?url=https://www.airitibooks.com/Detail/Detail?PublicationID=P20180208183", "https://ntsu.idm.oclc.org/login?url=https://www.airitibooks.com/Detail/Detail?PublicationID=P20180208183")</f>
        <v>https://ntsu.idm.oclc.org/login?url=https://www.airitibooks.com/Detail/Detail?PublicationID=P20180208183</v>
      </c>
    </row>
    <row r="1784" spans="1:11" ht="51" x14ac:dyDescent="0.4">
      <c r="A1784" s="10" t="s">
        <v>8471</v>
      </c>
      <c r="B1784" s="10" t="s">
        <v>8472</v>
      </c>
      <c r="C1784" s="10" t="s">
        <v>7164</v>
      </c>
      <c r="D1784" s="10" t="s">
        <v>8473</v>
      </c>
      <c r="E1784" s="10" t="s">
        <v>7391</v>
      </c>
      <c r="F1784" s="10" t="s">
        <v>575</v>
      </c>
      <c r="G1784" s="10" t="s">
        <v>32</v>
      </c>
      <c r="H1784" s="7" t="s">
        <v>24</v>
      </c>
      <c r="I1784" s="7" t="s">
        <v>25</v>
      </c>
      <c r="J1784" s="13" t="str">
        <f>HYPERLINK("https://www.airitibooks.com/Detail/Detail?PublicationID=P20180208185", "https://www.airitibooks.com/Detail/Detail?PublicationID=P20180208185")</f>
        <v>https://www.airitibooks.com/Detail/Detail?PublicationID=P20180208185</v>
      </c>
      <c r="K1784" s="13" t="str">
        <f>HYPERLINK("https://ntsu.idm.oclc.org/login?url=https://www.airitibooks.com/Detail/Detail?PublicationID=P20180208185", "https://ntsu.idm.oclc.org/login?url=https://www.airitibooks.com/Detail/Detail?PublicationID=P20180208185")</f>
        <v>https://ntsu.idm.oclc.org/login?url=https://www.airitibooks.com/Detail/Detail?PublicationID=P20180208185</v>
      </c>
    </row>
    <row r="1785" spans="1:11" ht="51" x14ac:dyDescent="0.4">
      <c r="A1785" s="10" t="s">
        <v>8474</v>
      </c>
      <c r="B1785" s="10" t="s">
        <v>8475</v>
      </c>
      <c r="C1785" s="10" t="s">
        <v>7164</v>
      </c>
      <c r="D1785" s="10" t="s">
        <v>8473</v>
      </c>
      <c r="E1785" s="10" t="s">
        <v>7391</v>
      </c>
      <c r="F1785" s="10" t="s">
        <v>575</v>
      </c>
      <c r="G1785" s="10" t="s">
        <v>32</v>
      </c>
      <c r="H1785" s="7" t="s">
        <v>24</v>
      </c>
      <c r="I1785" s="7" t="s">
        <v>25</v>
      </c>
      <c r="J1785" s="13" t="str">
        <f>HYPERLINK("https://www.airitibooks.com/Detail/Detail?PublicationID=P20180208186", "https://www.airitibooks.com/Detail/Detail?PublicationID=P20180208186")</f>
        <v>https://www.airitibooks.com/Detail/Detail?PublicationID=P20180208186</v>
      </c>
      <c r="K1785" s="13" t="str">
        <f>HYPERLINK("https://ntsu.idm.oclc.org/login?url=https://www.airitibooks.com/Detail/Detail?PublicationID=P20180208186", "https://ntsu.idm.oclc.org/login?url=https://www.airitibooks.com/Detail/Detail?PublicationID=P20180208186")</f>
        <v>https://ntsu.idm.oclc.org/login?url=https://www.airitibooks.com/Detail/Detail?PublicationID=P20180208186</v>
      </c>
    </row>
    <row r="1786" spans="1:11" ht="51" x14ac:dyDescent="0.4">
      <c r="A1786" s="10" t="s">
        <v>8500</v>
      </c>
      <c r="B1786" s="10" t="s">
        <v>8501</v>
      </c>
      <c r="C1786" s="10" t="s">
        <v>7164</v>
      </c>
      <c r="D1786" s="10" t="s">
        <v>8502</v>
      </c>
      <c r="E1786" s="10" t="s">
        <v>7391</v>
      </c>
      <c r="F1786" s="10" t="s">
        <v>181</v>
      </c>
      <c r="G1786" s="10" t="s">
        <v>32</v>
      </c>
      <c r="H1786" s="7" t="s">
        <v>24</v>
      </c>
      <c r="I1786" s="7" t="s">
        <v>25</v>
      </c>
      <c r="J1786" s="13" t="str">
        <f>HYPERLINK("https://www.airitibooks.com/Detail/Detail?PublicationID=P20180208207", "https://www.airitibooks.com/Detail/Detail?PublicationID=P20180208207")</f>
        <v>https://www.airitibooks.com/Detail/Detail?PublicationID=P20180208207</v>
      </c>
      <c r="K1786" s="13" t="str">
        <f>HYPERLINK("https://ntsu.idm.oclc.org/login?url=https://www.airitibooks.com/Detail/Detail?PublicationID=P20180208207", "https://ntsu.idm.oclc.org/login?url=https://www.airitibooks.com/Detail/Detail?PublicationID=P20180208207")</f>
        <v>https://ntsu.idm.oclc.org/login?url=https://www.airitibooks.com/Detail/Detail?PublicationID=P20180208207</v>
      </c>
    </row>
    <row r="1787" spans="1:11" ht="51" x14ac:dyDescent="0.4">
      <c r="A1787" s="10" t="s">
        <v>8512</v>
      </c>
      <c r="B1787" s="10" t="s">
        <v>8513</v>
      </c>
      <c r="C1787" s="10" t="s">
        <v>7164</v>
      </c>
      <c r="D1787" s="10" t="s">
        <v>8514</v>
      </c>
      <c r="E1787" s="10" t="s">
        <v>7391</v>
      </c>
      <c r="F1787" s="10" t="s">
        <v>575</v>
      </c>
      <c r="G1787" s="10" t="s">
        <v>32</v>
      </c>
      <c r="H1787" s="7" t="s">
        <v>24</v>
      </c>
      <c r="I1787" s="7" t="s">
        <v>25</v>
      </c>
      <c r="J1787" s="13" t="str">
        <f>HYPERLINK("https://www.airitibooks.com/Detail/Detail?PublicationID=P20180208269", "https://www.airitibooks.com/Detail/Detail?PublicationID=P20180208269")</f>
        <v>https://www.airitibooks.com/Detail/Detail?PublicationID=P20180208269</v>
      </c>
      <c r="K1787" s="13" t="str">
        <f>HYPERLINK("https://ntsu.idm.oclc.org/login?url=https://www.airitibooks.com/Detail/Detail?PublicationID=P20180208269", "https://ntsu.idm.oclc.org/login?url=https://www.airitibooks.com/Detail/Detail?PublicationID=P20180208269")</f>
        <v>https://ntsu.idm.oclc.org/login?url=https://www.airitibooks.com/Detail/Detail?PublicationID=P20180208269</v>
      </c>
    </row>
    <row r="1788" spans="1:11" ht="51" x14ac:dyDescent="0.4">
      <c r="A1788" s="10" t="s">
        <v>8515</v>
      </c>
      <c r="B1788" s="10" t="s">
        <v>8516</v>
      </c>
      <c r="C1788" s="10" t="s">
        <v>7164</v>
      </c>
      <c r="D1788" s="10" t="s">
        <v>8517</v>
      </c>
      <c r="E1788" s="10" t="s">
        <v>7391</v>
      </c>
      <c r="F1788" s="10" t="s">
        <v>1556</v>
      </c>
      <c r="G1788" s="10" t="s">
        <v>32</v>
      </c>
      <c r="H1788" s="7" t="s">
        <v>24</v>
      </c>
      <c r="I1788" s="7" t="s">
        <v>25</v>
      </c>
      <c r="J1788" s="13" t="str">
        <f>HYPERLINK("https://www.airitibooks.com/Detail/Detail?PublicationID=P20180208270", "https://www.airitibooks.com/Detail/Detail?PublicationID=P20180208270")</f>
        <v>https://www.airitibooks.com/Detail/Detail?PublicationID=P20180208270</v>
      </c>
      <c r="K1788" s="13" t="str">
        <f>HYPERLINK("https://ntsu.idm.oclc.org/login?url=https://www.airitibooks.com/Detail/Detail?PublicationID=P20180208270", "https://ntsu.idm.oclc.org/login?url=https://www.airitibooks.com/Detail/Detail?PublicationID=P20180208270")</f>
        <v>https://ntsu.idm.oclc.org/login?url=https://www.airitibooks.com/Detail/Detail?PublicationID=P20180208270</v>
      </c>
    </row>
    <row r="1789" spans="1:11" ht="51" x14ac:dyDescent="0.4">
      <c r="A1789" s="10" t="s">
        <v>8521</v>
      </c>
      <c r="B1789" s="10" t="s">
        <v>8522</v>
      </c>
      <c r="C1789" s="10" t="s">
        <v>7164</v>
      </c>
      <c r="D1789" s="10" t="s">
        <v>8523</v>
      </c>
      <c r="E1789" s="10" t="s">
        <v>7391</v>
      </c>
      <c r="F1789" s="10" t="s">
        <v>181</v>
      </c>
      <c r="G1789" s="10" t="s">
        <v>32</v>
      </c>
      <c r="H1789" s="7" t="s">
        <v>24</v>
      </c>
      <c r="I1789" s="7" t="s">
        <v>25</v>
      </c>
      <c r="J1789" s="13" t="str">
        <f>HYPERLINK("https://www.airitibooks.com/Detail/Detail?PublicationID=P20180208277", "https://www.airitibooks.com/Detail/Detail?PublicationID=P20180208277")</f>
        <v>https://www.airitibooks.com/Detail/Detail?PublicationID=P20180208277</v>
      </c>
      <c r="K1789" s="13" t="str">
        <f>HYPERLINK("https://ntsu.idm.oclc.org/login?url=https://www.airitibooks.com/Detail/Detail?PublicationID=P20180208277", "https://ntsu.idm.oclc.org/login?url=https://www.airitibooks.com/Detail/Detail?PublicationID=P20180208277")</f>
        <v>https://ntsu.idm.oclc.org/login?url=https://www.airitibooks.com/Detail/Detail?PublicationID=P20180208277</v>
      </c>
    </row>
    <row r="1790" spans="1:11" ht="51" x14ac:dyDescent="0.4">
      <c r="A1790" s="10" t="s">
        <v>8524</v>
      </c>
      <c r="B1790" s="10" t="s">
        <v>8525</v>
      </c>
      <c r="C1790" s="10" t="s">
        <v>7164</v>
      </c>
      <c r="D1790" s="10" t="s">
        <v>8526</v>
      </c>
      <c r="E1790" s="10" t="s">
        <v>7391</v>
      </c>
      <c r="F1790" s="10" t="s">
        <v>181</v>
      </c>
      <c r="G1790" s="10" t="s">
        <v>32</v>
      </c>
      <c r="H1790" s="7" t="s">
        <v>24</v>
      </c>
      <c r="I1790" s="7" t="s">
        <v>25</v>
      </c>
      <c r="J1790" s="13" t="str">
        <f>HYPERLINK("https://www.airitibooks.com/Detail/Detail?PublicationID=P20180208278", "https://www.airitibooks.com/Detail/Detail?PublicationID=P20180208278")</f>
        <v>https://www.airitibooks.com/Detail/Detail?PublicationID=P20180208278</v>
      </c>
      <c r="K1790" s="13" t="str">
        <f>HYPERLINK("https://ntsu.idm.oclc.org/login?url=https://www.airitibooks.com/Detail/Detail?PublicationID=P20180208278", "https://ntsu.idm.oclc.org/login?url=https://www.airitibooks.com/Detail/Detail?PublicationID=P20180208278")</f>
        <v>https://ntsu.idm.oclc.org/login?url=https://www.airitibooks.com/Detail/Detail?PublicationID=P20180208278</v>
      </c>
    </row>
    <row r="1791" spans="1:11" ht="51" x14ac:dyDescent="0.4">
      <c r="A1791" s="10" t="s">
        <v>8527</v>
      </c>
      <c r="B1791" s="10" t="s">
        <v>8528</v>
      </c>
      <c r="C1791" s="10" t="s">
        <v>7164</v>
      </c>
      <c r="D1791" s="10" t="s">
        <v>8529</v>
      </c>
      <c r="E1791" s="10" t="s">
        <v>7391</v>
      </c>
      <c r="F1791" s="10" t="s">
        <v>181</v>
      </c>
      <c r="G1791" s="10" t="s">
        <v>32</v>
      </c>
      <c r="H1791" s="7" t="s">
        <v>24</v>
      </c>
      <c r="I1791" s="7" t="s">
        <v>25</v>
      </c>
      <c r="J1791" s="13" t="str">
        <f>HYPERLINK("https://www.airitibooks.com/Detail/Detail?PublicationID=P20180208280", "https://www.airitibooks.com/Detail/Detail?PublicationID=P20180208280")</f>
        <v>https://www.airitibooks.com/Detail/Detail?PublicationID=P20180208280</v>
      </c>
      <c r="K1791" s="13" t="str">
        <f>HYPERLINK("https://ntsu.idm.oclc.org/login?url=https://www.airitibooks.com/Detail/Detail?PublicationID=P20180208280", "https://ntsu.idm.oclc.org/login?url=https://www.airitibooks.com/Detail/Detail?PublicationID=P20180208280")</f>
        <v>https://ntsu.idm.oclc.org/login?url=https://www.airitibooks.com/Detail/Detail?PublicationID=P20180208280</v>
      </c>
    </row>
    <row r="1792" spans="1:11" ht="51" x14ac:dyDescent="0.4">
      <c r="A1792" s="10" t="s">
        <v>8533</v>
      </c>
      <c r="B1792" s="10" t="s">
        <v>8534</v>
      </c>
      <c r="C1792" s="10" t="s">
        <v>7164</v>
      </c>
      <c r="D1792" s="10" t="s">
        <v>8535</v>
      </c>
      <c r="E1792" s="10" t="s">
        <v>7391</v>
      </c>
      <c r="F1792" s="10" t="s">
        <v>1457</v>
      </c>
      <c r="G1792" s="10" t="s">
        <v>32</v>
      </c>
      <c r="H1792" s="7" t="s">
        <v>24</v>
      </c>
      <c r="I1792" s="7" t="s">
        <v>25</v>
      </c>
      <c r="J1792" s="13" t="str">
        <f>HYPERLINK("https://www.airitibooks.com/Detail/Detail?PublicationID=P20180208289", "https://www.airitibooks.com/Detail/Detail?PublicationID=P20180208289")</f>
        <v>https://www.airitibooks.com/Detail/Detail?PublicationID=P20180208289</v>
      </c>
      <c r="K1792" s="13" t="str">
        <f>HYPERLINK("https://ntsu.idm.oclc.org/login?url=https://www.airitibooks.com/Detail/Detail?PublicationID=P20180208289", "https://ntsu.idm.oclc.org/login?url=https://www.airitibooks.com/Detail/Detail?PublicationID=P20180208289")</f>
        <v>https://ntsu.idm.oclc.org/login?url=https://www.airitibooks.com/Detail/Detail?PublicationID=P20180208289</v>
      </c>
    </row>
    <row r="1793" spans="1:11" ht="51" x14ac:dyDescent="0.4">
      <c r="A1793" s="10" t="s">
        <v>8554</v>
      </c>
      <c r="B1793" s="10" t="s">
        <v>8555</v>
      </c>
      <c r="C1793" s="10" t="s">
        <v>7164</v>
      </c>
      <c r="D1793" s="10" t="s">
        <v>8556</v>
      </c>
      <c r="E1793" s="10" t="s">
        <v>7391</v>
      </c>
      <c r="F1793" s="10" t="s">
        <v>181</v>
      </c>
      <c r="G1793" s="10" t="s">
        <v>32</v>
      </c>
      <c r="H1793" s="7" t="s">
        <v>24</v>
      </c>
      <c r="I1793" s="7" t="s">
        <v>25</v>
      </c>
      <c r="J1793" s="13" t="str">
        <f>HYPERLINK("https://www.airitibooks.com/Detail/Detail?PublicationID=P20180208308", "https://www.airitibooks.com/Detail/Detail?PublicationID=P20180208308")</f>
        <v>https://www.airitibooks.com/Detail/Detail?PublicationID=P20180208308</v>
      </c>
      <c r="K1793" s="13" t="str">
        <f>HYPERLINK("https://ntsu.idm.oclc.org/login?url=https://www.airitibooks.com/Detail/Detail?PublicationID=P20180208308", "https://ntsu.idm.oclc.org/login?url=https://www.airitibooks.com/Detail/Detail?PublicationID=P20180208308")</f>
        <v>https://ntsu.idm.oclc.org/login?url=https://www.airitibooks.com/Detail/Detail?PublicationID=P20180208308</v>
      </c>
    </row>
    <row r="1794" spans="1:11" ht="51" x14ac:dyDescent="0.4">
      <c r="A1794" s="10" t="s">
        <v>8557</v>
      </c>
      <c r="B1794" s="10" t="s">
        <v>8558</v>
      </c>
      <c r="C1794" s="10" t="s">
        <v>7164</v>
      </c>
      <c r="D1794" s="10" t="s">
        <v>8559</v>
      </c>
      <c r="E1794" s="10" t="s">
        <v>7391</v>
      </c>
      <c r="F1794" s="10" t="s">
        <v>158</v>
      </c>
      <c r="G1794" s="10" t="s">
        <v>32</v>
      </c>
      <c r="H1794" s="7" t="s">
        <v>24</v>
      </c>
      <c r="I1794" s="7" t="s">
        <v>25</v>
      </c>
      <c r="J1794" s="13" t="str">
        <f>HYPERLINK("https://www.airitibooks.com/Detail/Detail?PublicationID=P20180208315", "https://www.airitibooks.com/Detail/Detail?PublicationID=P20180208315")</f>
        <v>https://www.airitibooks.com/Detail/Detail?PublicationID=P20180208315</v>
      </c>
      <c r="K1794" s="13" t="str">
        <f>HYPERLINK("https://ntsu.idm.oclc.org/login?url=https://www.airitibooks.com/Detail/Detail?PublicationID=P20180208315", "https://ntsu.idm.oclc.org/login?url=https://www.airitibooks.com/Detail/Detail?PublicationID=P20180208315")</f>
        <v>https://ntsu.idm.oclc.org/login?url=https://www.airitibooks.com/Detail/Detail?PublicationID=P20180208315</v>
      </c>
    </row>
    <row r="1795" spans="1:11" ht="51" x14ac:dyDescent="0.4">
      <c r="A1795" s="10" t="s">
        <v>8560</v>
      </c>
      <c r="B1795" s="10" t="s">
        <v>8561</v>
      </c>
      <c r="C1795" s="10" t="s">
        <v>7164</v>
      </c>
      <c r="D1795" s="10" t="s">
        <v>8562</v>
      </c>
      <c r="E1795" s="10" t="s">
        <v>7391</v>
      </c>
      <c r="F1795" s="10" t="s">
        <v>7399</v>
      </c>
      <c r="G1795" s="10" t="s">
        <v>32</v>
      </c>
      <c r="H1795" s="7" t="s">
        <v>24</v>
      </c>
      <c r="I1795" s="7" t="s">
        <v>25</v>
      </c>
      <c r="J1795" s="13" t="str">
        <f>HYPERLINK("https://www.airitibooks.com/Detail/Detail?PublicationID=P20180208317", "https://www.airitibooks.com/Detail/Detail?PublicationID=P20180208317")</f>
        <v>https://www.airitibooks.com/Detail/Detail?PublicationID=P20180208317</v>
      </c>
      <c r="K1795" s="13" t="str">
        <f>HYPERLINK("https://ntsu.idm.oclc.org/login?url=https://www.airitibooks.com/Detail/Detail?PublicationID=P20180208317", "https://ntsu.idm.oclc.org/login?url=https://www.airitibooks.com/Detail/Detail?PublicationID=P20180208317")</f>
        <v>https://ntsu.idm.oclc.org/login?url=https://www.airitibooks.com/Detail/Detail?PublicationID=P20180208317</v>
      </c>
    </row>
    <row r="1796" spans="1:11" ht="51" x14ac:dyDescent="0.4">
      <c r="A1796" s="10" t="s">
        <v>8565</v>
      </c>
      <c r="B1796" s="10" t="s">
        <v>8566</v>
      </c>
      <c r="C1796" s="10" t="s">
        <v>7164</v>
      </c>
      <c r="D1796" s="10" t="s">
        <v>8567</v>
      </c>
      <c r="E1796" s="10" t="s">
        <v>7391</v>
      </c>
      <c r="F1796" s="10" t="s">
        <v>181</v>
      </c>
      <c r="G1796" s="10" t="s">
        <v>32</v>
      </c>
      <c r="H1796" s="7" t="s">
        <v>24</v>
      </c>
      <c r="I1796" s="7" t="s">
        <v>25</v>
      </c>
      <c r="J1796" s="13" t="str">
        <f>HYPERLINK("https://www.airitibooks.com/Detail/Detail?PublicationID=P20180208320", "https://www.airitibooks.com/Detail/Detail?PublicationID=P20180208320")</f>
        <v>https://www.airitibooks.com/Detail/Detail?PublicationID=P20180208320</v>
      </c>
      <c r="K1796" s="13" t="str">
        <f>HYPERLINK("https://ntsu.idm.oclc.org/login?url=https://www.airitibooks.com/Detail/Detail?PublicationID=P20180208320", "https://ntsu.idm.oclc.org/login?url=https://www.airitibooks.com/Detail/Detail?PublicationID=P20180208320")</f>
        <v>https://ntsu.idm.oclc.org/login?url=https://www.airitibooks.com/Detail/Detail?PublicationID=P20180208320</v>
      </c>
    </row>
    <row r="1797" spans="1:11" ht="51" x14ac:dyDescent="0.4">
      <c r="A1797" s="10" t="s">
        <v>8593</v>
      </c>
      <c r="B1797" s="10" t="s">
        <v>8594</v>
      </c>
      <c r="C1797" s="10" t="s">
        <v>7164</v>
      </c>
      <c r="D1797" s="10" t="s">
        <v>8595</v>
      </c>
      <c r="E1797" s="10" t="s">
        <v>7391</v>
      </c>
      <c r="F1797" s="10" t="s">
        <v>575</v>
      </c>
      <c r="G1797" s="10" t="s">
        <v>32</v>
      </c>
      <c r="H1797" s="7" t="s">
        <v>24</v>
      </c>
      <c r="I1797" s="7" t="s">
        <v>25</v>
      </c>
      <c r="J1797" s="13" t="str">
        <f>HYPERLINK("https://www.airitibooks.com/Detail/Detail?PublicationID=P20180208929", "https://www.airitibooks.com/Detail/Detail?PublicationID=P20180208929")</f>
        <v>https://www.airitibooks.com/Detail/Detail?PublicationID=P20180208929</v>
      </c>
      <c r="K1797" s="13" t="str">
        <f>HYPERLINK("https://ntsu.idm.oclc.org/login?url=https://www.airitibooks.com/Detail/Detail?PublicationID=P20180208929", "https://ntsu.idm.oclc.org/login?url=https://www.airitibooks.com/Detail/Detail?PublicationID=P20180208929")</f>
        <v>https://ntsu.idm.oclc.org/login?url=https://www.airitibooks.com/Detail/Detail?PublicationID=P20180208929</v>
      </c>
    </row>
    <row r="1798" spans="1:11" ht="51" x14ac:dyDescent="0.4">
      <c r="A1798" s="10" t="s">
        <v>8599</v>
      </c>
      <c r="B1798" s="10" t="s">
        <v>8600</v>
      </c>
      <c r="C1798" s="10" t="s">
        <v>7164</v>
      </c>
      <c r="D1798" s="10" t="s">
        <v>8601</v>
      </c>
      <c r="E1798" s="10" t="s">
        <v>7391</v>
      </c>
      <c r="F1798" s="10" t="s">
        <v>181</v>
      </c>
      <c r="G1798" s="10" t="s">
        <v>32</v>
      </c>
      <c r="H1798" s="7" t="s">
        <v>24</v>
      </c>
      <c r="I1798" s="7" t="s">
        <v>25</v>
      </c>
      <c r="J1798" s="13" t="str">
        <f>HYPERLINK("https://www.airitibooks.com/Detail/Detail?PublicationID=P20180208933", "https://www.airitibooks.com/Detail/Detail?PublicationID=P20180208933")</f>
        <v>https://www.airitibooks.com/Detail/Detail?PublicationID=P20180208933</v>
      </c>
      <c r="K1798" s="13" t="str">
        <f>HYPERLINK("https://ntsu.idm.oclc.org/login?url=https://www.airitibooks.com/Detail/Detail?PublicationID=P20180208933", "https://ntsu.idm.oclc.org/login?url=https://www.airitibooks.com/Detail/Detail?PublicationID=P20180208933")</f>
        <v>https://ntsu.idm.oclc.org/login?url=https://www.airitibooks.com/Detail/Detail?PublicationID=P20180208933</v>
      </c>
    </row>
    <row r="1799" spans="1:11" ht="51" x14ac:dyDescent="0.4">
      <c r="A1799" s="10" t="s">
        <v>8602</v>
      </c>
      <c r="B1799" s="10" t="s">
        <v>8603</v>
      </c>
      <c r="C1799" s="10" t="s">
        <v>7164</v>
      </c>
      <c r="D1799" s="10" t="s">
        <v>7661</v>
      </c>
      <c r="E1799" s="10" t="s">
        <v>7391</v>
      </c>
      <c r="F1799" s="10" t="s">
        <v>181</v>
      </c>
      <c r="G1799" s="10" t="s">
        <v>32</v>
      </c>
      <c r="H1799" s="7" t="s">
        <v>24</v>
      </c>
      <c r="I1799" s="7" t="s">
        <v>25</v>
      </c>
      <c r="J1799" s="13" t="str">
        <f>HYPERLINK("https://www.airitibooks.com/Detail/Detail?PublicationID=P20180208937", "https://www.airitibooks.com/Detail/Detail?PublicationID=P20180208937")</f>
        <v>https://www.airitibooks.com/Detail/Detail?PublicationID=P20180208937</v>
      </c>
      <c r="K1799" s="13" t="str">
        <f>HYPERLINK("https://ntsu.idm.oclc.org/login?url=https://www.airitibooks.com/Detail/Detail?PublicationID=P20180208937", "https://ntsu.idm.oclc.org/login?url=https://www.airitibooks.com/Detail/Detail?PublicationID=P20180208937")</f>
        <v>https://ntsu.idm.oclc.org/login?url=https://www.airitibooks.com/Detail/Detail?PublicationID=P20180208937</v>
      </c>
    </row>
    <row r="1800" spans="1:11" ht="51" x14ac:dyDescent="0.4">
      <c r="A1800" s="10" t="s">
        <v>8604</v>
      </c>
      <c r="B1800" s="10" t="s">
        <v>8605</v>
      </c>
      <c r="C1800" s="10" t="s">
        <v>7164</v>
      </c>
      <c r="D1800" s="10" t="s">
        <v>8606</v>
      </c>
      <c r="E1800" s="10" t="s">
        <v>7391</v>
      </c>
      <c r="F1800" s="10" t="s">
        <v>181</v>
      </c>
      <c r="G1800" s="10" t="s">
        <v>32</v>
      </c>
      <c r="H1800" s="7" t="s">
        <v>24</v>
      </c>
      <c r="I1800" s="7" t="s">
        <v>25</v>
      </c>
      <c r="J1800" s="13" t="str">
        <f>HYPERLINK("https://www.airitibooks.com/Detail/Detail?PublicationID=P20180208938", "https://www.airitibooks.com/Detail/Detail?PublicationID=P20180208938")</f>
        <v>https://www.airitibooks.com/Detail/Detail?PublicationID=P20180208938</v>
      </c>
      <c r="K1800" s="13" t="str">
        <f>HYPERLINK("https://ntsu.idm.oclc.org/login?url=https://www.airitibooks.com/Detail/Detail?PublicationID=P20180208938", "https://ntsu.idm.oclc.org/login?url=https://www.airitibooks.com/Detail/Detail?PublicationID=P20180208938")</f>
        <v>https://ntsu.idm.oclc.org/login?url=https://www.airitibooks.com/Detail/Detail?PublicationID=P20180208938</v>
      </c>
    </row>
    <row r="1801" spans="1:11" ht="51" x14ac:dyDescent="0.4">
      <c r="A1801" s="10" t="s">
        <v>8619</v>
      </c>
      <c r="B1801" s="10" t="s">
        <v>8620</v>
      </c>
      <c r="C1801" s="10" t="s">
        <v>7164</v>
      </c>
      <c r="D1801" s="10" t="s">
        <v>7661</v>
      </c>
      <c r="E1801" s="10" t="s">
        <v>7391</v>
      </c>
      <c r="F1801" s="10" t="s">
        <v>274</v>
      </c>
      <c r="G1801" s="10" t="s">
        <v>32</v>
      </c>
      <c r="H1801" s="7" t="s">
        <v>24</v>
      </c>
      <c r="I1801" s="7" t="s">
        <v>25</v>
      </c>
      <c r="J1801" s="13" t="str">
        <f>HYPERLINK("https://www.airitibooks.com/Detail/Detail?PublicationID=P20180208946", "https://www.airitibooks.com/Detail/Detail?PublicationID=P20180208946")</f>
        <v>https://www.airitibooks.com/Detail/Detail?PublicationID=P20180208946</v>
      </c>
      <c r="K1801" s="13" t="str">
        <f>HYPERLINK("https://ntsu.idm.oclc.org/login?url=https://www.airitibooks.com/Detail/Detail?PublicationID=P20180208946", "https://ntsu.idm.oclc.org/login?url=https://www.airitibooks.com/Detail/Detail?PublicationID=P20180208946")</f>
        <v>https://ntsu.idm.oclc.org/login?url=https://www.airitibooks.com/Detail/Detail?PublicationID=P20180208946</v>
      </c>
    </row>
    <row r="1802" spans="1:11" ht="51" x14ac:dyDescent="0.4">
      <c r="A1802" s="10" t="s">
        <v>8651</v>
      </c>
      <c r="B1802" s="10" t="s">
        <v>8652</v>
      </c>
      <c r="C1802" s="10" t="s">
        <v>7164</v>
      </c>
      <c r="D1802" s="10" t="s">
        <v>8653</v>
      </c>
      <c r="E1802" s="10" t="s">
        <v>7391</v>
      </c>
      <c r="F1802" s="10" t="s">
        <v>181</v>
      </c>
      <c r="G1802" s="10" t="s">
        <v>32</v>
      </c>
      <c r="H1802" s="7" t="s">
        <v>24</v>
      </c>
      <c r="I1802" s="7" t="s">
        <v>25</v>
      </c>
      <c r="J1802" s="13" t="str">
        <f>HYPERLINK("https://www.airitibooks.com/Detail/Detail?PublicationID=P20180208978", "https://www.airitibooks.com/Detail/Detail?PublicationID=P20180208978")</f>
        <v>https://www.airitibooks.com/Detail/Detail?PublicationID=P20180208978</v>
      </c>
      <c r="K1802" s="13" t="str">
        <f>HYPERLINK("https://ntsu.idm.oclc.org/login?url=https://www.airitibooks.com/Detail/Detail?PublicationID=P20180208978", "https://ntsu.idm.oclc.org/login?url=https://www.airitibooks.com/Detail/Detail?PublicationID=P20180208978")</f>
        <v>https://ntsu.idm.oclc.org/login?url=https://www.airitibooks.com/Detail/Detail?PublicationID=P20180208978</v>
      </c>
    </row>
    <row r="1803" spans="1:11" ht="51" x14ac:dyDescent="0.4">
      <c r="A1803" s="10" t="s">
        <v>8659</v>
      </c>
      <c r="B1803" s="10" t="s">
        <v>8660</v>
      </c>
      <c r="C1803" s="10" t="s">
        <v>7164</v>
      </c>
      <c r="D1803" s="10" t="s">
        <v>7661</v>
      </c>
      <c r="E1803" s="10" t="s">
        <v>7391</v>
      </c>
      <c r="F1803" s="10" t="s">
        <v>2856</v>
      </c>
      <c r="G1803" s="10" t="s">
        <v>32</v>
      </c>
      <c r="H1803" s="7" t="s">
        <v>24</v>
      </c>
      <c r="I1803" s="7" t="s">
        <v>25</v>
      </c>
      <c r="J1803" s="13" t="str">
        <f>HYPERLINK("https://www.airitibooks.com/Detail/Detail?PublicationID=P20180208987", "https://www.airitibooks.com/Detail/Detail?PublicationID=P20180208987")</f>
        <v>https://www.airitibooks.com/Detail/Detail?PublicationID=P20180208987</v>
      </c>
      <c r="K1803" s="13" t="str">
        <f>HYPERLINK("https://ntsu.idm.oclc.org/login?url=https://www.airitibooks.com/Detail/Detail?PublicationID=P20180208987", "https://ntsu.idm.oclc.org/login?url=https://www.airitibooks.com/Detail/Detail?PublicationID=P20180208987")</f>
        <v>https://ntsu.idm.oclc.org/login?url=https://www.airitibooks.com/Detail/Detail?PublicationID=P20180208987</v>
      </c>
    </row>
    <row r="1804" spans="1:11" ht="51" x14ac:dyDescent="0.4">
      <c r="A1804" s="10" t="s">
        <v>8661</v>
      </c>
      <c r="B1804" s="10" t="s">
        <v>8662</v>
      </c>
      <c r="C1804" s="10" t="s">
        <v>7164</v>
      </c>
      <c r="D1804" s="10" t="s">
        <v>8663</v>
      </c>
      <c r="E1804" s="10" t="s">
        <v>7391</v>
      </c>
      <c r="F1804" s="10" t="s">
        <v>181</v>
      </c>
      <c r="G1804" s="10" t="s">
        <v>32</v>
      </c>
      <c r="H1804" s="7" t="s">
        <v>24</v>
      </c>
      <c r="I1804" s="7" t="s">
        <v>25</v>
      </c>
      <c r="J1804" s="13" t="str">
        <f>HYPERLINK("https://www.airitibooks.com/Detail/Detail?PublicationID=P20180208992", "https://www.airitibooks.com/Detail/Detail?PublicationID=P20180208992")</f>
        <v>https://www.airitibooks.com/Detail/Detail?PublicationID=P20180208992</v>
      </c>
      <c r="K1804" s="13" t="str">
        <f>HYPERLINK("https://ntsu.idm.oclc.org/login?url=https://www.airitibooks.com/Detail/Detail?PublicationID=P20180208992", "https://ntsu.idm.oclc.org/login?url=https://www.airitibooks.com/Detail/Detail?PublicationID=P20180208992")</f>
        <v>https://ntsu.idm.oclc.org/login?url=https://www.airitibooks.com/Detail/Detail?PublicationID=P20180208992</v>
      </c>
    </row>
    <row r="1805" spans="1:11" ht="51" x14ac:dyDescent="0.4">
      <c r="A1805" s="10" t="s">
        <v>8696</v>
      </c>
      <c r="B1805" s="10" t="s">
        <v>8697</v>
      </c>
      <c r="C1805" s="10" t="s">
        <v>7164</v>
      </c>
      <c r="D1805" s="10" t="s">
        <v>8529</v>
      </c>
      <c r="E1805" s="10" t="s">
        <v>7391</v>
      </c>
      <c r="F1805" s="10" t="s">
        <v>181</v>
      </c>
      <c r="G1805" s="10" t="s">
        <v>32</v>
      </c>
      <c r="H1805" s="7" t="s">
        <v>24</v>
      </c>
      <c r="I1805" s="7" t="s">
        <v>25</v>
      </c>
      <c r="J1805" s="13" t="str">
        <f>HYPERLINK("https://www.airitibooks.com/Detail/Detail?PublicationID=P20180301049", "https://www.airitibooks.com/Detail/Detail?PublicationID=P20180301049")</f>
        <v>https://www.airitibooks.com/Detail/Detail?PublicationID=P20180301049</v>
      </c>
      <c r="K1805" s="13" t="str">
        <f>HYPERLINK("https://ntsu.idm.oclc.org/login?url=https://www.airitibooks.com/Detail/Detail?PublicationID=P20180301049", "https://ntsu.idm.oclc.org/login?url=https://www.airitibooks.com/Detail/Detail?PublicationID=P20180301049")</f>
        <v>https://ntsu.idm.oclc.org/login?url=https://www.airitibooks.com/Detail/Detail?PublicationID=P20180301049</v>
      </c>
    </row>
    <row r="1806" spans="1:11" ht="153" x14ac:dyDescent="0.4">
      <c r="A1806" s="10" t="s">
        <v>8742</v>
      </c>
      <c r="B1806" s="10" t="s">
        <v>8743</v>
      </c>
      <c r="C1806" s="10" t="s">
        <v>108</v>
      </c>
      <c r="D1806" s="10" t="s">
        <v>8744</v>
      </c>
      <c r="E1806" s="10" t="s">
        <v>7391</v>
      </c>
      <c r="F1806" s="10" t="s">
        <v>8745</v>
      </c>
      <c r="G1806" s="10" t="s">
        <v>32</v>
      </c>
      <c r="H1806" s="7" t="s">
        <v>24</v>
      </c>
      <c r="I1806" s="7" t="s">
        <v>25</v>
      </c>
      <c r="J1806" s="13" t="str">
        <f>HYPERLINK("https://www.airitibooks.com/Detail/Detail?PublicationID=P20180323002", "https://www.airitibooks.com/Detail/Detail?PublicationID=P20180323002")</f>
        <v>https://www.airitibooks.com/Detail/Detail?PublicationID=P20180323002</v>
      </c>
      <c r="K1806" s="13" t="str">
        <f>HYPERLINK("https://ntsu.idm.oclc.org/login?url=https://www.airitibooks.com/Detail/Detail?PublicationID=P20180323002", "https://ntsu.idm.oclc.org/login?url=https://www.airitibooks.com/Detail/Detail?PublicationID=P20180323002")</f>
        <v>https://ntsu.idm.oclc.org/login?url=https://www.airitibooks.com/Detail/Detail?PublicationID=P20180323002</v>
      </c>
    </row>
    <row r="1807" spans="1:11" ht="51" x14ac:dyDescent="0.4">
      <c r="A1807" s="10" t="s">
        <v>8803</v>
      </c>
      <c r="B1807" s="10" t="s">
        <v>8804</v>
      </c>
      <c r="C1807" s="10" t="s">
        <v>8805</v>
      </c>
      <c r="D1807" s="10" t="s">
        <v>8806</v>
      </c>
      <c r="E1807" s="10" t="s">
        <v>7391</v>
      </c>
      <c r="F1807" s="10" t="s">
        <v>8807</v>
      </c>
      <c r="G1807" s="10" t="s">
        <v>32</v>
      </c>
      <c r="H1807" s="7" t="s">
        <v>24</v>
      </c>
      <c r="I1807" s="7" t="s">
        <v>25</v>
      </c>
      <c r="J1807" s="13" t="str">
        <f>HYPERLINK("https://www.airitibooks.com/Detail/Detail?PublicationID=P20180323085", "https://www.airitibooks.com/Detail/Detail?PublicationID=P20180323085")</f>
        <v>https://www.airitibooks.com/Detail/Detail?PublicationID=P20180323085</v>
      </c>
      <c r="K1807" s="13" t="str">
        <f>HYPERLINK("https://ntsu.idm.oclc.org/login?url=https://www.airitibooks.com/Detail/Detail?PublicationID=P20180323085", "https://ntsu.idm.oclc.org/login?url=https://www.airitibooks.com/Detail/Detail?PublicationID=P20180323085")</f>
        <v>https://ntsu.idm.oclc.org/login?url=https://www.airitibooks.com/Detail/Detail?PublicationID=P20180323085</v>
      </c>
    </row>
    <row r="1808" spans="1:11" ht="102" x14ac:dyDescent="0.4">
      <c r="A1808" s="10" t="s">
        <v>8863</v>
      </c>
      <c r="B1808" s="10" t="s">
        <v>8864</v>
      </c>
      <c r="C1808" s="10" t="s">
        <v>3426</v>
      </c>
      <c r="D1808" s="10" t="s">
        <v>8865</v>
      </c>
      <c r="E1808" s="10" t="s">
        <v>7391</v>
      </c>
      <c r="F1808" s="10" t="s">
        <v>1317</v>
      </c>
      <c r="G1808" s="10" t="s">
        <v>32</v>
      </c>
      <c r="H1808" s="7" t="s">
        <v>24</v>
      </c>
      <c r="I1808" s="7" t="s">
        <v>25</v>
      </c>
      <c r="J1808" s="13" t="str">
        <f>HYPERLINK("https://www.airitibooks.com/Detail/Detail?PublicationID=P20180330078", "https://www.airitibooks.com/Detail/Detail?PublicationID=P20180330078")</f>
        <v>https://www.airitibooks.com/Detail/Detail?PublicationID=P20180330078</v>
      </c>
      <c r="K1808" s="13" t="str">
        <f>HYPERLINK("https://ntsu.idm.oclc.org/login?url=https://www.airitibooks.com/Detail/Detail?PublicationID=P20180330078", "https://ntsu.idm.oclc.org/login?url=https://www.airitibooks.com/Detail/Detail?PublicationID=P20180330078")</f>
        <v>https://ntsu.idm.oclc.org/login?url=https://www.airitibooks.com/Detail/Detail?PublicationID=P20180330078</v>
      </c>
    </row>
    <row r="1809" spans="1:11" ht="51" x14ac:dyDescent="0.4">
      <c r="A1809" s="10" t="s">
        <v>8878</v>
      </c>
      <c r="B1809" s="10" t="s">
        <v>8879</v>
      </c>
      <c r="C1809" s="10" t="s">
        <v>2367</v>
      </c>
      <c r="D1809" s="10" t="s">
        <v>8880</v>
      </c>
      <c r="E1809" s="10" t="s">
        <v>7391</v>
      </c>
      <c r="F1809" s="10" t="s">
        <v>3698</v>
      </c>
      <c r="G1809" s="10" t="s">
        <v>32</v>
      </c>
      <c r="H1809" s="7" t="s">
        <v>24</v>
      </c>
      <c r="I1809" s="7" t="s">
        <v>25</v>
      </c>
      <c r="J1809" s="13" t="str">
        <f>HYPERLINK("https://www.airitibooks.com/Detail/Detail?PublicationID=P20180413003", "https://www.airitibooks.com/Detail/Detail?PublicationID=P20180413003")</f>
        <v>https://www.airitibooks.com/Detail/Detail?PublicationID=P20180413003</v>
      </c>
      <c r="K1809" s="13" t="str">
        <f>HYPERLINK("https://ntsu.idm.oclc.org/login?url=https://www.airitibooks.com/Detail/Detail?PublicationID=P20180413003", "https://ntsu.idm.oclc.org/login?url=https://www.airitibooks.com/Detail/Detail?PublicationID=P20180413003")</f>
        <v>https://ntsu.idm.oclc.org/login?url=https://www.airitibooks.com/Detail/Detail?PublicationID=P20180413003</v>
      </c>
    </row>
    <row r="1810" spans="1:11" ht="51" x14ac:dyDescent="0.4">
      <c r="A1810" s="10" t="s">
        <v>8881</v>
      </c>
      <c r="B1810" s="10" t="s">
        <v>8882</v>
      </c>
      <c r="C1810" s="10" t="s">
        <v>2367</v>
      </c>
      <c r="D1810" s="10" t="s">
        <v>8883</v>
      </c>
      <c r="E1810" s="10" t="s">
        <v>7391</v>
      </c>
      <c r="F1810" s="10" t="s">
        <v>6090</v>
      </c>
      <c r="G1810" s="10" t="s">
        <v>32</v>
      </c>
      <c r="H1810" s="7" t="s">
        <v>24</v>
      </c>
      <c r="I1810" s="7" t="s">
        <v>25</v>
      </c>
      <c r="J1810" s="13" t="str">
        <f>HYPERLINK("https://www.airitibooks.com/Detail/Detail?PublicationID=P20180413004", "https://www.airitibooks.com/Detail/Detail?PublicationID=P20180413004")</f>
        <v>https://www.airitibooks.com/Detail/Detail?PublicationID=P20180413004</v>
      </c>
      <c r="K1810" s="13" t="str">
        <f>HYPERLINK("https://ntsu.idm.oclc.org/login?url=https://www.airitibooks.com/Detail/Detail?PublicationID=P20180413004", "https://ntsu.idm.oclc.org/login?url=https://www.airitibooks.com/Detail/Detail?PublicationID=P20180413004")</f>
        <v>https://ntsu.idm.oclc.org/login?url=https://www.airitibooks.com/Detail/Detail?PublicationID=P20180413004</v>
      </c>
    </row>
    <row r="1811" spans="1:11" ht="51" x14ac:dyDescent="0.4">
      <c r="A1811" s="10" t="s">
        <v>8887</v>
      </c>
      <c r="B1811" s="10" t="s">
        <v>8888</v>
      </c>
      <c r="C1811" s="10" t="s">
        <v>2367</v>
      </c>
      <c r="D1811" s="10" t="s">
        <v>8889</v>
      </c>
      <c r="E1811" s="10" t="s">
        <v>7391</v>
      </c>
      <c r="F1811" s="10" t="s">
        <v>6081</v>
      </c>
      <c r="G1811" s="10" t="s">
        <v>32</v>
      </c>
      <c r="H1811" s="7" t="s">
        <v>24</v>
      </c>
      <c r="I1811" s="7" t="s">
        <v>25</v>
      </c>
      <c r="J1811" s="13" t="str">
        <f>HYPERLINK("https://www.airitibooks.com/Detail/Detail?PublicationID=P20180413012", "https://www.airitibooks.com/Detail/Detail?PublicationID=P20180413012")</f>
        <v>https://www.airitibooks.com/Detail/Detail?PublicationID=P20180413012</v>
      </c>
      <c r="K1811" s="13" t="str">
        <f>HYPERLINK("https://ntsu.idm.oclc.org/login?url=https://www.airitibooks.com/Detail/Detail?PublicationID=P20180413012", "https://ntsu.idm.oclc.org/login?url=https://www.airitibooks.com/Detail/Detail?PublicationID=P20180413012")</f>
        <v>https://ntsu.idm.oclc.org/login?url=https://www.airitibooks.com/Detail/Detail?PublicationID=P20180413012</v>
      </c>
    </row>
    <row r="1812" spans="1:11" ht="51" x14ac:dyDescent="0.4">
      <c r="A1812" s="10" t="s">
        <v>8890</v>
      </c>
      <c r="B1812" s="10" t="s">
        <v>8891</v>
      </c>
      <c r="C1812" s="10" t="s">
        <v>2367</v>
      </c>
      <c r="D1812" s="10" t="s">
        <v>8892</v>
      </c>
      <c r="E1812" s="10" t="s">
        <v>7391</v>
      </c>
      <c r="F1812" s="10" t="s">
        <v>987</v>
      </c>
      <c r="G1812" s="10" t="s">
        <v>32</v>
      </c>
      <c r="H1812" s="7" t="s">
        <v>24</v>
      </c>
      <c r="I1812" s="7" t="s">
        <v>25</v>
      </c>
      <c r="J1812" s="13" t="str">
        <f>HYPERLINK("https://www.airitibooks.com/Detail/Detail?PublicationID=P20180413014", "https://www.airitibooks.com/Detail/Detail?PublicationID=P20180413014")</f>
        <v>https://www.airitibooks.com/Detail/Detail?PublicationID=P20180413014</v>
      </c>
      <c r="K1812" s="13" t="str">
        <f>HYPERLINK("https://ntsu.idm.oclc.org/login?url=https://www.airitibooks.com/Detail/Detail?PublicationID=P20180413014", "https://ntsu.idm.oclc.org/login?url=https://www.airitibooks.com/Detail/Detail?PublicationID=P20180413014")</f>
        <v>https://ntsu.idm.oclc.org/login?url=https://www.airitibooks.com/Detail/Detail?PublicationID=P20180413014</v>
      </c>
    </row>
    <row r="1813" spans="1:11" ht="51" x14ac:dyDescent="0.4">
      <c r="A1813" s="10" t="s">
        <v>8893</v>
      </c>
      <c r="B1813" s="10" t="s">
        <v>8894</v>
      </c>
      <c r="C1813" s="10" t="s">
        <v>2367</v>
      </c>
      <c r="D1813" s="10" t="s">
        <v>4809</v>
      </c>
      <c r="E1813" s="10" t="s">
        <v>7391</v>
      </c>
      <c r="F1813" s="10" t="s">
        <v>176</v>
      </c>
      <c r="G1813" s="10" t="s">
        <v>32</v>
      </c>
      <c r="H1813" s="7" t="s">
        <v>24</v>
      </c>
      <c r="I1813" s="7" t="s">
        <v>25</v>
      </c>
      <c r="J1813" s="13" t="str">
        <f>HYPERLINK("https://www.airitibooks.com/Detail/Detail?PublicationID=P20180413015", "https://www.airitibooks.com/Detail/Detail?PublicationID=P20180413015")</f>
        <v>https://www.airitibooks.com/Detail/Detail?PublicationID=P20180413015</v>
      </c>
      <c r="K1813" s="13" t="str">
        <f>HYPERLINK("https://ntsu.idm.oclc.org/login?url=https://www.airitibooks.com/Detail/Detail?PublicationID=P20180413015", "https://ntsu.idm.oclc.org/login?url=https://www.airitibooks.com/Detail/Detail?PublicationID=P20180413015")</f>
        <v>https://ntsu.idm.oclc.org/login?url=https://www.airitibooks.com/Detail/Detail?PublicationID=P20180413015</v>
      </c>
    </row>
    <row r="1814" spans="1:11" ht="51" x14ac:dyDescent="0.4">
      <c r="A1814" s="10" t="s">
        <v>8895</v>
      </c>
      <c r="B1814" s="10" t="s">
        <v>8896</v>
      </c>
      <c r="C1814" s="10" t="s">
        <v>2367</v>
      </c>
      <c r="D1814" s="10" t="s">
        <v>8897</v>
      </c>
      <c r="E1814" s="10" t="s">
        <v>7391</v>
      </c>
      <c r="F1814" s="10" t="s">
        <v>110</v>
      </c>
      <c r="G1814" s="10" t="s">
        <v>32</v>
      </c>
      <c r="H1814" s="7" t="s">
        <v>24</v>
      </c>
      <c r="I1814" s="7" t="s">
        <v>25</v>
      </c>
      <c r="J1814" s="13" t="str">
        <f>HYPERLINK("https://www.airitibooks.com/Detail/Detail?PublicationID=P20180413017", "https://www.airitibooks.com/Detail/Detail?PublicationID=P20180413017")</f>
        <v>https://www.airitibooks.com/Detail/Detail?PublicationID=P20180413017</v>
      </c>
      <c r="K1814" s="13" t="str">
        <f>HYPERLINK("https://ntsu.idm.oclc.org/login?url=https://www.airitibooks.com/Detail/Detail?PublicationID=P20180413017", "https://ntsu.idm.oclc.org/login?url=https://www.airitibooks.com/Detail/Detail?PublicationID=P20180413017")</f>
        <v>https://ntsu.idm.oclc.org/login?url=https://www.airitibooks.com/Detail/Detail?PublicationID=P20180413017</v>
      </c>
    </row>
    <row r="1815" spans="1:11" ht="68" x14ac:dyDescent="0.4">
      <c r="A1815" s="10" t="s">
        <v>8898</v>
      </c>
      <c r="B1815" s="10" t="s">
        <v>8899</v>
      </c>
      <c r="C1815" s="10" t="s">
        <v>2367</v>
      </c>
      <c r="D1815" s="10" t="s">
        <v>5410</v>
      </c>
      <c r="E1815" s="10" t="s">
        <v>7391</v>
      </c>
      <c r="F1815" s="10" t="s">
        <v>172</v>
      </c>
      <c r="G1815" s="10" t="s">
        <v>32</v>
      </c>
      <c r="H1815" s="7" t="s">
        <v>24</v>
      </c>
      <c r="I1815" s="7" t="s">
        <v>25</v>
      </c>
      <c r="J1815" s="13" t="str">
        <f>HYPERLINK("https://www.airitibooks.com/Detail/Detail?PublicationID=P20180413020", "https://www.airitibooks.com/Detail/Detail?PublicationID=P20180413020")</f>
        <v>https://www.airitibooks.com/Detail/Detail?PublicationID=P20180413020</v>
      </c>
      <c r="K1815" s="13" t="str">
        <f>HYPERLINK("https://ntsu.idm.oclc.org/login?url=https://www.airitibooks.com/Detail/Detail?PublicationID=P20180413020", "https://ntsu.idm.oclc.org/login?url=https://www.airitibooks.com/Detail/Detail?PublicationID=P20180413020")</f>
        <v>https://ntsu.idm.oclc.org/login?url=https://www.airitibooks.com/Detail/Detail?PublicationID=P20180413020</v>
      </c>
    </row>
    <row r="1816" spans="1:11" ht="51" x14ac:dyDescent="0.4">
      <c r="A1816" s="10" t="s">
        <v>5855</v>
      </c>
      <c r="B1816" s="10" t="s">
        <v>8910</v>
      </c>
      <c r="C1816" s="10" t="s">
        <v>938</v>
      </c>
      <c r="D1816" s="10" t="s">
        <v>5857</v>
      </c>
      <c r="E1816" s="10" t="s">
        <v>7391</v>
      </c>
      <c r="F1816" s="10" t="s">
        <v>5858</v>
      </c>
      <c r="G1816" s="10" t="s">
        <v>32</v>
      </c>
      <c r="H1816" s="7" t="s">
        <v>24</v>
      </c>
      <c r="I1816" s="7" t="s">
        <v>25</v>
      </c>
      <c r="J1816" s="13" t="str">
        <f>HYPERLINK("https://www.airitibooks.com/Detail/Detail?PublicationID=P20180413032", "https://www.airitibooks.com/Detail/Detail?PublicationID=P20180413032")</f>
        <v>https://www.airitibooks.com/Detail/Detail?PublicationID=P20180413032</v>
      </c>
      <c r="K1816" s="13" t="str">
        <f>HYPERLINK("https://ntsu.idm.oclc.org/login?url=https://www.airitibooks.com/Detail/Detail?PublicationID=P20180413032", "https://ntsu.idm.oclc.org/login?url=https://www.airitibooks.com/Detail/Detail?PublicationID=P20180413032")</f>
        <v>https://ntsu.idm.oclc.org/login?url=https://www.airitibooks.com/Detail/Detail?PublicationID=P20180413032</v>
      </c>
    </row>
    <row r="1817" spans="1:11" ht="51" x14ac:dyDescent="0.4">
      <c r="A1817" s="10" t="s">
        <v>8914</v>
      </c>
      <c r="B1817" s="10" t="s">
        <v>8915</v>
      </c>
      <c r="C1817" s="10" t="s">
        <v>938</v>
      </c>
      <c r="D1817" s="10" t="s">
        <v>8916</v>
      </c>
      <c r="E1817" s="10" t="s">
        <v>7391</v>
      </c>
      <c r="F1817" s="10" t="s">
        <v>8917</v>
      </c>
      <c r="G1817" s="10" t="s">
        <v>32</v>
      </c>
      <c r="H1817" s="7" t="s">
        <v>24</v>
      </c>
      <c r="I1817" s="7" t="s">
        <v>25</v>
      </c>
      <c r="J1817" s="13" t="str">
        <f>HYPERLINK("https://www.airitibooks.com/Detail/Detail?PublicationID=P20180413037", "https://www.airitibooks.com/Detail/Detail?PublicationID=P20180413037")</f>
        <v>https://www.airitibooks.com/Detail/Detail?PublicationID=P20180413037</v>
      </c>
      <c r="K1817" s="13" t="str">
        <f>HYPERLINK("https://ntsu.idm.oclc.org/login?url=https://www.airitibooks.com/Detail/Detail?PublicationID=P20180413037", "https://ntsu.idm.oclc.org/login?url=https://www.airitibooks.com/Detail/Detail?PublicationID=P20180413037")</f>
        <v>https://ntsu.idm.oclc.org/login?url=https://www.airitibooks.com/Detail/Detail?PublicationID=P20180413037</v>
      </c>
    </row>
    <row r="1818" spans="1:11" ht="51" x14ac:dyDescent="0.4">
      <c r="A1818" s="10" t="s">
        <v>8918</v>
      </c>
      <c r="B1818" s="10" t="s">
        <v>8919</v>
      </c>
      <c r="C1818" s="10" t="s">
        <v>938</v>
      </c>
      <c r="D1818" s="10" t="s">
        <v>8920</v>
      </c>
      <c r="E1818" s="10" t="s">
        <v>7391</v>
      </c>
      <c r="F1818" s="10" t="s">
        <v>4038</v>
      </c>
      <c r="G1818" s="10" t="s">
        <v>32</v>
      </c>
      <c r="H1818" s="7" t="s">
        <v>24</v>
      </c>
      <c r="I1818" s="7" t="s">
        <v>25</v>
      </c>
      <c r="J1818" s="13" t="str">
        <f>HYPERLINK("https://www.airitibooks.com/Detail/Detail?PublicationID=P20180413038", "https://www.airitibooks.com/Detail/Detail?PublicationID=P20180413038")</f>
        <v>https://www.airitibooks.com/Detail/Detail?PublicationID=P20180413038</v>
      </c>
      <c r="K1818" s="13" t="str">
        <f>HYPERLINK("https://ntsu.idm.oclc.org/login?url=https://www.airitibooks.com/Detail/Detail?PublicationID=P20180413038", "https://ntsu.idm.oclc.org/login?url=https://www.airitibooks.com/Detail/Detail?PublicationID=P20180413038")</f>
        <v>https://ntsu.idm.oclc.org/login?url=https://www.airitibooks.com/Detail/Detail?PublicationID=P20180413038</v>
      </c>
    </row>
    <row r="1819" spans="1:11" ht="68" x14ac:dyDescent="0.4">
      <c r="A1819" s="10" t="s">
        <v>8942</v>
      </c>
      <c r="B1819" s="10" t="s">
        <v>8943</v>
      </c>
      <c r="C1819" s="10" t="s">
        <v>938</v>
      </c>
      <c r="D1819" s="10" t="s">
        <v>2487</v>
      </c>
      <c r="E1819" s="10" t="s">
        <v>7391</v>
      </c>
      <c r="F1819" s="10" t="s">
        <v>2892</v>
      </c>
      <c r="G1819" s="10" t="s">
        <v>32</v>
      </c>
      <c r="H1819" s="7" t="s">
        <v>24</v>
      </c>
      <c r="I1819" s="7" t="s">
        <v>25</v>
      </c>
      <c r="J1819" s="13" t="str">
        <f>HYPERLINK("https://www.airitibooks.com/Detail/Detail?PublicationID=P20180413048", "https://www.airitibooks.com/Detail/Detail?PublicationID=P20180413048")</f>
        <v>https://www.airitibooks.com/Detail/Detail?PublicationID=P20180413048</v>
      </c>
      <c r="K1819" s="13" t="str">
        <f>HYPERLINK("https://ntsu.idm.oclc.org/login?url=https://www.airitibooks.com/Detail/Detail?PublicationID=P20180413048", "https://ntsu.idm.oclc.org/login?url=https://www.airitibooks.com/Detail/Detail?PublicationID=P20180413048")</f>
        <v>https://ntsu.idm.oclc.org/login?url=https://www.airitibooks.com/Detail/Detail?PublicationID=P20180413048</v>
      </c>
    </row>
    <row r="1820" spans="1:11" ht="51" x14ac:dyDescent="0.4">
      <c r="A1820" s="10" t="s">
        <v>8951</v>
      </c>
      <c r="B1820" s="10" t="s">
        <v>8952</v>
      </c>
      <c r="C1820" s="10" t="s">
        <v>938</v>
      </c>
      <c r="D1820" s="10" t="s">
        <v>8953</v>
      </c>
      <c r="E1820" s="10" t="s">
        <v>7391</v>
      </c>
      <c r="F1820" s="10" t="s">
        <v>8954</v>
      </c>
      <c r="G1820" s="10" t="s">
        <v>32</v>
      </c>
      <c r="H1820" s="7" t="s">
        <v>24</v>
      </c>
      <c r="I1820" s="7" t="s">
        <v>25</v>
      </c>
      <c r="J1820" s="13" t="str">
        <f>HYPERLINK("https://www.airitibooks.com/Detail/Detail?PublicationID=P20180413059", "https://www.airitibooks.com/Detail/Detail?PublicationID=P20180413059")</f>
        <v>https://www.airitibooks.com/Detail/Detail?PublicationID=P20180413059</v>
      </c>
      <c r="K1820" s="13" t="str">
        <f>HYPERLINK("https://ntsu.idm.oclc.org/login?url=https://www.airitibooks.com/Detail/Detail?PublicationID=P20180413059", "https://ntsu.idm.oclc.org/login?url=https://www.airitibooks.com/Detail/Detail?PublicationID=P20180413059")</f>
        <v>https://ntsu.idm.oclc.org/login?url=https://www.airitibooks.com/Detail/Detail?PublicationID=P20180413059</v>
      </c>
    </row>
    <row r="1821" spans="1:11" ht="68" x14ac:dyDescent="0.4">
      <c r="A1821" s="10" t="s">
        <v>8993</v>
      </c>
      <c r="B1821" s="10" t="s">
        <v>8994</v>
      </c>
      <c r="C1821" s="10" t="s">
        <v>791</v>
      </c>
      <c r="D1821" s="10" t="s">
        <v>8995</v>
      </c>
      <c r="E1821" s="10" t="s">
        <v>7391</v>
      </c>
      <c r="F1821" s="10" t="s">
        <v>8996</v>
      </c>
      <c r="G1821" s="10" t="s">
        <v>32</v>
      </c>
      <c r="H1821" s="7" t="s">
        <v>24</v>
      </c>
      <c r="I1821" s="7" t="s">
        <v>25</v>
      </c>
      <c r="J1821" s="13" t="str">
        <f>HYPERLINK("https://www.airitibooks.com/Detail/Detail?PublicationID=P20180413089", "https://www.airitibooks.com/Detail/Detail?PublicationID=P20180413089")</f>
        <v>https://www.airitibooks.com/Detail/Detail?PublicationID=P20180413089</v>
      </c>
      <c r="K1821" s="13" t="str">
        <f>HYPERLINK("https://ntsu.idm.oclc.org/login?url=https://www.airitibooks.com/Detail/Detail?PublicationID=P20180413089", "https://ntsu.idm.oclc.org/login?url=https://www.airitibooks.com/Detail/Detail?PublicationID=P20180413089")</f>
        <v>https://ntsu.idm.oclc.org/login?url=https://www.airitibooks.com/Detail/Detail?PublicationID=P20180413089</v>
      </c>
    </row>
    <row r="1822" spans="1:11" ht="51" x14ac:dyDescent="0.4">
      <c r="A1822" s="10" t="s">
        <v>9010</v>
      </c>
      <c r="B1822" s="10" t="s">
        <v>9011</v>
      </c>
      <c r="C1822" s="10" t="s">
        <v>297</v>
      </c>
      <c r="D1822" s="10" t="s">
        <v>7794</v>
      </c>
      <c r="E1822" s="10" t="s">
        <v>7391</v>
      </c>
      <c r="F1822" s="10" t="s">
        <v>9012</v>
      </c>
      <c r="G1822" s="10" t="s">
        <v>32</v>
      </c>
      <c r="H1822" s="7" t="s">
        <v>24</v>
      </c>
      <c r="I1822" s="7" t="s">
        <v>25</v>
      </c>
      <c r="J1822" s="13" t="str">
        <f>HYPERLINK("https://www.airitibooks.com/Detail/Detail?PublicationID=P20180413101", "https://www.airitibooks.com/Detail/Detail?PublicationID=P20180413101")</f>
        <v>https://www.airitibooks.com/Detail/Detail?PublicationID=P20180413101</v>
      </c>
      <c r="K1822" s="13" t="str">
        <f>HYPERLINK("https://ntsu.idm.oclc.org/login?url=https://www.airitibooks.com/Detail/Detail?PublicationID=P20180413101", "https://ntsu.idm.oclc.org/login?url=https://www.airitibooks.com/Detail/Detail?PublicationID=P20180413101")</f>
        <v>https://ntsu.idm.oclc.org/login?url=https://www.airitibooks.com/Detail/Detail?PublicationID=P20180413101</v>
      </c>
    </row>
    <row r="1823" spans="1:11" ht="51" x14ac:dyDescent="0.4">
      <c r="A1823" s="10" t="s">
        <v>9013</v>
      </c>
      <c r="B1823" s="10" t="s">
        <v>9014</v>
      </c>
      <c r="C1823" s="10" t="s">
        <v>297</v>
      </c>
      <c r="D1823" s="10" t="s">
        <v>9015</v>
      </c>
      <c r="E1823" s="10" t="s">
        <v>7391</v>
      </c>
      <c r="F1823" s="10" t="s">
        <v>274</v>
      </c>
      <c r="G1823" s="10" t="s">
        <v>32</v>
      </c>
      <c r="H1823" s="7" t="s">
        <v>24</v>
      </c>
      <c r="I1823" s="7" t="s">
        <v>25</v>
      </c>
      <c r="J1823" s="13" t="str">
        <f>HYPERLINK("https://www.airitibooks.com/Detail/Detail?PublicationID=P20180413102", "https://www.airitibooks.com/Detail/Detail?PublicationID=P20180413102")</f>
        <v>https://www.airitibooks.com/Detail/Detail?PublicationID=P20180413102</v>
      </c>
      <c r="K1823" s="13" t="str">
        <f>HYPERLINK("https://ntsu.idm.oclc.org/login?url=https://www.airitibooks.com/Detail/Detail?PublicationID=P20180413102", "https://ntsu.idm.oclc.org/login?url=https://www.airitibooks.com/Detail/Detail?PublicationID=P20180413102")</f>
        <v>https://ntsu.idm.oclc.org/login?url=https://www.airitibooks.com/Detail/Detail?PublicationID=P20180413102</v>
      </c>
    </row>
    <row r="1824" spans="1:11" ht="51" x14ac:dyDescent="0.4">
      <c r="A1824" s="10" t="s">
        <v>9016</v>
      </c>
      <c r="B1824" s="10" t="s">
        <v>9017</v>
      </c>
      <c r="C1824" s="10" t="s">
        <v>297</v>
      </c>
      <c r="D1824" s="10" t="s">
        <v>7794</v>
      </c>
      <c r="E1824" s="10" t="s">
        <v>7391</v>
      </c>
      <c r="F1824" s="10" t="s">
        <v>3364</v>
      </c>
      <c r="G1824" s="10" t="s">
        <v>32</v>
      </c>
      <c r="H1824" s="7" t="s">
        <v>24</v>
      </c>
      <c r="I1824" s="7" t="s">
        <v>25</v>
      </c>
      <c r="J1824" s="13" t="str">
        <f>HYPERLINK("https://www.airitibooks.com/Detail/Detail?PublicationID=P20180413104", "https://www.airitibooks.com/Detail/Detail?PublicationID=P20180413104")</f>
        <v>https://www.airitibooks.com/Detail/Detail?PublicationID=P20180413104</v>
      </c>
      <c r="K1824" s="13" t="str">
        <f>HYPERLINK("https://ntsu.idm.oclc.org/login?url=https://www.airitibooks.com/Detail/Detail?PublicationID=P20180413104", "https://ntsu.idm.oclc.org/login?url=https://www.airitibooks.com/Detail/Detail?PublicationID=P20180413104")</f>
        <v>https://ntsu.idm.oclc.org/login?url=https://www.airitibooks.com/Detail/Detail?PublicationID=P20180413104</v>
      </c>
    </row>
    <row r="1825" spans="1:11" ht="51" x14ac:dyDescent="0.4">
      <c r="A1825" s="10" t="s">
        <v>9058</v>
      </c>
      <c r="B1825" s="10" t="s">
        <v>9059</v>
      </c>
      <c r="C1825" s="10" t="s">
        <v>7085</v>
      </c>
      <c r="D1825" s="10" t="s">
        <v>9060</v>
      </c>
      <c r="E1825" s="10" t="s">
        <v>7391</v>
      </c>
      <c r="F1825" s="10" t="s">
        <v>9061</v>
      </c>
      <c r="G1825" s="10" t="s">
        <v>32</v>
      </c>
      <c r="H1825" s="7" t="s">
        <v>24</v>
      </c>
      <c r="I1825" s="7" t="s">
        <v>25</v>
      </c>
      <c r="J1825" s="13" t="str">
        <f>HYPERLINK("https://www.airitibooks.com/Detail/Detail?PublicationID=P20180413186", "https://www.airitibooks.com/Detail/Detail?PublicationID=P20180413186")</f>
        <v>https://www.airitibooks.com/Detail/Detail?PublicationID=P20180413186</v>
      </c>
      <c r="K1825" s="13" t="str">
        <f>HYPERLINK("https://ntsu.idm.oclc.org/login?url=https://www.airitibooks.com/Detail/Detail?PublicationID=P20180413186", "https://ntsu.idm.oclc.org/login?url=https://www.airitibooks.com/Detail/Detail?PublicationID=P20180413186")</f>
        <v>https://ntsu.idm.oclc.org/login?url=https://www.airitibooks.com/Detail/Detail?PublicationID=P20180413186</v>
      </c>
    </row>
    <row r="1826" spans="1:11" ht="68" x14ac:dyDescent="0.4">
      <c r="A1826" s="10" t="s">
        <v>9096</v>
      </c>
      <c r="B1826" s="10" t="s">
        <v>9097</v>
      </c>
      <c r="C1826" s="10" t="s">
        <v>4803</v>
      </c>
      <c r="D1826" s="10" t="s">
        <v>9098</v>
      </c>
      <c r="E1826" s="10" t="s">
        <v>7391</v>
      </c>
      <c r="F1826" s="10" t="s">
        <v>9099</v>
      </c>
      <c r="G1826" s="10" t="s">
        <v>32</v>
      </c>
      <c r="H1826" s="7" t="s">
        <v>24</v>
      </c>
      <c r="I1826" s="7" t="s">
        <v>25</v>
      </c>
      <c r="J1826" s="13" t="str">
        <f>HYPERLINK("https://www.airitibooks.com/Detail/Detail?PublicationID=P20180420037", "https://www.airitibooks.com/Detail/Detail?PublicationID=P20180420037")</f>
        <v>https://www.airitibooks.com/Detail/Detail?PublicationID=P20180420037</v>
      </c>
      <c r="K1826" s="13" t="str">
        <f>HYPERLINK("https://ntsu.idm.oclc.org/login?url=https://www.airitibooks.com/Detail/Detail?PublicationID=P20180420037", "https://ntsu.idm.oclc.org/login?url=https://www.airitibooks.com/Detail/Detail?PublicationID=P20180420037")</f>
        <v>https://ntsu.idm.oclc.org/login?url=https://www.airitibooks.com/Detail/Detail?PublicationID=P20180420037</v>
      </c>
    </row>
    <row r="1827" spans="1:11" ht="51" x14ac:dyDescent="0.4">
      <c r="A1827" s="10" t="s">
        <v>9147</v>
      </c>
      <c r="B1827" s="10" t="s">
        <v>9148</v>
      </c>
      <c r="C1827" s="10" t="s">
        <v>130</v>
      </c>
      <c r="D1827" s="10" t="s">
        <v>9149</v>
      </c>
      <c r="E1827" s="10" t="s">
        <v>7391</v>
      </c>
      <c r="F1827" s="10" t="s">
        <v>1913</v>
      </c>
      <c r="G1827" s="10" t="s">
        <v>32</v>
      </c>
      <c r="H1827" s="7" t="s">
        <v>24</v>
      </c>
      <c r="I1827" s="7" t="s">
        <v>25</v>
      </c>
      <c r="J1827" s="13" t="str">
        <f>HYPERLINK("https://www.airitibooks.com/Detail/Detail?PublicationID=P20180511002", "https://www.airitibooks.com/Detail/Detail?PublicationID=P20180511002")</f>
        <v>https://www.airitibooks.com/Detail/Detail?PublicationID=P20180511002</v>
      </c>
      <c r="K1827" s="13" t="str">
        <f>HYPERLINK("https://ntsu.idm.oclc.org/login?url=https://www.airitibooks.com/Detail/Detail?PublicationID=P20180511002", "https://ntsu.idm.oclc.org/login?url=https://www.airitibooks.com/Detail/Detail?PublicationID=P20180511002")</f>
        <v>https://ntsu.idm.oclc.org/login?url=https://www.airitibooks.com/Detail/Detail?PublicationID=P20180511002</v>
      </c>
    </row>
    <row r="1828" spans="1:11" ht="51" x14ac:dyDescent="0.4">
      <c r="A1828" s="10" t="s">
        <v>9150</v>
      </c>
      <c r="B1828" s="10" t="s">
        <v>9151</v>
      </c>
      <c r="C1828" s="10" t="s">
        <v>130</v>
      </c>
      <c r="D1828" s="10" t="s">
        <v>9152</v>
      </c>
      <c r="E1828" s="10" t="s">
        <v>7391</v>
      </c>
      <c r="F1828" s="10" t="s">
        <v>9153</v>
      </c>
      <c r="G1828" s="10" t="s">
        <v>32</v>
      </c>
      <c r="H1828" s="7" t="s">
        <v>24</v>
      </c>
      <c r="I1828" s="7" t="s">
        <v>25</v>
      </c>
      <c r="J1828" s="13" t="str">
        <f>HYPERLINK("https://www.airitibooks.com/Detail/Detail?PublicationID=P20180511003", "https://www.airitibooks.com/Detail/Detail?PublicationID=P20180511003")</f>
        <v>https://www.airitibooks.com/Detail/Detail?PublicationID=P20180511003</v>
      </c>
      <c r="K1828" s="13" t="str">
        <f>HYPERLINK("https://ntsu.idm.oclc.org/login?url=https://www.airitibooks.com/Detail/Detail?PublicationID=P20180511003", "https://ntsu.idm.oclc.org/login?url=https://www.airitibooks.com/Detail/Detail?PublicationID=P20180511003")</f>
        <v>https://ntsu.idm.oclc.org/login?url=https://www.airitibooks.com/Detail/Detail?PublicationID=P20180511003</v>
      </c>
    </row>
    <row r="1829" spans="1:11" ht="51" x14ac:dyDescent="0.4">
      <c r="A1829" s="10" t="s">
        <v>9169</v>
      </c>
      <c r="B1829" s="10" t="s">
        <v>9170</v>
      </c>
      <c r="C1829" s="10" t="s">
        <v>746</v>
      </c>
      <c r="D1829" s="10" t="s">
        <v>9171</v>
      </c>
      <c r="E1829" s="10" t="s">
        <v>7391</v>
      </c>
      <c r="F1829" s="10" t="s">
        <v>9172</v>
      </c>
      <c r="G1829" s="10" t="s">
        <v>32</v>
      </c>
      <c r="H1829" s="7" t="s">
        <v>24</v>
      </c>
      <c r="I1829" s="7" t="s">
        <v>25</v>
      </c>
      <c r="J1829" s="13" t="str">
        <f>HYPERLINK("https://www.airitibooks.com/Detail/Detail?PublicationID=P20180511041", "https://www.airitibooks.com/Detail/Detail?PublicationID=P20180511041")</f>
        <v>https://www.airitibooks.com/Detail/Detail?PublicationID=P20180511041</v>
      </c>
      <c r="K1829" s="13" t="str">
        <f>HYPERLINK("https://ntsu.idm.oclc.org/login?url=https://www.airitibooks.com/Detail/Detail?PublicationID=P20180511041", "https://ntsu.idm.oclc.org/login?url=https://www.airitibooks.com/Detail/Detail?PublicationID=P20180511041")</f>
        <v>https://ntsu.idm.oclc.org/login?url=https://www.airitibooks.com/Detail/Detail?PublicationID=P20180511041</v>
      </c>
    </row>
    <row r="1830" spans="1:11" ht="51" x14ac:dyDescent="0.4">
      <c r="A1830" s="10" t="s">
        <v>9173</v>
      </c>
      <c r="B1830" s="10" t="s">
        <v>9174</v>
      </c>
      <c r="C1830" s="10" t="s">
        <v>746</v>
      </c>
      <c r="D1830" s="10" t="s">
        <v>9175</v>
      </c>
      <c r="E1830" s="10" t="s">
        <v>7391</v>
      </c>
      <c r="F1830" s="10" t="s">
        <v>3364</v>
      </c>
      <c r="G1830" s="10" t="s">
        <v>32</v>
      </c>
      <c r="H1830" s="7" t="s">
        <v>24</v>
      </c>
      <c r="I1830" s="7" t="s">
        <v>25</v>
      </c>
      <c r="J1830" s="13" t="str">
        <f>HYPERLINK("https://www.airitibooks.com/Detail/Detail?PublicationID=P20180511042", "https://www.airitibooks.com/Detail/Detail?PublicationID=P20180511042")</f>
        <v>https://www.airitibooks.com/Detail/Detail?PublicationID=P20180511042</v>
      </c>
      <c r="K1830" s="13" t="str">
        <f>HYPERLINK("https://ntsu.idm.oclc.org/login?url=https://www.airitibooks.com/Detail/Detail?PublicationID=P20180511042", "https://ntsu.idm.oclc.org/login?url=https://www.airitibooks.com/Detail/Detail?PublicationID=P20180511042")</f>
        <v>https://ntsu.idm.oclc.org/login?url=https://www.airitibooks.com/Detail/Detail?PublicationID=P20180511042</v>
      </c>
    </row>
    <row r="1831" spans="1:11" ht="51" x14ac:dyDescent="0.4">
      <c r="A1831" s="10" t="s">
        <v>9176</v>
      </c>
      <c r="B1831" s="10" t="s">
        <v>9177</v>
      </c>
      <c r="C1831" s="10" t="s">
        <v>746</v>
      </c>
      <c r="D1831" s="10" t="s">
        <v>9178</v>
      </c>
      <c r="E1831" s="10" t="s">
        <v>7391</v>
      </c>
      <c r="F1831" s="10" t="s">
        <v>4823</v>
      </c>
      <c r="G1831" s="10" t="s">
        <v>32</v>
      </c>
      <c r="H1831" s="7" t="s">
        <v>24</v>
      </c>
      <c r="I1831" s="7" t="s">
        <v>25</v>
      </c>
      <c r="J1831" s="13" t="str">
        <f>HYPERLINK("https://www.airitibooks.com/Detail/Detail?PublicationID=P20180511046", "https://www.airitibooks.com/Detail/Detail?PublicationID=P20180511046")</f>
        <v>https://www.airitibooks.com/Detail/Detail?PublicationID=P20180511046</v>
      </c>
      <c r="K1831" s="13" t="str">
        <f>HYPERLINK("https://ntsu.idm.oclc.org/login?url=https://www.airitibooks.com/Detail/Detail?PublicationID=P20180511046", "https://ntsu.idm.oclc.org/login?url=https://www.airitibooks.com/Detail/Detail?PublicationID=P20180511046")</f>
        <v>https://ntsu.idm.oclc.org/login?url=https://www.airitibooks.com/Detail/Detail?PublicationID=P20180511046</v>
      </c>
    </row>
    <row r="1832" spans="1:11" ht="68" x14ac:dyDescent="0.4">
      <c r="A1832" s="10" t="s">
        <v>9237</v>
      </c>
      <c r="B1832" s="10" t="s">
        <v>9238</v>
      </c>
      <c r="C1832" s="10" t="s">
        <v>7085</v>
      </c>
      <c r="D1832" s="10" t="s">
        <v>9239</v>
      </c>
      <c r="E1832" s="10" t="s">
        <v>7391</v>
      </c>
      <c r="F1832" s="10" t="s">
        <v>274</v>
      </c>
      <c r="G1832" s="10" t="s">
        <v>32</v>
      </c>
      <c r="H1832" s="7" t="s">
        <v>24</v>
      </c>
      <c r="I1832" s="7" t="s">
        <v>25</v>
      </c>
      <c r="J1832" s="13" t="str">
        <f>HYPERLINK("https://www.airitibooks.com/Detail/Detail?PublicationID=P20180518022", "https://www.airitibooks.com/Detail/Detail?PublicationID=P20180518022")</f>
        <v>https://www.airitibooks.com/Detail/Detail?PublicationID=P20180518022</v>
      </c>
      <c r="K1832" s="13" t="str">
        <f>HYPERLINK("https://ntsu.idm.oclc.org/login?url=https://www.airitibooks.com/Detail/Detail?PublicationID=P20180518022", "https://ntsu.idm.oclc.org/login?url=https://www.airitibooks.com/Detail/Detail?PublicationID=P20180518022")</f>
        <v>https://ntsu.idm.oclc.org/login?url=https://www.airitibooks.com/Detail/Detail?PublicationID=P20180518022</v>
      </c>
    </row>
    <row r="1833" spans="1:11" ht="51" x14ac:dyDescent="0.4">
      <c r="A1833" s="10" t="s">
        <v>9288</v>
      </c>
      <c r="B1833" s="10" t="s">
        <v>9289</v>
      </c>
      <c r="C1833" s="10" t="s">
        <v>3280</v>
      </c>
      <c r="D1833" s="10" t="s">
        <v>9290</v>
      </c>
      <c r="E1833" s="10" t="s">
        <v>7391</v>
      </c>
      <c r="F1833" s="10" t="s">
        <v>2856</v>
      </c>
      <c r="G1833" s="10" t="s">
        <v>32</v>
      </c>
      <c r="H1833" s="7" t="s">
        <v>24</v>
      </c>
      <c r="I1833" s="7" t="s">
        <v>25</v>
      </c>
      <c r="J1833" s="13" t="str">
        <f>HYPERLINK("https://www.airitibooks.com/Detail/Detail?PublicationID=P20180525039", "https://www.airitibooks.com/Detail/Detail?PublicationID=P20180525039")</f>
        <v>https://www.airitibooks.com/Detail/Detail?PublicationID=P20180525039</v>
      </c>
      <c r="K1833" s="13" t="str">
        <f>HYPERLINK("https://ntsu.idm.oclc.org/login?url=https://www.airitibooks.com/Detail/Detail?PublicationID=P20180525039", "https://ntsu.idm.oclc.org/login?url=https://www.airitibooks.com/Detail/Detail?PublicationID=P20180525039")</f>
        <v>https://ntsu.idm.oclc.org/login?url=https://www.airitibooks.com/Detail/Detail?PublicationID=P20180525039</v>
      </c>
    </row>
    <row r="1834" spans="1:11" ht="85" x14ac:dyDescent="0.4">
      <c r="A1834" s="10" t="s">
        <v>9306</v>
      </c>
      <c r="B1834" s="10" t="s">
        <v>9307</v>
      </c>
      <c r="C1834" s="10" t="s">
        <v>661</v>
      </c>
      <c r="D1834" s="10" t="s">
        <v>9308</v>
      </c>
      <c r="E1834" s="10" t="s">
        <v>7391</v>
      </c>
      <c r="F1834" s="10" t="s">
        <v>3534</v>
      </c>
      <c r="G1834" s="10" t="s">
        <v>32</v>
      </c>
      <c r="H1834" s="7" t="s">
        <v>24</v>
      </c>
      <c r="I1834" s="7" t="s">
        <v>25</v>
      </c>
      <c r="J1834" s="13" t="str">
        <f>HYPERLINK("https://www.airitibooks.com/Detail/Detail?PublicationID=P20180528013", "https://www.airitibooks.com/Detail/Detail?PublicationID=P20180528013")</f>
        <v>https://www.airitibooks.com/Detail/Detail?PublicationID=P20180528013</v>
      </c>
      <c r="K1834" s="13" t="str">
        <f>HYPERLINK("https://ntsu.idm.oclc.org/login?url=https://www.airitibooks.com/Detail/Detail?PublicationID=P20180528013", "https://ntsu.idm.oclc.org/login?url=https://www.airitibooks.com/Detail/Detail?PublicationID=P20180528013")</f>
        <v>https://ntsu.idm.oclc.org/login?url=https://www.airitibooks.com/Detail/Detail?PublicationID=P20180528013</v>
      </c>
    </row>
    <row r="1835" spans="1:11" ht="51" x14ac:dyDescent="0.4">
      <c r="A1835" s="10" t="s">
        <v>9316</v>
      </c>
      <c r="B1835" s="10" t="s">
        <v>9317</v>
      </c>
      <c r="C1835" s="10" t="s">
        <v>7164</v>
      </c>
      <c r="D1835" s="10" t="s">
        <v>9318</v>
      </c>
      <c r="E1835" s="10" t="s">
        <v>7391</v>
      </c>
      <c r="F1835" s="10" t="s">
        <v>9319</v>
      </c>
      <c r="G1835" s="10" t="s">
        <v>32</v>
      </c>
      <c r="H1835" s="7" t="s">
        <v>24</v>
      </c>
      <c r="I1835" s="7" t="s">
        <v>25</v>
      </c>
      <c r="J1835" s="13" t="str">
        <f>HYPERLINK("https://www.airitibooks.com/Detail/Detail?PublicationID=P20180529010", "https://www.airitibooks.com/Detail/Detail?PublicationID=P20180529010")</f>
        <v>https://www.airitibooks.com/Detail/Detail?PublicationID=P20180529010</v>
      </c>
      <c r="K1835" s="13" t="str">
        <f>HYPERLINK("https://ntsu.idm.oclc.org/login?url=https://www.airitibooks.com/Detail/Detail?PublicationID=P20180529010", "https://ntsu.idm.oclc.org/login?url=https://www.airitibooks.com/Detail/Detail?PublicationID=P20180529010")</f>
        <v>https://ntsu.idm.oclc.org/login?url=https://www.airitibooks.com/Detail/Detail?PublicationID=P20180529010</v>
      </c>
    </row>
    <row r="1836" spans="1:11" ht="51" x14ac:dyDescent="0.4">
      <c r="A1836" s="10" t="s">
        <v>9320</v>
      </c>
      <c r="B1836" s="10" t="s">
        <v>9321</v>
      </c>
      <c r="C1836" s="10" t="s">
        <v>7164</v>
      </c>
      <c r="D1836" s="10" t="s">
        <v>9322</v>
      </c>
      <c r="E1836" s="10" t="s">
        <v>7391</v>
      </c>
      <c r="F1836" s="10" t="s">
        <v>172</v>
      </c>
      <c r="G1836" s="10" t="s">
        <v>32</v>
      </c>
      <c r="H1836" s="7" t="s">
        <v>24</v>
      </c>
      <c r="I1836" s="7" t="s">
        <v>25</v>
      </c>
      <c r="J1836" s="13" t="str">
        <f>HYPERLINK("https://www.airitibooks.com/Detail/Detail?PublicationID=P20180529015", "https://www.airitibooks.com/Detail/Detail?PublicationID=P20180529015")</f>
        <v>https://www.airitibooks.com/Detail/Detail?PublicationID=P20180529015</v>
      </c>
      <c r="K1836" s="13" t="str">
        <f>HYPERLINK("https://ntsu.idm.oclc.org/login?url=https://www.airitibooks.com/Detail/Detail?PublicationID=P20180529015", "https://ntsu.idm.oclc.org/login?url=https://www.airitibooks.com/Detail/Detail?PublicationID=P20180529015")</f>
        <v>https://ntsu.idm.oclc.org/login?url=https://www.airitibooks.com/Detail/Detail?PublicationID=P20180529015</v>
      </c>
    </row>
    <row r="1837" spans="1:11" ht="51" x14ac:dyDescent="0.4">
      <c r="A1837" s="10" t="s">
        <v>9360</v>
      </c>
      <c r="B1837" s="10" t="s">
        <v>9361</v>
      </c>
      <c r="C1837" s="10" t="s">
        <v>938</v>
      </c>
      <c r="D1837" s="10" t="s">
        <v>2487</v>
      </c>
      <c r="E1837" s="10" t="s">
        <v>7391</v>
      </c>
      <c r="F1837" s="10" t="s">
        <v>3901</v>
      </c>
      <c r="G1837" s="10" t="s">
        <v>32</v>
      </c>
      <c r="H1837" s="7" t="s">
        <v>24</v>
      </c>
      <c r="I1837" s="7" t="s">
        <v>25</v>
      </c>
      <c r="J1837" s="13" t="str">
        <f>HYPERLINK("https://www.airitibooks.com/Detail/Detail?PublicationID=P20180604011", "https://www.airitibooks.com/Detail/Detail?PublicationID=P20180604011")</f>
        <v>https://www.airitibooks.com/Detail/Detail?PublicationID=P20180604011</v>
      </c>
      <c r="K1837" s="13" t="str">
        <f>HYPERLINK("https://ntsu.idm.oclc.org/login?url=https://www.airitibooks.com/Detail/Detail?PublicationID=P20180604011", "https://ntsu.idm.oclc.org/login?url=https://www.airitibooks.com/Detail/Detail?PublicationID=P20180604011")</f>
        <v>https://ntsu.idm.oclc.org/login?url=https://www.airitibooks.com/Detail/Detail?PublicationID=P20180604011</v>
      </c>
    </row>
    <row r="1838" spans="1:11" ht="51" x14ac:dyDescent="0.4">
      <c r="A1838" s="10" t="s">
        <v>9366</v>
      </c>
      <c r="B1838" s="10" t="s">
        <v>9367</v>
      </c>
      <c r="C1838" s="10" t="s">
        <v>938</v>
      </c>
      <c r="D1838" s="10" t="s">
        <v>6561</v>
      </c>
      <c r="E1838" s="10" t="s">
        <v>7391</v>
      </c>
      <c r="F1838" s="10" t="s">
        <v>3901</v>
      </c>
      <c r="G1838" s="10" t="s">
        <v>32</v>
      </c>
      <c r="H1838" s="7" t="s">
        <v>24</v>
      </c>
      <c r="I1838" s="7" t="s">
        <v>25</v>
      </c>
      <c r="J1838" s="13" t="str">
        <f>HYPERLINK("https://www.airitibooks.com/Detail/Detail?PublicationID=P20180604014", "https://www.airitibooks.com/Detail/Detail?PublicationID=P20180604014")</f>
        <v>https://www.airitibooks.com/Detail/Detail?PublicationID=P20180604014</v>
      </c>
      <c r="K1838" s="13" t="str">
        <f>HYPERLINK("https://ntsu.idm.oclc.org/login?url=https://www.airitibooks.com/Detail/Detail?PublicationID=P20180604014", "https://ntsu.idm.oclc.org/login?url=https://www.airitibooks.com/Detail/Detail?PublicationID=P20180604014")</f>
        <v>https://ntsu.idm.oclc.org/login?url=https://www.airitibooks.com/Detail/Detail?PublicationID=P20180604014</v>
      </c>
    </row>
    <row r="1839" spans="1:11" ht="51" x14ac:dyDescent="0.4">
      <c r="A1839" s="10" t="s">
        <v>9374</v>
      </c>
      <c r="B1839" s="10" t="s">
        <v>9375</v>
      </c>
      <c r="C1839" s="10" t="s">
        <v>9376</v>
      </c>
      <c r="D1839" s="10" t="s">
        <v>9377</v>
      </c>
      <c r="E1839" s="10" t="s">
        <v>7391</v>
      </c>
      <c r="F1839" s="10" t="s">
        <v>1925</v>
      </c>
      <c r="G1839" s="10" t="s">
        <v>32</v>
      </c>
      <c r="H1839" s="7" t="s">
        <v>24</v>
      </c>
      <c r="I1839" s="7" t="s">
        <v>25</v>
      </c>
      <c r="J1839" s="13" t="str">
        <f>HYPERLINK("https://www.airitibooks.com/Detail/Detail?PublicationID=P20180613003", "https://www.airitibooks.com/Detail/Detail?PublicationID=P20180613003")</f>
        <v>https://www.airitibooks.com/Detail/Detail?PublicationID=P20180613003</v>
      </c>
      <c r="K1839" s="13" t="str">
        <f>HYPERLINK("https://ntsu.idm.oclc.org/login?url=https://www.airitibooks.com/Detail/Detail?PublicationID=P20180613003", "https://ntsu.idm.oclc.org/login?url=https://www.airitibooks.com/Detail/Detail?PublicationID=P20180613003")</f>
        <v>https://ntsu.idm.oclc.org/login?url=https://www.airitibooks.com/Detail/Detail?PublicationID=P20180613003</v>
      </c>
    </row>
    <row r="1840" spans="1:11" ht="102" x14ac:dyDescent="0.4">
      <c r="A1840" s="10" t="s">
        <v>9416</v>
      </c>
      <c r="B1840" s="10" t="s">
        <v>9417</v>
      </c>
      <c r="C1840" s="10" t="s">
        <v>3426</v>
      </c>
      <c r="D1840" s="10" t="s">
        <v>9418</v>
      </c>
      <c r="E1840" s="10" t="s">
        <v>7391</v>
      </c>
      <c r="F1840" s="10" t="s">
        <v>1317</v>
      </c>
      <c r="G1840" s="10" t="s">
        <v>32</v>
      </c>
      <c r="H1840" s="7" t="s">
        <v>24</v>
      </c>
      <c r="I1840" s="7" t="s">
        <v>25</v>
      </c>
      <c r="J1840" s="13" t="str">
        <f>HYPERLINK("https://www.airitibooks.com/Detail/Detail?PublicationID=P20180614005", "https://www.airitibooks.com/Detail/Detail?PublicationID=P20180614005")</f>
        <v>https://www.airitibooks.com/Detail/Detail?PublicationID=P20180614005</v>
      </c>
      <c r="K1840" s="13" t="str">
        <f>HYPERLINK("https://ntsu.idm.oclc.org/login?url=https://www.airitibooks.com/Detail/Detail?PublicationID=P20180614005", "https://ntsu.idm.oclc.org/login?url=https://www.airitibooks.com/Detail/Detail?PublicationID=P20180614005")</f>
        <v>https://ntsu.idm.oclc.org/login?url=https://www.airitibooks.com/Detail/Detail?PublicationID=P20180614005</v>
      </c>
    </row>
    <row r="1841" spans="1:11" ht="85" x14ac:dyDescent="0.4">
      <c r="A1841" s="10" t="s">
        <v>9443</v>
      </c>
      <c r="B1841" s="10" t="s">
        <v>9444</v>
      </c>
      <c r="C1841" s="10" t="s">
        <v>9445</v>
      </c>
      <c r="D1841" s="10" t="s">
        <v>9446</v>
      </c>
      <c r="E1841" s="10" t="s">
        <v>7391</v>
      </c>
      <c r="F1841" s="10" t="s">
        <v>1005</v>
      </c>
      <c r="G1841" s="10" t="s">
        <v>32</v>
      </c>
      <c r="H1841" s="7" t="s">
        <v>24</v>
      </c>
      <c r="I1841" s="7" t="s">
        <v>25</v>
      </c>
      <c r="J1841" s="13" t="str">
        <f>HYPERLINK("https://www.airitibooks.com/Detail/Detail?PublicationID=P20180620006", "https://www.airitibooks.com/Detail/Detail?PublicationID=P20180620006")</f>
        <v>https://www.airitibooks.com/Detail/Detail?PublicationID=P20180620006</v>
      </c>
      <c r="K1841" s="13" t="str">
        <f>HYPERLINK("https://ntsu.idm.oclc.org/login?url=https://www.airitibooks.com/Detail/Detail?PublicationID=P20180620006", "https://ntsu.idm.oclc.org/login?url=https://www.airitibooks.com/Detail/Detail?PublicationID=P20180620006")</f>
        <v>https://ntsu.idm.oclc.org/login?url=https://www.airitibooks.com/Detail/Detail?PublicationID=P20180620006</v>
      </c>
    </row>
    <row r="1842" spans="1:11" ht="68" x14ac:dyDescent="0.4">
      <c r="A1842" s="10" t="s">
        <v>9473</v>
      </c>
      <c r="B1842" s="10" t="s">
        <v>9474</v>
      </c>
      <c r="C1842" s="10" t="s">
        <v>108</v>
      </c>
      <c r="D1842" s="10" t="s">
        <v>2431</v>
      </c>
      <c r="E1842" s="10" t="s">
        <v>7391</v>
      </c>
      <c r="F1842" s="10" t="s">
        <v>185</v>
      </c>
      <c r="G1842" s="10" t="s">
        <v>32</v>
      </c>
      <c r="H1842" s="7" t="s">
        <v>24</v>
      </c>
      <c r="I1842" s="7" t="s">
        <v>25</v>
      </c>
      <c r="J1842" s="13" t="str">
        <f>HYPERLINK("https://www.airitibooks.com/Detail/Detail?PublicationID=P20180626002", "https://www.airitibooks.com/Detail/Detail?PublicationID=P20180626002")</f>
        <v>https://www.airitibooks.com/Detail/Detail?PublicationID=P20180626002</v>
      </c>
      <c r="K1842" s="13" t="str">
        <f>HYPERLINK("https://ntsu.idm.oclc.org/login?url=https://www.airitibooks.com/Detail/Detail?PublicationID=P20180626002", "https://ntsu.idm.oclc.org/login?url=https://www.airitibooks.com/Detail/Detail?PublicationID=P20180626002")</f>
        <v>https://ntsu.idm.oclc.org/login?url=https://www.airitibooks.com/Detail/Detail?PublicationID=P20180626002</v>
      </c>
    </row>
    <row r="1843" spans="1:11" ht="85" x14ac:dyDescent="0.4">
      <c r="A1843" s="10" t="s">
        <v>9533</v>
      </c>
      <c r="B1843" s="10" t="s">
        <v>9534</v>
      </c>
      <c r="C1843" s="10" t="s">
        <v>9514</v>
      </c>
      <c r="D1843" s="10" t="s">
        <v>9535</v>
      </c>
      <c r="E1843" s="10" t="s">
        <v>7391</v>
      </c>
      <c r="F1843" s="10" t="s">
        <v>9536</v>
      </c>
      <c r="G1843" s="10" t="s">
        <v>32</v>
      </c>
      <c r="H1843" s="7" t="s">
        <v>24</v>
      </c>
      <c r="I1843" s="7" t="s">
        <v>25</v>
      </c>
      <c r="J1843" s="13" t="str">
        <f>HYPERLINK("https://www.airitibooks.com/Detail/Detail?PublicationID=P20180628014", "https://www.airitibooks.com/Detail/Detail?PublicationID=P20180628014")</f>
        <v>https://www.airitibooks.com/Detail/Detail?PublicationID=P20180628014</v>
      </c>
      <c r="K1843" s="13" t="str">
        <f>HYPERLINK("https://ntsu.idm.oclc.org/login?url=https://www.airitibooks.com/Detail/Detail?PublicationID=P20180628014", "https://ntsu.idm.oclc.org/login?url=https://www.airitibooks.com/Detail/Detail?PublicationID=P20180628014")</f>
        <v>https://ntsu.idm.oclc.org/login?url=https://www.airitibooks.com/Detail/Detail?PublicationID=P20180628014</v>
      </c>
    </row>
    <row r="1844" spans="1:11" ht="51" x14ac:dyDescent="0.4">
      <c r="A1844" s="10" t="s">
        <v>9593</v>
      </c>
      <c r="B1844" s="10" t="s">
        <v>9594</v>
      </c>
      <c r="C1844" s="10" t="s">
        <v>938</v>
      </c>
      <c r="D1844" s="10" t="s">
        <v>9595</v>
      </c>
      <c r="E1844" s="10" t="s">
        <v>7391</v>
      </c>
      <c r="F1844" s="10" t="s">
        <v>4948</v>
      </c>
      <c r="G1844" s="10" t="s">
        <v>32</v>
      </c>
      <c r="H1844" s="7" t="s">
        <v>24</v>
      </c>
      <c r="I1844" s="7" t="s">
        <v>25</v>
      </c>
      <c r="J1844" s="13" t="str">
        <f>HYPERLINK("https://www.airitibooks.com/Detail/Detail?PublicationID=P20180809002", "https://www.airitibooks.com/Detail/Detail?PublicationID=P20180809002")</f>
        <v>https://www.airitibooks.com/Detail/Detail?PublicationID=P20180809002</v>
      </c>
      <c r="K1844" s="13" t="str">
        <f>HYPERLINK("https://ntsu.idm.oclc.org/login?url=https://www.airitibooks.com/Detail/Detail?PublicationID=P20180809002", "https://ntsu.idm.oclc.org/login?url=https://www.airitibooks.com/Detail/Detail?PublicationID=P20180809002")</f>
        <v>https://ntsu.idm.oclc.org/login?url=https://www.airitibooks.com/Detail/Detail?PublicationID=P20180809002</v>
      </c>
    </row>
    <row r="1845" spans="1:11" ht="68" x14ac:dyDescent="0.4">
      <c r="A1845" s="10" t="s">
        <v>9738</v>
      </c>
      <c r="B1845" s="10" t="s">
        <v>9739</v>
      </c>
      <c r="C1845" s="10" t="s">
        <v>1296</v>
      </c>
      <c r="D1845" s="10" t="s">
        <v>9740</v>
      </c>
      <c r="E1845" s="10" t="s">
        <v>7391</v>
      </c>
      <c r="F1845" s="10" t="s">
        <v>8200</v>
      </c>
      <c r="G1845" s="10" t="s">
        <v>32</v>
      </c>
      <c r="H1845" s="7" t="s">
        <v>24</v>
      </c>
      <c r="I1845" s="7" t="s">
        <v>25</v>
      </c>
      <c r="J1845" s="13" t="str">
        <f>HYPERLINK("https://www.airitibooks.com/Detail/Detail?PublicationID=P20180822016", "https://www.airitibooks.com/Detail/Detail?PublicationID=P20180822016")</f>
        <v>https://www.airitibooks.com/Detail/Detail?PublicationID=P20180822016</v>
      </c>
      <c r="K1845" s="13" t="str">
        <f>HYPERLINK("https://ntsu.idm.oclc.org/login?url=https://www.airitibooks.com/Detail/Detail?PublicationID=P20180822016", "https://ntsu.idm.oclc.org/login?url=https://www.airitibooks.com/Detail/Detail?PublicationID=P20180822016")</f>
        <v>https://ntsu.idm.oclc.org/login?url=https://www.airitibooks.com/Detail/Detail?PublicationID=P20180822016</v>
      </c>
    </row>
    <row r="1846" spans="1:11" ht="68" x14ac:dyDescent="0.4">
      <c r="A1846" s="10" t="s">
        <v>9773</v>
      </c>
      <c r="B1846" s="10" t="s">
        <v>9774</v>
      </c>
      <c r="C1846" s="10" t="s">
        <v>108</v>
      </c>
      <c r="D1846" s="10" t="s">
        <v>9775</v>
      </c>
      <c r="E1846" s="10" t="s">
        <v>7391</v>
      </c>
      <c r="F1846" s="10" t="s">
        <v>185</v>
      </c>
      <c r="G1846" s="10" t="s">
        <v>32</v>
      </c>
      <c r="H1846" s="7" t="s">
        <v>24</v>
      </c>
      <c r="I1846" s="7" t="s">
        <v>25</v>
      </c>
      <c r="J1846" s="13" t="str">
        <f>HYPERLINK("https://www.airitibooks.com/Detail/Detail?PublicationID=P20180903003", "https://www.airitibooks.com/Detail/Detail?PublicationID=P20180903003")</f>
        <v>https://www.airitibooks.com/Detail/Detail?PublicationID=P20180903003</v>
      </c>
      <c r="K1846" s="13" t="str">
        <f>HYPERLINK("https://ntsu.idm.oclc.org/login?url=https://www.airitibooks.com/Detail/Detail?PublicationID=P20180903003", "https://ntsu.idm.oclc.org/login?url=https://www.airitibooks.com/Detail/Detail?PublicationID=P20180903003")</f>
        <v>https://ntsu.idm.oclc.org/login?url=https://www.airitibooks.com/Detail/Detail?PublicationID=P20180903003</v>
      </c>
    </row>
    <row r="1847" spans="1:11" ht="51" x14ac:dyDescent="0.4">
      <c r="A1847" s="10" t="s">
        <v>9799</v>
      </c>
      <c r="B1847" s="10" t="s">
        <v>9800</v>
      </c>
      <c r="C1847" s="10" t="s">
        <v>838</v>
      </c>
      <c r="D1847" s="10" t="s">
        <v>9801</v>
      </c>
      <c r="E1847" s="10" t="s">
        <v>7391</v>
      </c>
      <c r="F1847" s="10" t="s">
        <v>9802</v>
      </c>
      <c r="G1847" s="10" t="s">
        <v>32</v>
      </c>
      <c r="H1847" s="7" t="s">
        <v>24</v>
      </c>
      <c r="I1847" s="7" t="s">
        <v>25</v>
      </c>
      <c r="J1847" s="13" t="str">
        <f>HYPERLINK("https://www.airitibooks.com/Detail/Detail?PublicationID=P20180910006", "https://www.airitibooks.com/Detail/Detail?PublicationID=P20180910006")</f>
        <v>https://www.airitibooks.com/Detail/Detail?PublicationID=P20180910006</v>
      </c>
      <c r="K1847" s="13" t="str">
        <f>HYPERLINK("https://ntsu.idm.oclc.org/login?url=https://www.airitibooks.com/Detail/Detail?PublicationID=P20180910006", "https://ntsu.idm.oclc.org/login?url=https://www.airitibooks.com/Detail/Detail?PublicationID=P20180910006")</f>
        <v>https://ntsu.idm.oclc.org/login?url=https://www.airitibooks.com/Detail/Detail?PublicationID=P20180910006</v>
      </c>
    </row>
    <row r="1848" spans="1:11" ht="51" x14ac:dyDescent="0.4">
      <c r="A1848" s="10" t="s">
        <v>9803</v>
      </c>
      <c r="B1848" s="10" t="s">
        <v>9804</v>
      </c>
      <c r="C1848" s="10" t="s">
        <v>838</v>
      </c>
      <c r="D1848" s="10" t="s">
        <v>9805</v>
      </c>
      <c r="E1848" s="10" t="s">
        <v>7391</v>
      </c>
      <c r="F1848" s="10" t="s">
        <v>9806</v>
      </c>
      <c r="G1848" s="10" t="s">
        <v>32</v>
      </c>
      <c r="H1848" s="7" t="s">
        <v>24</v>
      </c>
      <c r="I1848" s="7" t="s">
        <v>25</v>
      </c>
      <c r="J1848" s="13" t="str">
        <f>HYPERLINK("https://www.airitibooks.com/Detail/Detail?PublicationID=P20180910008", "https://www.airitibooks.com/Detail/Detail?PublicationID=P20180910008")</f>
        <v>https://www.airitibooks.com/Detail/Detail?PublicationID=P20180910008</v>
      </c>
      <c r="K1848" s="13" t="str">
        <f>HYPERLINK("https://ntsu.idm.oclc.org/login?url=https://www.airitibooks.com/Detail/Detail?PublicationID=P20180910008", "https://ntsu.idm.oclc.org/login?url=https://www.airitibooks.com/Detail/Detail?PublicationID=P20180910008")</f>
        <v>https://ntsu.idm.oclc.org/login?url=https://www.airitibooks.com/Detail/Detail?PublicationID=P20180910008</v>
      </c>
    </row>
    <row r="1849" spans="1:11" ht="51" x14ac:dyDescent="0.4">
      <c r="A1849" s="10" t="s">
        <v>9814</v>
      </c>
      <c r="B1849" s="10" t="s">
        <v>9815</v>
      </c>
      <c r="C1849" s="10" t="s">
        <v>838</v>
      </c>
      <c r="D1849" s="10" t="s">
        <v>9816</v>
      </c>
      <c r="E1849" s="10" t="s">
        <v>7391</v>
      </c>
      <c r="F1849" s="10" t="s">
        <v>9817</v>
      </c>
      <c r="G1849" s="10" t="s">
        <v>32</v>
      </c>
      <c r="H1849" s="7" t="s">
        <v>24</v>
      </c>
      <c r="I1849" s="7" t="s">
        <v>25</v>
      </c>
      <c r="J1849" s="13" t="str">
        <f>HYPERLINK("https://www.airitibooks.com/Detail/Detail?PublicationID=P20180910013", "https://www.airitibooks.com/Detail/Detail?PublicationID=P20180910013")</f>
        <v>https://www.airitibooks.com/Detail/Detail?PublicationID=P20180910013</v>
      </c>
      <c r="K1849" s="13" t="str">
        <f>HYPERLINK("https://ntsu.idm.oclc.org/login?url=https://www.airitibooks.com/Detail/Detail?PublicationID=P20180910013", "https://ntsu.idm.oclc.org/login?url=https://www.airitibooks.com/Detail/Detail?PublicationID=P20180910013")</f>
        <v>https://ntsu.idm.oclc.org/login?url=https://www.airitibooks.com/Detail/Detail?PublicationID=P20180910013</v>
      </c>
    </row>
    <row r="1850" spans="1:11" ht="68" x14ac:dyDescent="0.4">
      <c r="A1850" s="10" t="s">
        <v>9845</v>
      </c>
      <c r="B1850" s="10" t="s">
        <v>9846</v>
      </c>
      <c r="C1850" s="10" t="s">
        <v>791</v>
      </c>
      <c r="D1850" s="10" t="s">
        <v>9847</v>
      </c>
      <c r="E1850" s="10" t="s">
        <v>7391</v>
      </c>
      <c r="F1850" s="10" t="s">
        <v>9848</v>
      </c>
      <c r="G1850" s="10" t="s">
        <v>32</v>
      </c>
      <c r="H1850" s="7" t="s">
        <v>24</v>
      </c>
      <c r="I1850" s="7" t="s">
        <v>25</v>
      </c>
      <c r="J1850" s="13" t="str">
        <f>HYPERLINK("https://www.airitibooks.com/Detail/Detail?PublicationID=P20180919007", "https://www.airitibooks.com/Detail/Detail?PublicationID=P20180919007")</f>
        <v>https://www.airitibooks.com/Detail/Detail?PublicationID=P20180919007</v>
      </c>
      <c r="K1850" s="13" t="str">
        <f>HYPERLINK("https://ntsu.idm.oclc.org/login?url=https://www.airitibooks.com/Detail/Detail?PublicationID=P20180919007", "https://ntsu.idm.oclc.org/login?url=https://www.airitibooks.com/Detail/Detail?PublicationID=P20180919007")</f>
        <v>https://ntsu.idm.oclc.org/login?url=https://www.airitibooks.com/Detail/Detail?PublicationID=P20180919007</v>
      </c>
    </row>
    <row r="1851" spans="1:11" ht="51" x14ac:dyDescent="0.4">
      <c r="A1851" s="10" t="s">
        <v>9849</v>
      </c>
      <c r="B1851" s="10" t="s">
        <v>9850</v>
      </c>
      <c r="C1851" s="10" t="s">
        <v>6190</v>
      </c>
      <c r="D1851" s="10" t="s">
        <v>6191</v>
      </c>
      <c r="E1851" s="10" t="s">
        <v>7391</v>
      </c>
      <c r="F1851" s="10" t="s">
        <v>6192</v>
      </c>
      <c r="G1851" s="10" t="s">
        <v>32</v>
      </c>
      <c r="H1851" s="7" t="s">
        <v>24</v>
      </c>
      <c r="I1851" s="7" t="s">
        <v>25</v>
      </c>
      <c r="J1851" s="13" t="str">
        <f>HYPERLINK("https://www.airitibooks.com/Detail/Detail?PublicationID=P20181003064", "https://www.airitibooks.com/Detail/Detail?PublicationID=P20181003064")</f>
        <v>https://www.airitibooks.com/Detail/Detail?PublicationID=P20181003064</v>
      </c>
      <c r="K1851" s="13" t="str">
        <f>HYPERLINK("https://ntsu.idm.oclc.org/login?url=https://www.airitibooks.com/Detail/Detail?PublicationID=P20181003064", "https://ntsu.idm.oclc.org/login?url=https://www.airitibooks.com/Detail/Detail?PublicationID=P20181003064")</f>
        <v>https://ntsu.idm.oclc.org/login?url=https://www.airitibooks.com/Detail/Detail?PublicationID=P20181003064</v>
      </c>
    </row>
    <row r="1852" spans="1:11" ht="85" x14ac:dyDescent="0.4">
      <c r="A1852" s="10" t="s">
        <v>9865</v>
      </c>
      <c r="B1852" s="10" t="s">
        <v>9866</v>
      </c>
      <c r="C1852" s="10" t="s">
        <v>108</v>
      </c>
      <c r="D1852" s="10" t="s">
        <v>9867</v>
      </c>
      <c r="E1852" s="10" t="s">
        <v>7391</v>
      </c>
      <c r="F1852" s="10" t="s">
        <v>185</v>
      </c>
      <c r="G1852" s="10" t="s">
        <v>32</v>
      </c>
      <c r="H1852" s="7" t="s">
        <v>24</v>
      </c>
      <c r="I1852" s="7" t="s">
        <v>25</v>
      </c>
      <c r="J1852" s="13" t="str">
        <f>HYPERLINK("https://www.airitibooks.com/Detail/Detail?PublicationID=P20181011001", "https://www.airitibooks.com/Detail/Detail?PublicationID=P20181011001")</f>
        <v>https://www.airitibooks.com/Detail/Detail?PublicationID=P20181011001</v>
      </c>
      <c r="K1852" s="13" t="str">
        <f>HYPERLINK("https://ntsu.idm.oclc.org/login?url=https://www.airitibooks.com/Detail/Detail?PublicationID=P20181011001", "https://ntsu.idm.oclc.org/login?url=https://www.airitibooks.com/Detail/Detail?PublicationID=P20181011001")</f>
        <v>https://ntsu.idm.oclc.org/login?url=https://www.airitibooks.com/Detail/Detail?PublicationID=P20181011001</v>
      </c>
    </row>
    <row r="1853" spans="1:11" ht="51" x14ac:dyDescent="0.4">
      <c r="A1853" s="10" t="s">
        <v>9902</v>
      </c>
      <c r="B1853" s="10" t="s">
        <v>9903</v>
      </c>
      <c r="C1853" s="10" t="s">
        <v>6190</v>
      </c>
      <c r="D1853" s="10" t="s">
        <v>6191</v>
      </c>
      <c r="E1853" s="10" t="s">
        <v>7391</v>
      </c>
      <c r="F1853" s="10" t="s">
        <v>6192</v>
      </c>
      <c r="G1853" s="10" t="s">
        <v>32</v>
      </c>
      <c r="H1853" s="7" t="s">
        <v>24</v>
      </c>
      <c r="I1853" s="7" t="s">
        <v>25</v>
      </c>
      <c r="J1853" s="13" t="str">
        <f>HYPERLINK("https://www.airitibooks.com/Detail/Detail?PublicationID=P20181018009", "https://www.airitibooks.com/Detail/Detail?PublicationID=P20181018009")</f>
        <v>https://www.airitibooks.com/Detail/Detail?PublicationID=P20181018009</v>
      </c>
      <c r="K1853" s="13" t="str">
        <f>HYPERLINK("https://ntsu.idm.oclc.org/login?url=https://www.airitibooks.com/Detail/Detail?PublicationID=P20181018009", "https://ntsu.idm.oclc.org/login?url=https://www.airitibooks.com/Detail/Detail?PublicationID=P20181018009")</f>
        <v>https://ntsu.idm.oclc.org/login?url=https://www.airitibooks.com/Detail/Detail?PublicationID=P20181018009</v>
      </c>
    </row>
    <row r="1854" spans="1:11" ht="51" x14ac:dyDescent="0.4">
      <c r="A1854" s="10" t="s">
        <v>9911</v>
      </c>
      <c r="B1854" s="10" t="s">
        <v>9912</v>
      </c>
      <c r="C1854" s="10" t="s">
        <v>1340</v>
      </c>
      <c r="D1854" s="10" t="s">
        <v>1341</v>
      </c>
      <c r="E1854" s="10" t="s">
        <v>7391</v>
      </c>
      <c r="F1854" s="10" t="s">
        <v>5375</v>
      </c>
      <c r="G1854" s="10" t="s">
        <v>32</v>
      </c>
      <c r="H1854" s="7" t="s">
        <v>24</v>
      </c>
      <c r="I1854" s="7" t="s">
        <v>25</v>
      </c>
      <c r="J1854" s="13" t="str">
        <f>HYPERLINK("https://www.airitibooks.com/Detail/Detail?PublicationID=P20181019001", "https://www.airitibooks.com/Detail/Detail?PublicationID=P20181019001")</f>
        <v>https://www.airitibooks.com/Detail/Detail?PublicationID=P20181019001</v>
      </c>
      <c r="K1854" s="13" t="str">
        <f>HYPERLINK("https://ntsu.idm.oclc.org/login?url=https://www.airitibooks.com/Detail/Detail?PublicationID=P20181019001", "https://ntsu.idm.oclc.org/login?url=https://www.airitibooks.com/Detail/Detail?PublicationID=P20181019001")</f>
        <v>https://ntsu.idm.oclc.org/login?url=https://www.airitibooks.com/Detail/Detail?PublicationID=P20181019001</v>
      </c>
    </row>
    <row r="1855" spans="1:11" ht="85" x14ac:dyDescent="0.4">
      <c r="A1855" s="10" t="s">
        <v>9943</v>
      </c>
      <c r="B1855" s="10" t="s">
        <v>9944</v>
      </c>
      <c r="C1855" s="10" t="s">
        <v>791</v>
      </c>
      <c r="D1855" s="10" t="s">
        <v>9945</v>
      </c>
      <c r="E1855" s="10" t="s">
        <v>7391</v>
      </c>
      <c r="F1855" s="10" t="s">
        <v>274</v>
      </c>
      <c r="G1855" s="10" t="s">
        <v>32</v>
      </c>
      <c r="H1855" s="7" t="s">
        <v>24</v>
      </c>
      <c r="I1855" s="7" t="s">
        <v>25</v>
      </c>
      <c r="J1855" s="13" t="str">
        <f>HYPERLINK("https://www.airitibooks.com/Detail/Detail?PublicationID=P20181026047", "https://www.airitibooks.com/Detail/Detail?PublicationID=P20181026047")</f>
        <v>https://www.airitibooks.com/Detail/Detail?PublicationID=P20181026047</v>
      </c>
      <c r="K1855" s="13" t="str">
        <f>HYPERLINK("https://ntsu.idm.oclc.org/login?url=https://www.airitibooks.com/Detail/Detail?PublicationID=P20181026047", "https://ntsu.idm.oclc.org/login?url=https://www.airitibooks.com/Detail/Detail?PublicationID=P20181026047")</f>
        <v>https://ntsu.idm.oclc.org/login?url=https://www.airitibooks.com/Detail/Detail?PublicationID=P20181026047</v>
      </c>
    </row>
    <row r="1856" spans="1:11" ht="51" x14ac:dyDescent="0.4">
      <c r="A1856" s="10" t="s">
        <v>9985</v>
      </c>
      <c r="B1856" s="10" t="s">
        <v>9986</v>
      </c>
      <c r="C1856" s="10" t="s">
        <v>938</v>
      </c>
      <c r="D1856" s="10" t="s">
        <v>5263</v>
      </c>
      <c r="E1856" s="10" t="s">
        <v>7391</v>
      </c>
      <c r="F1856" s="10" t="s">
        <v>181</v>
      </c>
      <c r="G1856" s="10" t="s">
        <v>32</v>
      </c>
      <c r="H1856" s="7" t="s">
        <v>24</v>
      </c>
      <c r="I1856" s="7" t="s">
        <v>25</v>
      </c>
      <c r="J1856" s="13" t="str">
        <f>HYPERLINK("https://www.airitibooks.com/Detail/Detail?PublicationID=P20181106001", "https://www.airitibooks.com/Detail/Detail?PublicationID=P20181106001")</f>
        <v>https://www.airitibooks.com/Detail/Detail?PublicationID=P20181106001</v>
      </c>
      <c r="K1856" s="13" t="str">
        <f>HYPERLINK("https://ntsu.idm.oclc.org/login?url=https://www.airitibooks.com/Detail/Detail?PublicationID=P20181106001", "https://ntsu.idm.oclc.org/login?url=https://www.airitibooks.com/Detail/Detail?PublicationID=P20181106001")</f>
        <v>https://ntsu.idm.oclc.org/login?url=https://www.airitibooks.com/Detail/Detail?PublicationID=P20181106001</v>
      </c>
    </row>
    <row r="1857" spans="1:11" ht="51" x14ac:dyDescent="0.4">
      <c r="A1857" s="10" t="s">
        <v>10089</v>
      </c>
      <c r="B1857" s="10" t="s">
        <v>10090</v>
      </c>
      <c r="C1857" s="10" t="s">
        <v>938</v>
      </c>
      <c r="D1857" s="10" t="s">
        <v>5263</v>
      </c>
      <c r="E1857" s="10" t="s">
        <v>7391</v>
      </c>
      <c r="F1857" s="10" t="s">
        <v>181</v>
      </c>
      <c r="G1857" s="10" t="s">
        <v>32</v>
      </c>
      <c r="H1857" s="7" t="s">
        <v>24</v>
      </c>
      <c r="I1857" s="7" t="s">
        <v>25</v>
      </c>
      <c r="J1857" s="13" t="str">
        <f>HYPERLINK("https://www.airitibooks.com/Detail/Detail?PublicationID=P20181115002", "https://www.airitibooks.com/Detail/Detail?PublicationID=P20181115002")</f>
        <v>https://www.airitibooks.com/Detail/Detail?PublicationID=P20181115002</v>
      </c>
      <c r="K1857" s="13" t="str">
        <f>HYPERLINK("https://ntsu.idm.oclc.org/login?url=https://www.airitibooks.com/Detail/Detail?PublicationID=P20181115002", "https://ntsu.idm.oclc.org/login?url=https://www.airitibooks.com/Detail/Detail?PublicationID=P20181115002")</f>
        <v>https://ntsu.idm.oclc.org/login?url=https://www.airitibooks.com/Detail/Detail?PublicationID=P20181115002</v>
      </c>
    </row>
    <row r="1858" spans="1:11" ht="51" x14ac:dyDescent="0.4">
      <c r="A1858" s="10" t="s">
        <v>10094</v>
      </c>
      <c r="B1858" s="10" t="s">
        <v>10095</v>
      </c>
      <c r="C1858" s="10" t="s">
        <v>938</v>
      </c>
      <c r="D1858" s="10" t="s">
        <v>5263</v>
      </c>
      <c r="E1858" s="10" t="s">
        <v>7391</v>
      </c>
      <c r="F1858" s="10" t="s">
        <v>181</v>
      </c>
      <c r="G1858" s="10" t="s">
        <v>32</v>
      </c>
      <c r="H1858" s="7" t="s">
        <v>24</v>
      </c>
      <c r="I1858" s="7" t="s">
        <v>25</v>
      </c>
      <c r="J1858" s="13" t="str">
        <f>HYPERLINK("https://www.airitibooks.com/Detail/Detail?PublicationID=P20181115012", "https://www.airitibooks.com/Detail/Detail?PublicationID=P20181115012")</f>
        <v>https://www.airitibooks.com/Detail/Detail?PublicationID=P20181115012</v>
      </c>
      <c r="K1858" s="13" t="str">
        <f>HYPERLINK("https://ntsu.idm.oclc.org/login?url=https://www.airitibooks.com/Detail/Detail?PublicationID=P20181115012", "https://ntsu.idm.oclc.org/login?url=https://www.airitibooks.com/Detail/Detail?PublicationID=P20181115012")</f>
        <v>https://ntsu.idm.oclc.org/login?url=https://www.airitibooks.com/Detail/Detail?PublicationID=P20181115012</v>
      </c>
    </row>
    <row r="1859" spans="1:11" ht="51" x14ac:dyDescent="0.4">
      <c r="A1859" s="10" t="s">
        <v>10343</v>
      </c>
      <c r="B1859" s="10" t="s">
        <v>10344</v>
      </c>
      <c r="C1859" s="10" t="s">
        <v>1034</v>
      </c>
      <c r="D1859" s="10" t="s">
        <v>10345</v>
      </c>
      <c r="E1859" s="10" t="s">
        <v>7391</v>
      </c>
      <c r="F1859" s="10" t="s">
        <v>181</v>
      </c>
      <c r="G1859" s="10" t="s">
        <v>32</v>
      </c>
      <c r="H1859" s="7" t="s">
        <v>24</v>
      </c>
      <c r="I1859" s="7" t="s">
        <v>25</v>
      </c>
      <c r="J1859" s="13" t="str">
        <f>HYPERLINK("https://www.airitibooks.com/Detail/Detail?PublicationID=P20181207002", "https://www.airitibooks.com/Detail/Detail?PublicationID=P20181207002")</f>
        <v>https://www.airitibooks.com/Detail/Detail?PublicationID=P20181207002</v>
      </c>
      <c r="K1859" s="13" t="str">
        <f>HYPERLINK("https://ntsu.idm.oclc.org/login?url=https://www.airitibooks.com/Detail/Detail?PublicationID=P20181207002", "https://ntsu.idm.oclc.org/login?url=https://www.airitibooks.com/Detail/Detail?PublicationID=P20181207002")</f>
        <v>https://ntsu.idm.oclc.org/login?url=https://www.airitibooks.com/Detail/Detail?PublicationID=P20181207002</v>
      </c>
    </row>
    <row r="1860" spans="1:11" ht="51" x14ac:dyDescent="0.4">
      <c r="A1860" s="10" t="s">
        <v>10368</v>
      </c>
      <c r="B1860" s="10" t="s">
        <v>10369</v>
      </c>
      <c r="C1860" s="10" t="s">
        <v>1034</v>
      </c>
      <c r="D1860" s="10" t="s">
        <v>10345</v>
      </c>
      <c r="E1860" s="10" t="s">
        <v>7391</v>
      </c>
      <c r="F1860" s="10" t="s">
        <v>181</v>
      </c>
      <c r="G1860" s="10" t="s">
        <v>32</v>
      </c>
      <c r="H1860" s="7" t="s">
        <v>24</v>
      </c>
      <c r="I1860" s="7" t="s">
        <v>25</v>
      </c>
      <c r="J1860" s="13" t="str">
        <f>HYPERLINK("https://www.airitibooks.com/Detail/Detail?PublicationID=P20181220006", "https://www.airitibooks.com/Detail/Detail?PublicationID=P20181220006")</f>
        <v>https://www.airitibooks.com/Detail/Detail?PublicationID=P20181220006</v>
      </c>
      <c r="K1860" s="13" t="str">
        <f>HYPERLINK("https://ntsu.idm.oclc.org/login?url=https://www.airitibooks.com/Detail/Detail?PublicationID=P20181220006", "https://ntsu.idm.oclc.org/login?url=https://www.airitibooks.com/Detail/Detail?PublicationID=P20181220006")</f>
        <v>https://ntsu.idm.oclc.org/login?url=https://www.airitibooks.com/Detail/Detail?PublicationID=P20181220006</v>
      </c>
    </row>
    <row r="1861" spans="1:11" ht="51" x14ac:dyDescent="0.4">
      <c r="A1861" s="10" t="s">
        <v>10370</v>
      </c>
      <c r="B1861" s="10" t="s">
        <v>10371</v>
      </c>
      <c r="C1861" s="10" t="s">
        <v>1034</v>
      </c>
      <c r="D1861" s="10" t="s">
        <v>10345</v>
      </c>
      <c r="E1861" s="10" t="s">
        <v>7391</v>
      </c>
      <c r="F1861" s="10" t="s">
        <v>181</v>
      </c>
      <c r="G1861" s="10" t="s">
        <v>32</v>
      </c>
      <c r="H1861" s="7" t="s">
        <v>24</v>
      </c>
      <c r="I1861" s="7" t="s">
        <v>25</v>
      </c>
      <c r="J1861" s="13" t="str">
        <f>HYPERLINK("https://www.airitibooks.com/Detail/Detail?PublicationID=P20181220007", "https://www.airitibooks.com/Detail/Detail?PublicationID=P20181220007")</f>
        <v>https://www.airitibooks.com/Detail/Detail?PublicationID=P20181220007</v>
      </c>
      <c r="K1861" s="13" t="str">
        <f>HYPERLINK("https://ntsu.idm.oclc.org/login?url=https://www.airitibooks.com/Detail/Detail?PublicationID=P20181220007", "https://ntsu.idm.oclc.org/login?url=https://www.airitibooks.com/Detail/Detail?PublicationID=P20181220007")</f>
        <v>https://ntsu.idm.oclc.org/login?url=https://www.airitibooks.com/Detail/Detail?PublicationID=P20181220007</v>
      </c>
    </row>
    <row r="1862" spans="1:11" ht="51" x14ac:dyDescent="0.4">
      <c r="A1862" s="10" t="s">
        <v>10433</v>
      </c>
      <c r="B1862" s="10" t="s">
        <v>10434</v>
      </c>
      <c r="C1862" s="10" t="s">
        <v>1034</v>
      </c>
      <c r="D1862" s="10" t="s">
        <v>10435</v>
      </c>
      <c r="E1862" s="10" t="s">
        <v>7391</v>
      </c>
      <c r="F1862" s="10" t="s">
        <v>9848</v>
      </c>
      <c r="G1862" s="10" t="s">
        <v>32</v>
      </c>
      <c r="H1862" s="7" t="s">
        <v>24</v>
      </c>
      <c r="I1862" s="7" t="s">
        <v>25</v>
      </c>
      <c r="J1862" s="13" t="str">
        <f>HYPERLINK("https://www.airitibooks.com/Detail/Detail?PublicationID=P20181221055", "https://www.airitibooks.com/Detail/Detail?PublicationID=P20181221055")</f>
        <v>https://www.airitibooks.com/Detail/Detail?PublicationID=P20181221055</v>
      </c>
      <c r="K1862" s="13" t="str">
        <f>HYPERLINK("https://ntsu.idm.oclc.org/login?url=https://www.airitibooks.com/Detail/Detail?PublicationID=P20181221055", "https://ntsu.idm.oclc.org/login?url=https://www.airitibooks.com/Detail/Detail?PublicationID=P20181221055")</f>
        <v>https://ntsu.idm.oclc.org/login?url=https://www.airitibooks.com/Detail/Detail?PublicationID=P20181221055</v>
      </c>
    </row>
    <row r="1863" spans="1:11" ht="51" x14ac:dyDescent="0.4">
      <c r="A1863" s="10" t="s">
        <v>10530</v>
      </c>
      <c r="B1863" s="10" t="s">
        <v>10531</v>
      </c>
      <c r="C1863" s="10" t="s">
        <v>1504</v>
      </c>
      <c r="D1863" s="10" t="s">
        <v>10529</v>
      </c>
      <c r="E1863" s="10" t="s">
        <v>7391</v>
      </c>
      <c r="F1863" s="10" t="s">
        <v>9099</v>
      </c>
      <c r="G1863" s="10" t="s">
        <v>32</v>
      </c>
      <c r="H1863" s="7" t="s">
        <v>24</v>
      </c>
      <c r="I1863" s="7" t="s">
        <v>25</v>
      </c>
      <c r="J1863" s="13" t="str">
        <f>HYPERLINK("https://www.airitibooks.com/Detail/Detail?PublicationID=P20181225053", "https://www.airitibooks.com/Detail/Detail?PublicationID=P20181225053")</f>
        <v>https://www.airitibooks.com/Detail/Detail?PublicationID=P20181225053</v>
      </c>
      <c r="K1863" s="13" t="str">
        <f>HYPERLINK("https://ntsu.idm.oclc.org/login?url=https://www.airitibooks.com/Detail/Detail?PublicationID=P20181225053", "https://ntsu.idm.oclc.org/login?url=https://www.airitibooks.com/Detail/Detail?PublicationID=P20181225053")</f>
        <v>https://ntsu.idm.oclc.org/login?url=https://www.airitibooks.com/Detail/Detail?PublicationID=P20181225053</v>
      </c>
    </row>
    <row r="1864" spans="1:11" ht="68" x14ac:dyDescent="0.4">
      <c r="A1864" s="10" t="s">
        <v>10559</v>
      </c>
      <c r="B1864" s="10" t="s">
        <v>10560</v>
      </c>
      <c r="C1864" s="10" t="s">
        <v>1504</v>
      </c>
      <c r="D1864" s="10" t="s">
        <v>10561</v>
      </c>
      <c r="E1864" s="10" t="s">
        <v>7391</v>
      </c>
      <c r="F1864" s="10" t="s">
        <v>2856</v>
      </c>
      <c r="G1864" s="10" t="s">
        <v>32</v>
      </c>
      <c r="H1864" s="7" t="s">
        <v>24</v>
      </c>
      <c r="I1864" s="7" t="s">
        <v>25</v>
      </c>
      <c r="J1864" s="13" t="str">
        <f>HYPERLINK("https://www.airitibooks.com/Detail/Detail?PublicationID=P20181225068", "https://www.airitibooks.com/Detail/Detail?PublicationID=P20181225068")</f>
        <v>https://www.airitibooks.com/Detail/Detail?PublicationID=P20181225068</v>
      </c>
      <c r="K1864" s="13" t="str">
        <f>HYPERLINK("https://ntsu.idm.oclc.org/login?url=https://www.airitibooks.com/Detail/Detail?PublicationID=P20181225068", "https://ntsu.idm.oclc.org/login?url=https://www.airitibooks.com/Detail/Detail?PublicationID=P20181225068")</f>
        <v>https://ntsu.idm.oclc.org/login?url=https://www.airitibooks.com/Detail/Detail?PublicationID=P20181225068</v>
      </c>
    </row>
    <row r="1865" spans="1:11" ht="136" x14ac:dyDescent="0.4">
      <c r="A1865" s="10" t="s">
        <v>10571</v>
      </c>
      <c r="B1865" s="10" t="s">
        <v>10572</v>
      </c>
      <c r="C1865" s="10" t="s">
        <v>108</v>
      </c>
      <c r="D1865" s="10" t="s">
        <v>10573</v>
      </c>
      <c r="E1865" s="10" t="s">
        <v>7391</v>
      </c>
      <c r="F1865" s="10" t="s">
        <v>10574</v>
      </c>
      <c r="G1865" s="10" t="s">
        <v>32</v>
      </c>
      <c r="H1865" s="7" t="s">
        <v>24</v>
      </c>
      <c r="I1865" s="7" t="s">
        <v>25</v>
      </c>
      <c r="J1865" s="13" t="str">
        <f>HYPERLINK("https://www.airitibooks.com/Detail/Detail?PublicationID=P20181228003", "https://www.airitibooks.com/Detail/Detail?PublicationID=P20181228003")</f>
        <v>https://www.airitibooks.com/Detail/Detail?PublicationID=P20181228003</v>
      </c>
      <c r="K1865" s="13" t="str">
        <f>HYPERLINK("https://ntsu.idm.oclc.org/login?url=https://www.airitibooks.com/Detail/Detail?PublicationID=P20181228003", "https://ntsu.idm.oclc.org/login?url=https://www.airitibooks.com/Detail/Detail?PublicationID=P20181228003")</f>
        <v>https://ntsu.idm.oclc.org/login?url=https://www.airitibooks.com/Detail/Detail?PublicationID=P20181228003</v>
      </c>
    </row>
    <row r="1866" spans="1:11" ht="51" x14ac:dyDescent="0.4">
      <c r="A1866" s="10" t="s">
        <v>10632</v>
      </c>
      <c r="B1866" s="10" t="s">
        <v>10633</v>
      </c>
      <c r="C1866" s="10" t="s">
        <v>264</v>
      </c>
      <c r="D1866" s="10" t="s">
        <v>10634</v>
      </c>
      <c r="E1866" s="10" t="s">
        <v>7391</v>
      </c>
      <c r="F1866" s="10" t="s">
        <v>6816</v>
      </c>
      <c r="G1866" s="10" t="s">
        <v>32</v>
      </c>
      <c r="H1866" s="7" t="s">
        <v>24</v>
      </c>
      <c r="I1866" s="7" t="s">
        <v>25</v>
      </c>
      <c r="J1866" s="13" t="str">
        <f>HYPERLINK("https://www.airitibooks.com/Detail/Detail?PublicationID=P20190214015", "https://www.airitibooks.com/Detail/Detail?PublicationID=P20190214015")</f>
        <v>https://www.airitibooks.com/Detail/Detail?PublicationID=P20190214015</v>
      </c>
      <c r="K1866" s="13" t="str">
        <f>HYPERLINK("https://ntsu.idm.oclc.org/login?url=https://www.airitibooks.com/Detail/Detail?PublicationID=P20190214015", "https://ntsu.idm.oclc.org/login?url=https://www.airitibooks.com/Detail/Detail?PublicationID=P20190214015")</f>
        <v>https://ntsu.idm.oclc.org/login?url=https://www.airitibooks.com/Detail/Detail?PublicationID=P20190214015</v>
      </c>
    </row>
    <row r="1867" spans="1:11" ht="51" x14ac:dyDescent="0.4">
      <c r="A1867" s="10" t="s">
        <v>10642</v>
      </c>
      <c r="B1867" s="10" t="s">
        <v>10643</v>
      </c>
      <c r="C1867" s="10" t="s">
        <v>462</v>
      </c>
      <c r="D1867" s="10" t="s">
        <v>10644</v>
      </c>
      <c r="E1867" s="10" t="s">
        <v>7391</v>
      </c>
      <c r="F1867" s="10" t="s">
        <v>176</v>
      </c>
      <c r="G1867" s="10" t="s">
        <v>32</v>
      </c>
      <c r="H1867" s="7" t="s">
        <v>24</v>
      </c>
      <c r="I1867" s="7" t="s">
        <v>25</v>
      </c>
      <c r="J1867" s="13" t="str">
        <f>HYPERLINK("https://www.airitibooks.com/Detail/Detail?PublicationID=P20190214025", "https://www.airitibooks.com/Detail/Detail?PublicationID=P20190214025")</f>
        <v>https://www.airitibooks.com/Detail/Detail?PublicationID=P20190214025</v>
      </c>
      <c r="K1867" s="13" t="str">
        <f>HYPERLINK("https://ntsu.idm.oclc.org/login?url=https://www.airitibooks.com/Detail/Detail?PublicationID=P20190214025", "https://ntsu.idm.oclc.org/login?url=https://www.airitibooks.com/Detail/Detail?PublicationID=P20190214025")</f>
        <v>https://ntsu.idm.oclc.org/login?url=https://www.airitibooks.com/Detail/Detail?PublicationID=P20190214025</v>
      </c>
    </row>
    <row r="1868" spans="1:11" ht="51" x14ac:dyDescent="0.4">
      <c r="A1868" s="10" t="s">
        <v>10645</v>
      </c>
      <c r="B1868" s="10" t="s">
        <v>10646</v>
      </c>
      <c r="C1868" s="10" t="s">
        <v>462</v>
      </c>
      <c r="D1868" s="10" t="s">
        <v>10647</v>
      </c>
      <c r="E1868" s="10" t="s">
        <v>7391</v>
      </c>
      <c r="F1868" s="10" t="s">
        <v>176</v>
      </c>
      <c r="G1868" s="10" t="s">
        <v>32</v>
      </c>
      <c r="H1868" s="7" t="s">
        <v>24</v>
      </c>
      <c r="I1868" s="7" t="s">
        <v>25</v>
      </c>
      <c r="J1868" s="13" t="str">
        <f>HYPERLINK("https://www.airitibooks.com/Detail/Detail?PublicationID=P20190214029", "https://www.airitibooks.com/Detail/Detail?PublicationID=P20190214029")</f>
        <v>https://www.airitibooks.com/Detail/Detail?PublicationID=P20190214029</v>
      </c>
      <c r="K1868" s="13" t="str">
        <f>HYPERLINK("https://ntsu.idm.oclc.org/login?url=https://www.airitibooks.com/Detail/Detail?PublicationID=P20190214029", "https://ntsu.idm.oclc.org/login?url=https://www.airitibooks.com/Detail/Detail?PublicationID=P20190214029")</f>
        <v>https://ntsu.idm.oclc.org/login?url=https://www.airitibooks.com/Detail/Detail?PublicationID=P20190214029</v>
      </c>
    </row>
    <row r="1869" spans="1:11" ht="51" x14ac:dyDescent="0.4">
      <c r="A1869" s="10" t="s">
        <v>10648</v>
      </c>
      <c r="B1869" s="10" t="s">
        <v>10649</v>
      </c>
      <c r="C1869" s="10" t="s">
        <v>462</v>
      </c>
      <c r="D1869" s="10" t="s">
        <v>10650</v>
      </c>
      <c r="E1869" s="10" t="s">
        <v>7391</v>
      </c>
      <c r="F1869" s="10" t="s">
        <v>185</v>
      </c>
      <c r="G1869" s="10" t="s">
        <v>32</v>
      </c>
      <c r="H1869" s="7" t="s">
        <v>24</v>
      </c>
      <c r="I1869" s="7" t="s">
        <v>25</v>
      </c>
      <c r="J1869" s="13" t="str">
        <f>HYPERLINK("https://www.airitibooks.com/Detail/Detail?PublicationID=P20190214031", "https://www.airitibooks.com/Detail/Detail?PublicationID=P20190214031")</f>
        <v>https://www.airitibooks.com/Detail/Detail?PublicationID=P20190214031</v>
      </c>
      <c r="K1869" s="13" t="str">
        <f>HYPERLINK("https://ntsu.idm.oclc.org/login?url=https://www.airitibooks.com/Detail/Detail?PublicationID=P20190214031", "https://ntsu.idm.oclc.org/login?url=https://www.airitibooks.com/Detail/Detail?PublicationID=P20190214031")</f>
        <v>https://ntsu.idm.oclc.org/login?url=https://www.airitibooks.com/Detail/Detail?PublicationID=P20190214031</v>
      </c>
    </row>
    <row r="1870" spans="1:11" ht="51" x14ac:dyDescent="0.4">
      <c r="A1870" s="10" t="s">
        <v>10651</v>
      </c>
      <c r="B1870" s="10" t="s">
        <v>10652</v>
      </c>
      <c r="C1870" s="10" t="s">
        <v>462</v>
      </c>
      <c r="D1870" s="10" t="s">
        <v>10653</v>
      </c>
      <c r="E1870" s="10" t="s">
        <v>7391</v>
      </c>
      <c r="F1870" s="10" t="s">
        <v>185</v>
      </c>
      <c r="G1870" s="10" t="s">
        <v>32</v>
      </c>
      <c r="H1870" s="7" t="s">
        <v>24</v>
      </c>
      <c r="I1870" s="7" t="s">
        <v>25</v>
      </c>
      <c r="J1870" s="13" t="str">
        <f>HYPERLINK("https://www.airitibooks.com/Detail/Detail?PublicationID=P20190214032", "https://www.airitibooks.com/Detail/Detail?PublicationID=P20190214032")</f>
        <v>https://www.airitibooks.com/Detail/Detail?PublicationID=P20190214032</v>
      </c>
      <c r="K1870" s="13" t="str">
        <f>HYPERLINK("https://ntsu.idm.oclc.org/login?url=https://www.airitibooks.com/Detail/Detail?PublicationID=P20190214032", "https://ntsu.idm.oclc.org/login?url=https://www.airitibooks.com/Detail/Detail?PublicationID=P20190214032")</f>
        <v>https://ntsu.idm.oclc.org/login?url=https://www.airitibooks.com/Detail/Detail?PublicationID=P20190214032</v>
      </c>
    </row>
    <row r="1871" spans="1:11" ht="51" x14ac:dyDescent="0.4">
      <c r="A1871" s="10" t="s">
        <v>10684</v>
      </c>
      <c r="B1871" s="10" t="s">
        <v>10685</v>
      </c>
      <c r="C1871" s="10" t="s">
        <v>462</v>
      </c>
      <c r="D1871" s="10" t="s">
        <v>10686</v>
      </c>
      <c r="E1871" s="10" t="s">
        <v>7391</v>
      </c>
      <c r="F1871" s="10" t="s">
        <v>10687</v>
      </c>
      <c r="G1871" s="10" t="s">
        <v>32</v>
      </c>
      <c r="H1871" s="7" t="s">
        <v>24</v>
      </c>
      <c r="I1871" s="7" t="s">
        <v>25</v>
      </c>
      <c r="J1871" s="13" t="str">
        <f>HYPERLINK("https://www.airitibooks.com/Detail/Detail?PublicationID=P20190214072", "https://www.airitibooks.com/Detail/Detail?PublicationID=P20190214072")</f>
        <v>https://www.airitibooks.com/Detail/Detail?PublicationID=P20190214072</v>
      </c>
      <c r="K1871" s="13" t="str">
        <f>HYPERLINK("https://ntsu.idm.oclc.org/login?url=https://www.airitibooks.com/Detail/Detail?PublicationID=P20190214072", "https://ntsu.idm.oclc.org/login?url=https://www.airitibooks.com/Detail/Detail?PublicationID=P20190214072")</f>
        <v>https://ntsu.idm.oclc.org/login?url=https://www.airitibooks.com/Detail/Detail?PublicationID=P20190214072</v>
      </c>
    </row>
    <row r="1872" spans="1:11" ht="51" x14ac:dyDescent="0.4">
      <c r="A1872" s="10" t="s">
        <v>10705</v>
      </c>
      <c r="B1872" s="10" t="s">
        <v>10706</v>
      </c>
      <c r="C1872" s="10" t="s">
        <v>848</v>
      </c>
      <c r="D1872" s="10" t="s">
        <v>10707</v>
      </c>
      <c r="E1872" s="10" t="s">
        <v>7391</v>
      </c>
      <c r="F1872" s="10" t="s">
        <v>2856</v>
      </c>
      <c r="G1872" s="10" t="s">
        <v>32</v>
      </c>
      <c r="H1872" s="7" t="s">
        <v>24</v>
      </c>
      <c r="I1872" s="7" t="s">
        <v>25</v>
      </c>
      <c r="J1872" s="13" t="str">
        <f>HYPERLINK("https://www.airitibooks.com/Detail/Detail?PublicationID=P20190214090", "https://www.airitibooks.com/Detail/Detail?PublicationID=P20190214090")</f>
        <v>https://www.airitibooks.com/Detail/Detail?PublicationID=P20190214090</v>
      </c>
      <c r="K1872" s="13" t="str">
        <f>HYPERLINK("https://ntsu.idm.oclc.org/login?url=https://www.airitibooks.com/Detail/Detail?PublicationID=P20190214090", "https://ntsu.idm.oclc.org/login?url=https://www.airitibooks.com/Detail/Detail?PublicationID=P20190214090")</f>
        <v>https://ntsu.idm.oclc.org/login?url=https://www.airitibooks.com/Detail/Detail?PublicationID=P20190214090</v>
      </c>
    </row>
    <row r="1873" spans="1:11" ht="51" x14ac:dyDescent="0.4">
      <c r="A1873" s="10" t="s">
        <v>10711</v>
      </c>
      <c r="B1873" s="10" t="s">
        <v>10712</v>
      </c>
      <c r="C1873" s="10" t="s">
        <v>848</v>
      </c>
      <c r="D1873" s="10" t="s">
        <v>10713</v>
      </c>
      <c r="E1873" s="10" t="s">
        <v>7391</v>
      </c>
      <c r="F1873" s="10" t="s">
        <v>289</v>
      </c>
      <c r="G1873" s="10" t="s">
        <v>32</v>
      </c>
      <c r="H1873" s="7" t="s">
        <v>24</v>
      </c>
      <c r="I1873" s="7" t="s">
        <v>25</v>
      </c>
      <c r="J1873" s="13" t="str">
        <f>HYPERLINK("https://www.airitibooks.com/Detail/Detail?PublicationID=P20190214092", "https://www.airitibooks.com/Detail/Detail?PublicationID=P20190214092")</f>
        <v>https://www.airitibooks.com/Detail/Detail?PublicationID=P20190214092</v>
      </c>
      <c r="K1873" s="13" t="str">
        <f>HYPERLINK("https://ntsu.idm.oclc.org/login?url=https://www.airitibooks.com/Detail/Detail?PublicationID=P20190214092", "https://ntsu.idm.oclc.org/login?url=https://www.airitibooks.com/Detail/Detail?PublicationID=P20190214092")</f>
        <v>https://ntsu.idm.oclc.org/login?url=https://www.airitibooks.com/Detail/Detail?PublicationID=P20190214092</v>
      </c>
    </row>
    <row r="1874" spans="1:11" ht="51" x14ac:dyDescent="0.4">
      <c r="A1874" s="10" t="s">
        <v>10742</v>
      </c>
      <c r="B1874" s="10" t="s">
        <v>10743</v>
      </c>
      <c r="C1874" s="10" t="s">
        <v>938</v>
      </c>
      <c r="D1874" s="10" t="s">
        <v>10744</v>
      </c>
      <c r="E1874" s="10" t="s">
        <v>7391</v>
      </c>
      <c r="F1874" s="10" t="s">
        <v>4038</v>
      </c>
      <c r="G1874" s="10" t="s">
        <v>32</v>
      </c>
      <c r="H1874" s="7" t="s">
        <v>24</v>
      </c>
      <c r="I1874" s="7" t="s">
        <v>25</v>
      </c>
      <c r="J1874" s="13" t="str">
        <f>HYPERLINK("https://www.airitibooks.com/Detail/Detail?PublicationID=P20190218016", "https://www.airitibooks.com/Detail/Detail?PublicationID=P20190218016")</f>
        <v>https://www.airitibooks.com/Detail/Detail?PublicationID=P20190218016</v>
      </c>
      <c r="K1874" s="13" t="str">
        <f>HYPERLINK("https://ntsu.idm.oclc.org/login?url=https://www.airitibooks.com/Detail/Detail?PublicationID=P20190218016", "https://ntsu.idm.oclc.org/login?url=https://www.airitibooks.com/Detail/Detail?PublicationID=P20190218016")</f>
        <v>https://ntsu.idm.oclc.org/login?url=https://www.airitibooks.com/Detail/Detail?PublicationID=P20190218016</v>
      </c>
    </row>
    <row r="1875" spans="1:11" ht="51" x14ac:dyDescent="0.4">
      <c r="A1875" s="10" t="s">
        <v>10745</v>
      </c>
      <c r="B1875" s="10" t="s">
        <v>10746</v>
      </c>
      <c r="C1875" s="10" t="s">
        <v>938</v>
      </c>
      <c r="D1875" s="10" t="s">
        <v>5263</v>
      </c>
      <c r="E1875" s="10" t="s">
        <v>7391</v>
      </c>
      <c r="F1875" s="10" t="s">
        <v>181</v>
      </c>
      <c r="G1875" s="10" t="s">
        <v>32</v>
      </c>
      <c r="H1875" s="7" t="s">
        <v>24</v>
      </c>
      <c r="I1875" s="7" t="s">
        <v>25</v>
      </c>
      <c r="J1875" s="13" t="str">
        <f>HYPERLINK("https://www.airitibooks.com/Detail/Detail?PublicationID=P20190218019", "https://www.airitibooks.com/Detail/Detail?PublicationID=P20190218019")</f>
        <v>https://www.airitibooks.com/Detail/Detail?PublicationID=P20190218019</v>
      </c>
      <c r="K1875" s="13" t="str">
        <f>HYPERLINK("https://ntsu.idm.oclc.org/login?url=https://www.airitibooks.com/Detail/Detail?PublicationID=P20190218019", "https://ntsu.idm.oclc.org/login?url=https://www.airitibooks.com/Detail/Detail?PublicationID=P20190218019")</f>
        <v>https://ntsu.idm.oclc.org/login?url=https://www.airitibooks.com/Detail/Detail?PublicationID=P20190218019</v>
      </c>
    </row>
    <row r="1876" spans="1:11" ht="51" x14ac:dyDescent="0.4">
      <c r="A1876" s="10" t="s">
        <v>10762</v>
      </c>
      <c r="B1876" s="10" t="s">
        <v>10763</v>
      </c>
      <c r="C1876" s="10" t="s">
        <v>152</v>
      </c>
      <c r="D1876" s="10" t="s">
        <v>10764</v>
      </c>
      <c r="E1876" s="10" t="s">
        <v>7391</v>
      </c>
      <c r="F1876" s="10" t="s">
        <v>181</v>
      </c>
      <c r="G1876" s="10" t="s">
        <v>32</v>
      </c>
      <c r="H1876" s="7" t="s">
        <v>24</v>
      </c>
      <c r="I1876" s="7" t="s">
        <v>25</v>
      </c>
      <c r="J1876" s="13" t="str">
        <f>HYPERLINK("https://www.airitibooks.com/Detail/Detail?PublicationID=P20190218042", "https://www.airitibooks.com/Detail/Detail?PublicationID=P20190218042")</f>
        <v>https://www.airitibooks.com/Detail/Detail?PublicationID=P20190218042</v>
      </c>
      <c r="K1876" s="13" t="str">
        <f>HYPERLINK("https://ntsu.idm.oclc.org/login?url=https://www.airitibooks.com/Detail/Detail?PublicationID=P20190218042", "https://ntsu.idm.oclc.org/login?url=https://www.airitibooks.com/Detail/Detail?PublicationID=P20190218042")</f>
        <v>https://ntsu.idm.oclc.org/login?url=https://www.airitibooks.com/Detail/Detail?PublicationID=P20190218042</v>
      </c>
    </row>
    <row r="1877" spans="1:11" ht="51" x14ac:dyDescent="0.4">
      <c r="A1877" s="10" t="s">
        <v>10765</v>
      </c>
      <c r="B1877" s="10" t="s">
        <v>10766</v>
      </c>
      <c r="C1877" s="10" t="s">
        <v>152</v>
      </c>
      <c r="D1877" s="10" t="s">
        <v>10767</v>
      </c>
      <c r="E1877" s="10" t="s">
        <v>7391</v>
      </c>
      <c r="F1877" s="10" t="s">
        <v>181</v>
      </c>
      <c r="G1877" s="10" t="s">
        <v>32</v>
      </c>
      <c r="H1877" s="7" t="s">
        <v>24</v>
      </c>
      <c r="I1877" s="7" t="s">
        <v>25</v>
      </c>
      <c r="J1877" s="13" t="str">
        <f>HYPERLINK("https://www.airitibooks.com/Detail/Detail?PublicationID=P20190218047", "https://www.airitibooks.com/Detail/Detail?PublicationID=P20190218047")</f>
        <v>https://www.airitibooks.com/Detail/Detail?PublicationID=P20190218047</v>
      </c>
      <c r="K1877" s="13" t="str">
        <f>HYPERLINK("https://ntsu.idm.oclc.org/login?url=https://www.airitibooks.com/Detail/Detail?PublicationID=P20190218047", "https://ntsu.idm.oclc.org/login?url=https://www.airitibooks.com/Detail/Detail?PublicationID=P20190218047")</f>
        <v>https://ntsu.idm.oclc.org/login?url=https://www.airitibooks.com/Detail/Detail?PublicationID=P20190218047</v>
      </c>
    </row>
    <row r="1878" spans="1:11" ht="51" x14ac:dyDescent="0.4">
      <c r="A1878" s="10" t="s">
        <v>10768</v>
      </c>
      <c r="B1878" s="10" t="s">
        <v>10769</v>
      </c>
      <c r="C1878" s="10" t="s">
        <v>152</v>
      </c>
      <c r="D1878" s="10" t="s">
        <v>10770</v>
      </c>
      <c r="E1878" s="10" t="s">
        <v>7391</v>
      </c>
      <c r="F1878" s="10" t="s">
        <v>181</v>
      </c>
      <c r="G1878" s="10" t="s">
        <v>32</v>
      </c>
      <c r="H1878" s="7" t="s">
        <v>24</v>
      </c>
      <c r="I1878" s="7" t="s">
        <v>25</v>
      </c>
      <c r="J1878" s="13" t="str">
        <f>HYPERLINK("https://www.airitibooks.com/Detail/Detail?PublicationID=P20190218049", "https://www.airitibooks.com/Detail/Detail?PublicationID=P20190218049")</f>
        <v>https://www.airitibooks.com/Detail/Detail?PublicationID=P20190218049</v>
      </c>
      <c r="K1878" s="13" t="str">
        <f>HYPERLINK("https://ntsu.idm.oclc.org/login?url=https://www.airitibooks.com/Detail/Detail?PublicationID=P20190218049", "https://ntsu.idm.oclc.org/login?url=https://www.airitibooks.com/Detail/Detail?PublicationID=P20190218049")</f>
        <v>https://ntsu.idm.oclc.org/login?url=https://www.airitibooks.com/Detail/Detail?PublicationID=P20190218049</v>
      </c>
    </row>
    <row r="1879" spans="1:11" ht="51" x14ac:dyDescent="0.4">
      <c r="A1879" s="10" t="s">
        <v>10771</v>
      </c>
      <c r="B1879" s="10" t="s">
        <v>10772</v>
      </c>
      <c r="C1879" s="10" t="s">
        <v>152</v>
      </c>
      <c r="D1879" s="10" t="s">
        <v>10773</v>
      </c>
      <c r="E1879" s="10" t="s">
        <v>7391</v>
      </c>
      <c r="F1879" s="10" t="s">
        <v>181</v>
      </c>
      <c r="G1879" s="10" t="s">
        <v>32</v>
      </c>
      <c r="H1879" s="7" t="s">
        <v>24</v>
      </c>
      <c r="I1879" s="7" t="s">
        <v>25</v>
      </c>
      <c r="J1879" s="13" t="str">
        <f>HYPERLINK("https://www.airitibooks.com/Detail/Detail?PublicationID=P20190218051", "https://www.airitibooks.com/Detail/Detail?PublicationID=P20190218051")</f>
        <v>https://www.airitibooks.com/Detail/Detail?PublicationID=P20190218051</v>
      </c>
      <c r="K1879" s="13" t="str">
        <f>HYPERLINK("https://ntsu.idm.oclc.org/login?url=https://www.airitibooks.com/Detail/Detail?PublicationID=P20190218051", "https://ntsu.idm.oclc.org/login?url=https://www.airitibooks.com/Detail/Detail?PublicationID=P20190218051")</f>
        <v>https://ntsu.idm.oclc.org/login?url=https://www.airitibooks.com/Detail/Detail?PublicationID=P20190218051</v>
      </c>
    </row>
    <row r="1880" spans="1:11" ht="51" x14ac:dyDescent="0.4">
      <c r="A1880" s="10" t="s">
        <v>10784</v>
      </c>
      <c r="B1880" s="10" t="s">
        <v>10785</v>
      </c>
      <c r="C1880" s="10" t="s">
        <v>3670</v>
      </c>
      <c r="D1880" s="10" t="s">
        <v>10786</v>
      </c>
      <c r="E1880" s="10" t="s">
        <v>7391</v>
      </c>
      <c r="F1880" s="10" t="s">
        <v>2628</v>
      </c>
      <c r="G1880" s="10" t="s">
        <v>32</v>
      </c>
      <c r="H1880" s="7" t="s">
        <v>24</v>
      </c>
      <c r="I1880" s="7" t="s">
        <v>25</v>
      </c>
      <c r="J1880" s="13" t="str">
        <f>HYPERLINK("https://www.airitibooks.com/Detail/Detail?PublicationID=P20190220004", "https://www.airitibooks.com/Detail/Detail?PublicationID=P20190220004")</f>
        <v>https://www.airitibooks.com/Detail/Detail?PublicationID=P20190220004</v>
      </c>
      <c r="K1880" s="13" t="str">
        <f>HYPERLINK("https://ntsu.idm.oclc.org/login?url=https://www.airitibooks.com/Detail/Detail?PublicationID=P20190220004", "https://ntsu.idm.oclc.org/login?url=https://www.airitibooks.com/Detail/Detail?PublicationID=P20190220004")</f>
        <v>https://ntsu.idm.oclc.org/login?url=https://www.airitibooks.com/Detail/Detail?PublicationID=P20190220004</v>
      </c>
    </row>
    <row r="1881" spans="1:11" ht="51" x14ac:dyDescent="0.4">
      <c r="A1881" s="10" t="s">
        <v>10787</v>
      </c>
      <c r="B1881" s="10" t="s">
        <v>10788</v>
      </c>
      <c r="C1881" s="10" t="s">
        <v>3670</v>
      </c>
      <c r="D1881" s="10" t="s">
        <v>2368</v>
      </c>
      <c r="E1881" s="10" t="s">
        <v>7391</v>
      </c>
      <c r="F1881" s="10" t="s">
        <v>2628</v>
      </c>
      <c r="G1881" s="10" t="s">
        <v>32</v>
      </c>
      <c r="H1881" s="7" t="s">
        <v>24</v>
      </c>
      <c r="I1881" s="7" t="s">
        <v>25</v>
      </c>
      <c r="J1881" s="13" t="str">
        <f>HYPERLINK("https://www.airitibooks.com/Detail/Detail?PublicationID=P20190220006", "https://www.airitibooks.com/Detail/Detail?PublicationID=P20190220006")</f>
        <v>https://www.airitibooks.com/Detail/Detail?PublicationID=P20190220006</v>
      </c>
      <c r="K1881" s="13" t="str">
        <f>HYPERLINK("https://ntsu.idm.oclc.org/login?url=https://www.airitibooks.com/Detail/Detail?PublicationID=P20190220006", "https://ntsu.idm.oclc.org/login?url=https://www.airitibooks.com/Detail/Detail?PublicationID=P20190220006")</f>
        <v>https://ntsu.idm.oclc.org/login?url=https://www.airitibooks.com/Detail/Detail?PublicationID=P20190220006</v>
      </c>
    </row>
    <row r="1882" spans="1:11" ht="51" x14ac:dyDescent="0.4">
      <c r="A1882" s="10" t="s">
        <v>10789</v>
      </c>
      <c r="B1882" s="10" t="s">
        <v>10790</v>
      </c>
      <c r="C1882" s="10" t="s">
        <v>3670</v>
      </c>
      <c r="D1882" s="10" t="s">
        <v>2368</v>
      </c>
      <c r="E1882" s="10" t="s">
        <v>7391</v>
      </c>
      <c r="F1882" s="10" t="s">
        <v>2628</v>
      </c>
      <c r="G1882" s="10" t="s">
        <v>32</v>
      </c>
      <c r="H1882" s="7" t="s">
        <v>24</v>
      </c>
      <c r="I1882" s="7" t="s">
        <v>25</v>
      </c>
      <c r="J1882" s="13" t="str">
        <f>HYPERLINK("https://www.airitibooks.com/Detail/Detail?PublicationID=P20190220007", "https://www.airitibooks.com/Detail/Detail?PublicationID=P20190220007")</f>
        <v>https://www.airitibooks.com/Detail/Detail?PublicationID=P20190220007</v>
      </c>
      <c r="K1882" s="13" t="str">
        <f>HYPERLINK("https://ntsu.idm.oclc.org/login?url=https://www.airitibooks.com/Detail/Detail?PublicationID=P20190220007", "https://ntsu.idm.oclc.org/login?url=https://www.airitibooks.com/Detail/Detail?PublicationID=P20190220007")</f>
        <v>https://ntsu.idm.oclc.org/login?url=https://www.airitibooks.com/Detail/Detail?PublicationID=P20190220007</v>
      </c>
    </row>
    <row r="1883" spans="1:11" ht="51" x14ac:dyDescent="0.4">
      <c r="A1883" s="10" t="s">
        <v>10791</v>
      </c>
      <c r="B1883" s="10" t="s">
        <v>10792</v>
      </c>
      <c r="C1883" s="10" t="s">
        <v>3670</v>
      </c>
      <c r="D1883" s="10" t="s">
        <v>10793</v>
      </c>
      <c r="E1883" s="10" t="s">
        <v>7391</v>
      </c>
      <c r="F1883" s="10" t="s">
        <v>2628</v>
      </c>
      <c r="G1883" s="10" t="s">
        <v>32</v>
      </c>
      <c r="H1883" s="7" t="s">
        <v>24</v>
      </c>
      <c r="I1883" s="7" t="s">
        <v>25</v>
      </c>
      <c r="J1883" s="13" t="str">
        <f>HYPERLINK("https://www.airitibooks.com/Detail/Detail?PublicationID=P20190220013", "https://www.airitibooks.com/Detail/Detail?PublicationID=P20190220013")</f>
        <v>https://www.airitibooks.com/Detail/Detail?PublicationID=P20190220013</v>
      </c>
      <c r="K1883" s="13" t="str">
        <f>HYPERLINK("https://ntsu.idm.oclc.org/login?url=https://www.airitibooks.com/Detail/Detail?PublicationID=P20190220013", "https://ntsu.idm.oclc.org/login?url=https://www.airitibooks.com/Detail/Detail?PublicationID=P20190220013")</f>
        <v>https://ntsu.idm.oclc.org/login?url=https://www.airitibooks.com/Detail/Detail?PublicationID=P20190220013</v>
      </c>
    </row>
    <row r="1884" spans="1:11" ht="51" x14ac:dyDescent="0.4">
      <c r="A1884" s="10" t="s">
        <v>10794</v>
      </c>
      <c r="B1884" s="10" t="s">
        <v>10795</v>
      </c>
      <c r="C1884" s="10" t="s">
        <v>2367</v>
      </c>
      <c r="D1884" s="10" t="s">
        <v>10796</v>
      </c>
      <c r="E1884" s="10" t="s">
        <v>7391</v>
      </c>
      <c r="F1884" s="10" t="s">
        <v>575</v>
      </c>
      <c r="G1884" s="10" t="s">
        <v>32</v>
      </c>
      <c r="H1884" s="7" t="s">
        <v>24</v>
      </c>
      <c r="I1884" s="7" t="s">
        <v>25</v>
      </c>
      <c r="J1884" s="13" t="str">
        <f>HYPERLINK("https://www.airitibooks.com/Detail/Detail?PublicationID=P20190220016", "https://www.airitibooks.com/Detail/Detail?PublicationID=P20190220016")</f>
        <v>https://www.airitibooks.com/Detail/Detail?PublicationID=P20190220016</v>
      </c>
      <c r="K1884" s="13" t="str">
        <f>HYPERLINK("https://ntsu.idm.oclc.org/login?url=https://www.airitibooks.com/Detail/Detail?PublicationID=P20190220016", "https://ntsu.idm.oclc.org/login?url=https://www.airitibooks.com/Detail/Detail?PublicationID=P20190220016")</f>
        <v>https://ntsu.idm.oclc.org/login?url=https://www.airitibooks.com/Detail/Detail?PublicationID=P20190220016</v>
      </c>
    </row>
    <row r="1885" spans="1:11" ht="68" x14ac:dyDescent="0.4">
      <c r="A1885" s="10" t="s">
        <v>10810</v>
      </c>
      <c r="B1885" s="10" t="s">
        <v>10811</v>
      </c>
      <c r="C1885" s="10" t="s">
        <v>1067</v>
      </c>
      <c r="D1885" s="10" t="s">
        <v>3809</v>
      </c>
      <c r="E1885" s="10" t="s">
        <v>7391</v>
      </c>
      <c r="F1885" s="10" t="s">
        <v>10812</v>
      </c>
      <c r="G1885" s="10" t="s">
        <v>32</v>
      </c>
      <c r="H1885" s="7" t="s">
        <v>24</v>
      </c>
      <c r="I1885" s="7" t="s">
        <v>25</v>
      </c>
      <c r="J1885" s="13" t="str">
        <f>HYPERLINK("https://www.airitibooks.com/Detail/Detail?PublicationID=P20190220036", "https://www.airitibooks.com/Detail/Detail?PublicationID=P20190220036")</f>
        <v>https://www.airitibooks.com/Detail/Detail?PublicationID=P20190220036</v>
      </c>
      <c r="K1885" s="13" t="str">
        <f>HYPERLINK("https://ntsu.idm.oclc.org/login?url=https://www.airitibooks.com/Detail/Detail?PublicationID=P20190220036", "https://ntsu.idm.oclc.org/login?url=https://www.airitibooks.com/Detail/Detail?PublicationID=P20190220036")</f>
        <v>https://ntsu.idm.oclc.org/login?url=https://www.airitibooks.com/Detail/Detail?PublicationID=P20190220036</v>
      </c>
    </row>
    <row r="1886" spans="1:11" ht="68" x14ac:dyDescent="0.4">
      <c r="A1886" s="10" t="s">
        <v>10813</v>
      </c>
      <c r="B1886" s="10" t="s">
        <v>10814</v>
      </c>
      <c r="C1886" s="10" t="s">
        <v>1067</v>
      </c>
      <c r="D1886" s="10" t="s">
        <v>2363</v>
      </c>
      <c r="E1886" s="10" t="s">
        <v>7391</v>
      </c>
      <c r="F1886" s="10" t="s">
        <v>185</v>
      </c>
      <c r="G1886" s="10" t="s">
        <v>32</v>
      </c>
      <c r="H1886" s="7" t="s">
        <v>24</v>
      </c>
      <c r="I1886" s="7" t="s">
        <v>25</v>
      </c>
      <c r="J1886" s="13" t="str">
        <f>HYPERLINK("https://www.airitibooks.com/Detail/Detail?PublicationID=P20190220038", "https://www.airitibooks.com/Detail/Detail?PublicationID=P20190220038")</f>
        <v>https://www.airitibooks.com/Detail/Detail?PublicationID=P20190220038</v>
      </c>
      <c r="K1886" s="13" t="str">
        <f>HYPERLINK("https://ntsu.idm.oclc.org/login?url=https://www.airitibooks.com/Detail/Detail?PublicationID=P20190220038", "https://ntsu.idm.oclc.org/login?url=https://www.airitibooks.com/Detail/Detail?PublicationID=P20190220038")</f>
        <v>https://ntsu.idm.oclc.org/login?url=https://www.airitibooks.com/Detail/Detail?PublicationID=P20190220038</v>
      </c>
    </row>
    <row r="1887" spans="1:11" ht="85" x14ac:dyDescent="0.4">
      <c r="A1887" s="10" t="s">
        <v>10815</v>
      </c>
      <c r="B1887" s="10" t="s">
        <v>10816</v>
      </c>
      <c r="C1887" s="10" t="s">
        <v>1067</v>
      </c>
      <c r="D1887" s="10" t="s">
        <v>3809</v>
      </c>
      <c r="E1887" s="10" t="s">
        <v>7391</v>
      </c>
      <c r="F1887" s="10" t="s">
        <v>3810</v>
      </c>
      <c r="G1887" s="10" t="s">
        <v>32</v>
      </c>
      <c r="H1887" s="7" t="s">
        <v>24</v>
      </c>
      <c r="I1887" s="7" t="s">
        <v>25</v>
      </c>
      <c r="J1887" s="13" t="str">
        <f>HYPERLINK("https://www.airitibooks.com/Detail/Detail?PublicationID=P20190220040", "https://www.airitibooks.com/Detail/Detail?PublicationID=P20190220040")</f>
        <v>https://www.airitibooks.com/Detail/Detail?PublicationID=P20190220040</v>
      </c>
      <c r="K1887" s="13" t="str">
        <f>HYPERLINK("https://ntsu.idm.oclc.org/login?url=https://www.airitibooks.com/Detail/Detail?PublicationID=P20190220040", "https://ntsu.idm.oclc.org/login?url=https://www.airitibooks.com/Detail/Detail?PublicationID=P20190220040")</f>
        <v>https://ntsu.idm.oclc.org/login?url=https://www.airitibooks.com/Detail/Detail?PublicationID=P20190220040</v>
      </c>
    </row>
    <row r="1888" spans="1:11" ht="51" x14ac:dyDescent="0.4">
      <c r="A1888" s="10" t="s">
        <v>10932</v>
      </c>
      <c r="B1888" s="10" t="s">
        <v>10933</v>
      </c>
      <c r="C1888" s="10" t="s">
        <v>141</v>
      </c>
      <c r="D1888" s="10" t="s">
        <v>1953</v>
      </c>
      <c r="E1888" s="10" t="s">
        <v>7391</v>
      </c>
      <c r="F1888" s="10" t="s">
        <v>575</v>
      </c>
      <c r="G1888" s="10" t="s">
        <v>32</v>
      </c>
      <c r="H1888" s="7" t="s">
        <v>24</v>
      </c>
      <c r="I1888" s="7" t="s">
        <v>25</v>
      </c>
      <c r="J1888" s="13" t="str">
        <f>HYPERLINK("https://www.airitibooks.com/Detail/Detail?PublicationID=P20190322052", "https://www.airitibooks.com/Detail/Detail?PublicationID=P20190322052")</f>
        <v>https://www.airitibooks.com/Detail/Detail?PublicationID=P20190322052</v>
      </c>
      <c r="K1888" s="13" t="str">
        <f>HYPERLINK("https://ntsu.idm.oclc.org/login?url=https://www.airitibooks.com/Detail/Detail?PublicationID=P20190322052", "https://ntsu.idm.oclc.org/login?url=https://www.airitibooks.com/Detail/Detail?PublicationID=P20190322052")</f>
        <v>https://ntsu.idm.oclc.org/login?url=https://www.airitibooks.com/Detail/Detail?PublicationID=P20190322052</v>
      </c>
    </row>
    <row r="1889" spans="1:11" ht="51" x14ac:dyDescent="0.4">
      <c r="A1889" s="10" t="s">
        <v>11027</v>
      </c>
      <c r="B1889" s="10" t="s">
        <v>11028</v>
      </c>
      <c r="C1889" s="10" t="s">
        <v>3705</v>
      </c>
      <c r="D1889" s="10" t="s">
        <v>11029</v>
      </c>
      <c r="E1889" s="10" t="s">
        <v>7391</v>
      </c>
      <c r="F1889" s="10" t="s">
        <v>1535</v>
      </c>
      <c r="G1889" s="10" t="s">
        <v>32</v>
      </c>
      <c r="H1889" s="7" t="s">
        <v>24</v>
      </c>
      <c r="I1889" s="7" t="s">
        <v>25</v>
      </c>
      <c r="J1889" s="13" t="str">
        <f>HYPERLINK("https://www.airitibooks.com/Detail/Detail?PublicationID=P20190412043", "https://www.airitibooks.com/Detail/Detail?PublicationID=P20190412043")</f>
        <v>https://www.airitibooks.com/Detail/Detail?PublicationID=P20190412043</v>
      </c>
      <c r="K1889" s="13" t="str">
        <f>HYPERLINK("https://ntsu.idm.oclc.org/login?url=https://www.airitibooks.com/Detail/Detail?PublicationID=P20190412043", "https://ntsu.idm.oclc.org/login?url=https://www.airitibooks.com/Detail/Detail?PublicationID=P20190412043")</f>
        <v>https://ntsu.idm.oclc.org/login?url=https://www.airitibooks.com/Detail/Detail?PublicationID=P20190412043</v>
      </c>
    </row>
    <row r="1890" spans="1:11" ht="51" x14ac:dyDescent="0.4">
      <c r="A1890" s="10" t="s">
        <v>11032</v>
      </c>
      <c r="B1890" s="10" t="s">
        <v>11033</v>
      </c>
      <c r="C1890" s="10" t="s">
        <v>3705</v>
      </c>
      <c r="D1890" s="10" t="s">
        <v>11034</v>
      </c>
      <c r="E1890" s="10" t="s">
        <v>7391</v>
      </c>
      <c r="F1890" s="10" t="s">
        <v>6820</v>
      </c>
      <c r="G1890" s="10" t="s">
        <v>32</v>
      </c>
      <c r="H1890" s="7" t="s">
        <v>24</v>
      </c>
      <c r="I1890" s="7" t="s">
        <v>25</v>
      </c>
      <c r="J1890" s="13" t="str">
        <f>HYPERLINK("https://www.airitibooks.com/Detail/Detail?PublicationID=P20190412045", "https://www.airitibooks.com/Detail/Detail?PublicationID=P20190412045")</f>
        <v>https://www.airitibooks.com/Detail/Detail?PublicationID=P20190412045</v>
      </c>
      <c r="K1890" s="13" t="str">
        <f>HYPERLINK("https://ntsu.idm.oclc.org/login?url=https://www.airitibooks.com/Detail/Detail?PublicationID=P20190412045", "https://ntsu.idm.oclc.org/login?url=https://www.airitibooks.com/Detail/Detail?PublicationID=P20190412045")</f>
        <v>https://ntsu.idm.oclc.org/login?url=https://www.airitibooks.com/Detail/Detail?PublicationID=P20190412045</v>
      </c>
    </row>
    <row r="1891" spans="1:11" ht="51" x14ac:dyDescent="0.4">
      <c r="A1891" s="10" t="s">
        <v>11218</v>
      </c>
      <c r="B1891" s="10" t="s">
        <v>11219</v>
      </c>
      <c r="C1891" s="10" t="s">
        <v>11191</v>
      </c>
      <c r="D1891" s="10" t="s">
        <v>11220</v>
      </c>
      <c r="E1891" s="10" t="s">
        <v>7391</v>
      </c>
      <c r="F1891" s="10" t="s">
        <v>172</v>
      </c>
      <c r="G1891" s="10" t="s">
        <v>32</v>
      </c>
      <c r="H1891" s="7" t="s">
        <v>24</v>
      </c>
      <c r="I1891" s="7" t="s">
        <v>25</v>
      </c>
      <c r="J1891" s="13" t="str">
        <f>HYPERLINK("https://www.airitibooks.com/Detail/Detail?PublicationID=P20190425140", "https://www.airitibooks.com/Detail/Detail?PublicationID=P20190425140")</f>
        <v>https://www.airitibooks.com/Detail/Detail?PublicationID=P20190425140</v>
      </c>
      <c r="K1891" s="13" t="str">
        <f>HYPERLINK("https://ntsu.idm.oclc.org/login?url=https://www.airitibooks.com/Detail/Detail?PublicationID=P20190425140", "https://ntsu.idm.oclc.org/login?url=https://www.airitibooks.com/Detail/Detail?PublicationID=P20190425140")</f>
        <v>https://ntsu.idm.oclc.org/login?url=https://www.airitibooks.com/Detail/Detail?PublicationID=P20190425140</v>
      </c>
    </row>
    <row r="1892" spans="1:11" ht="51" x14ac:dyDescent="0.4">
      <c r="A1892" s="10" t="s">
        <v>11254</v>
      </c>
      <c r="B1892" s="10" t="s">
        <v>11255</v>
      </c>
      <c r="C1892" s="10" t="s">
        <v>1504</v>
      </c>
      <c r="D1892" s="10" t="s">
        <v>11256</v>
      </c>
      <c r="E1892" s="10" t="s">
        <v>7391</v>
      </c>
      <c r="F1892" s="10" t="s">
        <v>181</v>
      </c>
      <c r="G1892" s="10" t="s">
        <v>32</v>
      </c>
      <c r="H1892" s="7" t="s">
        <v>24</v>
      </c>
      <c r="I1892" s="7" t="s">
        <v>25</v>
      </c>
      <c r="J1892" s="13" t="str">
        <f>HYPERLINK("https://www.airitibooks.com/Detail/Detail?PublicationID=P20190503045", "https://www.airitibooks.com/Detail/Detail?PublicationID=P20190503045")</f>
        <v>https://www.airitibooks.com/Detail/Detail?PublicationID=P20190503045</v>
      </c>
      <c r="K1892" s="13" t="str">
        <f>HYPERLINK("https://ntsu.idm.oclc.org/login?url=https://www.airitibooks.com/Detail/Detail?PublicationID=P20190503045", "https://ntsu.idm.oclc.org/login?url=https://www.airitibooks.com/Detail/Detail?PublicationID=P20190503045")</f>
        <v>https://ntsu.idm.oclc.org/login?url=https://www.airitibooks.com/Detail/Detail?PublicationID=P20190503045</v>
      </c>
    </row>
    <row r="1893" spans="1:11" ht="85" x14ac:dyDescent="0.4">
      <c r="A1893" s="10" t="s">
        <v>11275</v>
      </c>
      <c r="B1893" s="10" t="s">
        <v>11276</v>
      </c>
      <c r="C1893" s="10" t="s">
        <v>1504</v>
      </c>
      <c r="D1893" s="10" t="s">
        <v>6921</v>
      </c>
      <c r="E1893" s="10" t="s">
        <v>7391</v>
      </c>
      <c r="F1893" s="10" t="s">
        <v>575</v>
      </c>
      <c r="G1893" s="10" t="s">
        <v>32</v>
      </c>
      <c r="H1893" s="7" t="s">
        <v>24</v>
      </c>
      <c r="I1893" s="7" t="s">
        <v>25</v>
      </c>
      <c r="J1893" s="13" t="str">
        <f>HYPERLINK("https://www.airitibooks.com/Detail/Detail?PublicationID=P20190503056", "https://www.airitibooks.com/Detail/Detail?PublicationID=P20190503056")</f>
        <v>https://www.airitibooks.com/Detail/Detail?PublicationID=P20190503056</v>
      </c>
      <c r="K1893" s="13" t="str">
        <f>HYPERLINK("https://ntsu.idm.oclc.org/login?url=https://www.airitibooks.com/Detail/Detail?PublicationID=P20190503056", "https://ntsu.idm.oclc.org/login?url=https://www.airitibooks.com/Detail/Detail?PublicationID=P20190503056")</f>
        <v>https://ntsu.idm.oclc.org/login?url=https://www.airitibooks.com/Detail/Detail?PublicationID=P20190503056</v>
      </c>
    </row>
    <row r="1894" spans="1:11" ht="51" x14ac:dyDescent="0.4">
      <c r="A1894" s="10" t="s">
        <v>11325</v>
      </c>
      <c r="B1894" s="10" t="s">
        <v>11326</v>
      </c>
      <c r="C1894" s="10" t="s">
        <v>11191</v>
      </c>
      <c r="D1894" s="10" t="s">
        <v>11327</v>
      </c>
      <c r="E1894" s="10" t="s">
        <v>7391</v>
      </c>
      <c r="F1894" s="10" t="s">
        <v>2121</v>
      </c>
      <c r="G1894" s="10" t="s">
        <v>32</v>
      </c>
      <c r="H1894" s="7" t="s">
        <v>24</v>
      </c>
      <c r="I1894" s="7" t="s">
        <v>25</v>
      </c>
      <c r="J1894" s="13" t="str">
        <f>HYPERLINK("https://www.airitibooks.com/Detail/Detail?PublicationID=P20190510147", "https://www.airitibooks.com/Detail/Detail?PublicationID=P20190510147")</f>
        <v>https://www.airitibooks.com/Detail/Detail?PublicationID=P20190510147</v>
      </c>
      <c r="K1894" s="13" t="str">
        <f>HYPERLINK("https://ntsu.idm.oclc.org/login?url=https://www.airitibooks.com/Detail/Detail?PublicationID=P20190510147", "https://ntsu.idm.oclc.org/login?url=https://www.airitibooks.com/Detail/Detail?PublicationID=P20190510147")</f>
        <v>https://ntsu.idm.oclc.org/login?url=https://www.airitibooks.com/Detail/Detail?PublicationID=P20190510147</v>
      </c>
    </row>
    <row r="1895" spans="1:11" ht="51" x14ac:dyDescent="0.4">
      <c r="A1895" s="10" t="s">
        <v>11394</v>
      </c>
      <c r="B1895" s="10" t="s">
        <v>11395</v>
      </c>
      <c r="C1895" s="10" t="s">
        <v>9828</v>
      </c>
      <c r="D1895" s="10" t="s">
        <v>11396</v>
      </c>
      <c r="E1895" s="10" t="s">
        <v>7391</v>
      </c>
      <c r="F1895" s="10" t="s">
        <v>181</v>
      </c>
      <c r="G1895" s="10" t="s">
        <v>32</v>
      </c>
      <c r="H1895" s="7" t="s">
        <v>1031</v>
      </c>
      <c r="I1895" s="7" t="s">
        <v>25</v>
      </c>
      <c r="J1895" s="13" t="str">
        <f>HYPERLINK("https://www.airitibooks.com/Detail/Detail?PublicationID=P20190521004", "https://www.airitibooks.com/Detail/Detail?PublicationID=P20190521004")</f>
        <v>https://www.airitibooks.com/Detail/Detail?PublicationID=P20190521004</v>
      </c>
      <c r="K1895" s="13" t="str">
        <f>HYPERLINK("https://ntsu.idm.oclc.org/login?url=https://www.airitibooks.com/Detail/Detail?PublicationID=P20190521004", "https://ntsu.idm.oclc.org/login?url=https://www.airitibooks.com/Detail/Detail?PublicationID=P20190521004")</f>
        <v>https://ntsu.idm.oclc.org/login?url=https://www.airitibooks.com/Detail/Detail?PublicationID=P20190521004</v>
      </c>
    </row>
    <row r="1896" spans="1:11" ht="51" x14ac:dyDescent="0.4">
      <c r="A1896" s="10" t="s">
        <v>11410</v>
      </c>
      <c r="B1896" s="10" t="s">
        <v>11411</v>
      </c>
      <c r="C1896" s="10" t="s">
        <v>9828</v>
      </c>
      <c r="D1896" s="10" t="s">
        <v>11412</v>
      </c>
      <c r="E1896" s="10" t="s">
        <v>7391</v>
      </c>
      <c r="F1896" s="10" t="s">
        <v>575</v>
      </c>
      <c r="G1896" s="10" t="s">
        <v>32</v>
      </c>
      <c r="H1896" s="7" t="s">
        <v>1031</v>
      </c>
      <c r="I1896" s="7" t="s">
        <v>25</v>
      </c>
      <c r="J1896" s="13" t="str">
        <f>HYPERLINK("https://www.airitibooks.com/Detail/Detail?PublicationID=P20190521011", "https://www.airitibooks.com/Detail/Detail?PublicationID=P20190521011")</f>
        <v>https://www.airitibooks.com/Detail/Detail?PublicationID=P20190521011</v>
      </c>
      <c r="K1896" s="13" t="str">
        <f>HYPERLINK("https://ntsu.idm.oclc.org/login?url=https://www.airitibooks.com/Detail/Detail?PublicationID=P20190521011", "https://ntsu.idm.oclc.org/login?url=https://www.airitibooks.com/Detail/Detail?PublicationID=P20190521011")</f>
        <v>https://ntsu.idm.oclc.org/login?url=https://www.airitibooks.com/Detail/Detail?PublicationID=P20190521011</v>
      </c>
    </row>
    <row r="1897" spans="1:11" ht="68" x14ac:dyDescent="0.4">
      <c r="A1897" s="10" t="s">
        <v>11440</v>
      </c>
      <c r="B1897" s="10" t="s">
        <v>11441</v>
      </c>
      <c r="C1897" s="10" t="s">
        <v>9828</v>
      </c>
      <c r="D1897" s="10" t="s">
        <v>11442</v>
      </c>
      <c r="E1897" s="10" t="s">
        <v>7391</v>
      </c>
      <c r="F1897" s="10" t="s">
        <v>4948</v>
      </c>
      <c r="G1897" s="10" t="s">
        <v>32</v>
      </c>
      <c r="H1897" s="7" t="s">
        <v>1031</v>
      </c>
      <c r="I1897" s="7" t="s">
        <v>25</v>
      </c>
      <c r="J1897" s="13" t="str">
        <f>HYPERLINK("https://www.airitibooks.com/Detail/Detail?PublicationID=P20190521020", "https://www.airitibooks.com/Detail/Detail?PublicationID=P20190521020")</f>
        <v>https://www.airitibooks.com/Detail/Detail?PublicationID=P20190521020</v>
      </c>
      <c r="K1897" s="13" t="str">
        <f>HYPERLINK("https://ntsu.idm.oclc.org/login?url=https://www.airitibooks.com/Detail/Detail?PublicationID=P20190521020", "https://ntsu.idm.oclc.org/login?url=https://www.airitibooks.com/Detail/Detail?PublicationID=P20190521020")</f>
        <v>https://ntsu.idm.oclc.org/login?url=https://www.airitibooks.com/Detail/Detail?PublicationID=P20190521020</v>
      </c>
    </row>
    <row r="1898" spans="1:11" ht="85" x14ac:dyDescent="0.4">
      <c r="A1898" s="10" t="s">
        <v>11481</v>
      </c>
      <c r="B1898" s="10" t="s">
        <v>11482</v>
      </c>
      <c r="C1898" s="10" t="s">
        <v>9828</v>
      </c>
      <c r="D1898" s="10" t="s">
        <v>11483</v>
      </c>
      <c r="E1898" s="10" t="s">
        <v>7391</v>
      </c>
      <c r="F1898" s="10" t="s">
        <v>11484</v>
      </c>
      <c r="G1898" s="10" t="s">
        <v>32</v>
      </c>
      <c r="H1898" s="7" t="s">
        <v>1031</v>
      </c>
      <c r="I1898" s="7" t="s">
        <v>25</v>
      </c>
      <c r="J1898" s="13" t="str">
        <f>HYPERLINK("https://www.airitibooks.com/Detail/Detail?PublicationID=P20190521040", "https://www.airitibooks.com/Detail/Detail?PublicationID=P20190521040")</f>
        <v>https://www.airitibooks.com/Detail/Detail?PublicationID=P20190521040</v>
      </c>
      <c r="K1898" s="13" t="str">
        <f>HYPERLINK("https://ntsu.idm.oclc.org/login?url=https://www.airitibooks.com/Detail/Detail?PublicationID=P20190521040", "https://ntsu.idm.oclc.org/login?url=https://www.airitibooks.com/Detail/Detail?PublicationID=P20190521040")</f>
        <v>https://ntsu.idm.oclc.org/login?url=https://www.airitibooks.com/Detail/Detail?PublicationID=P20190521040</v>
      </c>
    </row>
    <row r="1899" spans="1:11" ht="51" x14ac:dyDescent="0.4">
      <c r="A1899" s="10" t="s">
        <v>11554</v>
      </c>
      <c r="B1899" s="10" t="s">
        <v>11555</v>
      </c>
      <c r="C1899" s="10" t="s">
        <v>4873</v>
      </c>
      <c r="D1899" s="10" t="s">
        <v>11556</v>
      </c>
      <c r="E1899" s="10" t="s">
        <v>7391</v>
      </c>
      <c r="F1899" s="10" t="s">
        <v>11557</v>
      </c>
      <c r="G1899" s="10" t="s">
        <v>32</v>
      </c>
      <c r="H1899" s="7" t="s">
        <v>24</v>
      </c>
      <c r="I1899" s="7" t="s">
        <v>25</v>
      </c>
      <c r="J1899" s="13" t="str">
        <f>HYPERLINK("https://www.airitibooks.com/Detail/Detail?PublicationID=P20190531016", "https://www.airitibooks.com/Detail/Detail?PublicationID=P20190531016")</f>
        <v>https://www.airitibooks.com/Detail/Detail?PublicationID=P20190531016</v>
      </c>
      <c r="K1899" s="13" t="str">
        <f>HYPERLINK("https://ntsu.idm.oclc.org/login?url=https://www.airitibooks.com/Detail/Detail?PublicationID=P20190531016", "https://ntsu.idm.oclc.org/login?url=https://www.airitibooks.com/Detail/Detail?PublicationID=P20190531016")</f>
        <v>https://ntsu.idm.oclc.org/login?url=https://www.airitibooks.com/Detail/Detail?PublicationID=P20190531016</v>
      </c>
    </row>
    <row r="1900" spans="1:11" ht="153" x14ac:dyDescent="0.4">
      <c r="A1900" s="10" t="s">
        <v>11558</v>
      </c>
      <c r="B1900" s="10" t="s">
        <v>11559</v>
      </c>
      <c r="C1900" s="10" t="s">
        <v>4873</v>
      </c>
      <c r="D1900" s="10" t="s">
        <v>11560</v>
      </c>
      <c r="E1900" s="10" t="s">
        <v>7391</v>
      </c>
      <c r="F1900" s="10" t="s">
        <v>2856</v>
      </c>
      <c r="G1900" s="10" t="s">
        <v>32</v>
      </c>
      <c r="H1900" s="7" t="s">
        <v>24</v>
      </c>
      <c r="I1900" s="7" t="s">
        <v>25</v>
      </c>
      <c r="J1900" s="13" t="str">
        <f>HYPERLINK("https://www.airitibooks.com/Detail/Detail?PublicationID=P20190531017", "https://www.airitibooks.com/Detail/Detail?PublicationID=P20190531017")</f>
        <v>https://www.airitibooks.com/Detail/Detail?PublicationID=P20190531017</v>
      </c>
      <c r="K1900" s="13" t="str">
        <f>HYPERLINK("https://ntsu.idm.oclc.org/login?url=https://www.airitibooks.com/Detail/Detail?PublicationID=P20190531017", "https://ntsu.idm.oclc.org/login?url=https://www.airitibooks.com/Detail/Detail?PublicationID=P20190531017")</f>
        <v>https://ntsu.idm.oclc.org/login?url=https://www.airitibooks.com/Detail/Detail?PublicationID=P20190531017</v>
      </c>
    </row>
    <row r="1901" spans="1:11" ht="51" x14ac:dyDescent="0.4">
      <c r="A1901" s="10" t="s">
        <v>11593</v>
      </c>
      <c r="B1901" s="10" t="s">
        <v>11594</v>
      </c>
      <c r="C1901" s="10" t="s">
        <v>746</v>
      </c>
      <c r="D1901" s="10" t="s">
        <v>11595</v>
      </c>
      <c r="E1901" s="10" t="s">
        <v>7391</v>
      </c>
      <c r="F1901" s="10" t="s">
        <v>597</v>
      </c>
      <c r="G1901" s="10" t="s">
        <v>32</v>
      </c>
      <c r="H1901" s="7" t="s">
        <v>24</v>
      </c>
      <c r="I1901" s="7" t="s">
        <v>25</v>
      </c>
      <c r="J1901" s="13" t="str">
        <f>HYPERLINK("https://www.airitibooks.com/Detail/Detail?PublicationID=P20190531134", "https://www.airitibooks.com/Detail/Detail?PublicationID=P20190531134")</f>
        <v>https://www.airitibooks.com/Detail/Detail?PublicationID=P20190531134</v>
      </c>
      <c r="K1901" s="13" t="str">
        <f>HYPERLINK("https://ntsu.idm.oclc.org/login?url=https://www.airitibooks.com/Detail/Detail?PublicationID=P20190531134", "https://ntsu.idm.oclc.org/login?url=https://www.airitibooks.com/Detail/Detail?PublicationID=P20190531134")</f>
        <v>https://ntsu.idm.oclc.org/login?url=https://www.airitibooks.com/Detail/Detail?PublicationID=P20190531134</v>
      </c>
    </row>
    <row r="1902" spans="1:11" ht="51" x14ac:dyDescent="0.4">
      <c r="A1902" s="10" t="s">
        <v>11620</v>
      </c>
      <c r="B1902" s="10" t="s">
        <v>11621</v>
      </c>
      <c r="C1902" s="10" t="s">
        <v>297</v>
      </c>
      <c r="D1902" s="10" t="s">
        <v>11622</v>
      </c>
      <c r="E1902" s="10" t="s">
        <v>7391</v>
      </c>
      <c r="F1902" s="10" t="s">
        <v>274</v>
      </c>
      <c r="G1902" s="10" t="s">
        <v>32</v>
      </c>
      <c r="H1902" s="7" t="s">
        <v>24</v>
      </c>
      <c r="I1902" s="7" t="s">
        <v>25</v>
      </c>
      <c r="J1902" s="13" t="str">
        <f>HYPERLINK("https://www.airitibooks.com/Detail/Detail?PublicationID=P20190606065", "https://www.airitibooks.com/Detail/Detail?PublicationID=P20190606065")</f>
        <v>https://www.airitibooks.com/Detail/Detail?PublicationID=P20190606065</v>
      </c>
      <c r="K1902" s="13" t="str">
        <f>HYPERLINK("https://ntsu.idm.oclc.org/login?url=https://www.airitibooks.com/Detail/Detail?PublicationID=P20190606065", "https://ntsu.idm.oclc.org/login?url=https://www.airitibooks.com/Detail/Detail?PublicationID=P20190606065")</f>
        <v>https://ntsu.idm.oclc.org/login?url=https://www.airitibooks.com/Detail/Detail?PublicationID=P20190606065</v>
      </c>
    </row>
    <row r="1903" spans="1:11" ht="51" x14ac:dyDescent="0.4">
      <c r="A1903" s="10" t="s">
        <v>11897</v>
      </c>
      <c r="B1903" s="10" t="s">
        <v>11898</v>
      </c>
      <c r="C1903" s="10" t="s">
        <v>9828</v>
      </c>
      <c r="D1903" s="10" t="s">
        <v>11899</v>
      </c>
      <c r="E1903" s="10" t="s">
        <v>7391</v>
      </c>
      <c r="F1903" s="10" t="s">
        <v>4948</v>
      </c>
      <c r="G1903" s="10" t="s">
        <v>32</v>
      </c>
      <c r="H1903" s="7" t="s">
        <v>1031</v>
      </c>
      <c r="I1903" s="7" t="s">
        <v>25</v>
      </c>
      <c r="J1903" s="13" t="str">
        <f>HYPERLINK("https://www.airitibooks.com/Detail/Detail?PublicationID=P20190627107", "https://www.airitibooks.com/Detail/Detail?PublicationID=P20190627107")</f>
        <v>https://www.airitibooks.com/Detail/Detail?PublicationID=P20190627107</v>
      </c>
      <c r="K1903" s="13" t="str">
        <f>HYPERLINK("https://ntsu.idm.oclc.org/login?url=https://www.airitibooks.com/Detail/Detail?PublicationID=P20190627107", "https://ntsu.idm.oclc.org/login?url=https://www.airitibooks.com/Detail/Detail?PublicationID=P20190627107")</f>
        <v>https://ntsu.idm.oclc.org/login?url=https://www.airitibooks.com/Detail/Detail?PublicationID=P20190627107</v>
      </c>
    </row>
    <row r="1904" spans="1:11" ht="51" x14ac:dyDescent="0.4">
      <c r="A1904" s="10" t="s">
        <v>12008</v>
      </c>
      <c r="B1904" s="10" t="s">
        <v>12009</v>
      </c>
      <c r="C1904" s="10" t="s">
        <v>11639</v>
      </c>
      <c r="D1904" s="10" t="s">
        <v>12010</v>
      </c>
      <c r="E1904" s="10" t="s">
        <v>7391</v>
      </c>
      <c r="F1904" s="10" t="s">
        <v>181</v>
      </c>
      <c r="G1904" s="10" t="s">
        <v>32</v>
      </c>
      <c r="H1904" s="7" t="s">
        <v>1031</v>
      </c>
      <c r="I1904" s="7" t="s">
        <v>25</v>
      </c>
      <c r="J1904" s="13" t="str">
        <f>HYPERLINK("https://www.airitibooks.com/Detail/Detail?PublicationID=P20190718070", "https://www.airitibooks.com/Detail/Detail?PublicationID=P20190718070")</f>
        <v>https://www.airitibooks.com/Detail/Detail?PublicationID=P20190718070</v>
      </c>
      <c r="K1904" s="13" t="str">
        <f>HYPERLINK("https://ntsu.idm.oclc.org/login?url=https://www.airitibooks.com/Detail/Detail?PublicationID=P20190718070", "https://ntsu.idm.oclc.org/login?url=https://www.airitibooks.com/Detail/Detail?PublicationID=P20190718070")</f>
        <v>https://ntsu.idm.oclc.org/login?url=https://www.airitibooks.com/Detail/Detail?PublicationID=P20190718070</v>
      </c>
    </row>
    <row r="1905" spans="1:11" ht="51" x14ac:dyDescent="0.4">
      <c r="A1905" s="10" t="s">
        <v>12011</v>
      </c>
      <c r="B1905" s="10" t="s">
        <v>12012</v>
      </c>
      <c r="C1905" s="10" t="s">
        <v>11639</v>
      </c>
      <c r="D1905" s="10" t="s">
        <v>12013</v>
      </c>
      <c r="E1905" s="10" t="s">
        <v>7391</v>
      </c>
      <c r="F1905" s="10" t="s">
        <v>575</v>
      </c>
      <c r="G1905" s="10" t="s">
        <v>32</v>
      </c>
      <c r="H1905" s="7" t="s">
        <v>1031</v>
      </c>
      <c r="I1905" s="7" t="s">
        <v>25</v>
      </c>
      <c r="J1905" s="13" t="str">
        <f>HYPERLINK("https://www.airitibooks.com/Detail/Detail?PublicationID=P20190718071", "https://www.airitibooks.com/Detail/Detail?PublicationID=P20190718071")</f>
        <v>https://www.airitibooks.com/Detail/Detail?PublicationID=P20190718071</v>
      </c>
      <c r="K1905" s="13" t="str">
        <f>HYPERLINK("https://ntsu.idm.oclc.org/login?url=https://www.airitibooks.com/Detail/Detail?PublicationID=P20190718071", "https://ntsu.idm.oclc.org/login?url=https://www.airitibooks.com/Detail/Detail?PublicationID=P20190718071")</f>
        <v>https://ntsu.idm.oclc.org/login?url=https://www.airitibooks.com/Detail/Detail?PublicationID=P20190718071</v>
      </c>
    </row>
    <row r="1906" spans="1:11" ht="85" x14ac:dyDescent="0.4">
      <c r="A1906" s="10" t="s">
        <v>12439</v>
      </c>
      <c r="B1906" s="10" t="s">
        <v>12440</v>
      </c>
      <c r="C1906" s="10" t="s">
        <v>1296</v>
      </c>
      <c r="D1906" s="10" t="s">
        <v>12441</v>
      </c>
      <c r="E1906" s="10" t="s">
        <v>7391</v>
      </c>
      <c r="F1906" s="10" t="s">
        <v>2369</v>
      </c>
      <c r="G1906" s="10" t="s">
        <v>32</v>
      </c>
      <c r="H1906" s="7" t="s">
        <v>24</v>
      </c>
      <c r="I1906" s="7" t="s">
        <v>25</v>
      </c>
      <c r="J1906" s="13" t="str">
        <f>HYPERLINK("https://www.airitibooks.com/Detail/Detail?PublicationID=P20190927270", "https://www.airitibooks.com/Detail/Detail?PublicationID=P20190927270")</f>
        <v>https://www.airitibooks.com/Detail/Detail?PublicationID=P20190927270</v>
      </c>
      <c r="K1906" s="13" t="str">
        <f>HYPERLINK("https://ntsu.idm.oclc.org/login?url=https://www.airitibooks.com/Detail/Detail?PublicationID=P20190927270", "https://ntsu.idm.oclc.org/login?url=https://www.airitibooks.com/Detail/Detail?PublicationID=P20190927270")</f>
        <v>https://ntsu.idm.oclc.org/login?url=https://www.airitibooks.com/Detail/Detail?PublicationID=P20190927270</v>
      </c>
    </row>
    <row r="1907" spans="1:11" ht="51" x14ac:dyDescent="0.4">
      <c r="A1907" s="10" t="s">
        <v>12814</v>
      </c>
      <c r="B1907" s="10" t="s">
        <v>12815</v>
      </c>
      <c r="C1907" s="10" t="s">
        <v>12491</v>
      </c>
      <c r="D1907" s="10" t="s">
        <v>12816</v>
      </c>
      <c r="E1907" s="10" t="s">
        <v>7391</v>
      </c>
      <c r="F1907" s="10" t="s">
        <v>4948</v>
      </c>
      <c r="G1907" s="10" t="s">
        <v>32</v>
      </c>
      <c r="H1907" s="7" t="s">
        <v>1031</v>
      </c>
      <c r="I1907" s="7" t="s">
        <v>25</v>
      </c>
      <c r="J1907" s="13" t="str">
        <f>HYPERLINK("https://www.airitibooks.com/Detail/Detail?PublicationID=P20191031155", "https://www.airitibooks.com/Detail/Detail?PublicationID=P20191031155")</f>
        <v>https://www.airitibooks.com/Detail/Detail?PublicationID=P20191031155</v>
      </c>
      <c r="K1907" s="13" t="str">
        <f>HYPERLINK("https://ntsu.idm.oclc.org/login?url=https://www.airitibooks.com/Detail/Detail?PublicationID=P20191031155", "https://ntsu.idm.oclc.org/login?url=https://www.airitibooks.com/Detail/Detail?PublicationID=P20191031155")</f>
        <v>https://ntsu.idm.oclc.org/login?url=https://www.airitibooks.com/Detail/Detail?PublicationID=P20191031155</v>
      </c>
    </row>
    <row r="1908" spans="1:11" ht="51" x14ac:dyDescent="0.4">
      <c r="A1908" s="10" t="s">
        <v>12824</v>
      </c>
      <c r="B1908" s="10" t="s">
        <v>12825</v>
      </c>
      <c r="C1908" s="10" t="s">
        <v>12491</v>
      </c>
      <c r="D1908" s="10" t="s">
        <v>12826</v>
      </c>
      <c r="E1908" s="10" t="s">
        <v>7391</v>
      </c>
      <c r="F1908" s="10" t="s">
        <v>3048</v>
      </c>
      <c r="G1908" s="10" t="s">
        <v>32</v>
      </c>
      <c r="H1908" s="7" t="s">
        <v>1031</v>
      </c>
      <c r="I1908" s="7" t="s">
        <v>25</v>
      </c>
      <c r="J1908" s="13" t="str">
        <f>HYPERLINK("https://www.airitibooks.com/Detail/Detail?PublicationID=P20191031158", "https://www.airitibooks.com/Detail/Detail?PublicationID=P20191031158")</f>
        <v>https://www.airitibooks.com/Detail/Detail?PublicationID=P20191031158</v>
      </c>
      <c r="K1908" s="13" t="str">
        <f>HYPERLINK("https://ntsu.idm.oclc.org/login?url=https://www.airitibooks.com/Detail/Detail?PublicationID=P20191031158", "https://ntsu.idm.oclc.org/login?url=https://www.airitibooks.com/Detail/Detail?PublicationID=P20191031158")</f>
        <v>https://ntsu.idm.oclc.org/login?url=https://www.airitibooks.com/Detail/Detail?PublicationID=P20191031158</v>
      </c>
    </row>
    <row r="1909" spans="1:11" ht="51" x14ac:dyDescent="0.4">
      <c r="A1909" s="10" t="s">
        <v>12830</v>
      </c>
      <c r="B1909" s="10" t="s">
        <v>12831</v>
      </c>
      <c r="C1909" s="10" t="s">
        <v>12491</v>
      </c>
      <c r="D1909" s="10" t="s">
        <v>12832</v>
      </c>
      <c r="E1909" s="10" t="s">
        <v>7391</v>
      </c>
      <c r="F1909" s="10" t="s">
        <v>3048</v>
      </c>
      <c r="G1909" s="10" t="s">
        <v>32</v>
      </c>
      <c r="H1909" s="7" t="s">
        <v>7839</v>
      </c>
      <c r="I1909" s="7" t="s">
        <v>25</v>
      </c>
      <c r="J1909" s="13" t="str">
        <f>HYPERLINK("https://www.airitibooks.com/Detail/Detail?PublicationID=P20191031160", "https://www.airitibooks.com/Detail/Detail?PublicationID=P20191031160")</f>
        <v>https://www.airitibooks.com/Detail/Detail?PublicationID=P20191031160</v>
      </c>
      <c r="K1909" s="13" t="str">
        <f>HYPERLINK("https://ntsu.idm.oclc.org/login?url=https://www.airitibooks.com/Detail/Detail?PublicationID=P20191031160", "https://ntsu.idm.oclc.org/login?url=https://www.airitibooks.com/Detail/Detail?PublicationID=P20191031160")</f>
        <v>https://ntsu.idm.oclc.org/login?url=https://www.airitibooks.com/Detail/Detail?PublicationID=P20191031160</v>
      </c>
    </row>
    <row r="1910" spans="1:11" ht="51" x14ac:dyDescent="0.4">
      <c r="A1910" s="10" t="s">
        <v>13091</v>
      </c>
      <c r="B1910" s="10" t="s">
        <v>13092</v>
      </c>
      <c r="C1910" s="10" t="s">
        <v>467</v>
      </c>
      <c r="D1910" s="10" t="s">
        <v>13093</v>
      </c>
      <c r="E1910" s="10" t="s">
        <v>7391</v>
      </c>
      <c r="F1910" s="10" t="s">
        <v>13094</v>
      </c>
      <c r="G1910" s="10" t="s">
        <v>32</v>
      </c>
      <c r="H1910" s="7" t="s">
        <v>24</v>
      </c>
      <c r="I1910" s="7" t="s">
        <v>25</v>
      </c>
      <c r="J1910" s="13" t="str">
        <f>HYPERLINK("https://www.airitibooks.com/Detail/Detail?PublicationID=P20191224019", "https://www.airitibooks.com/Detail/Detail?PublicationID=P20191224019")</f>
        <v>https://www.airitibooks.com/Detail/Detail?PublicationID=P20191224019</v>
      </c>
      <c r="K1910" s="13" t="str">
        <f>HYPERLINK("https://ntsu.idm.oclc.org/login?url=https://www.airitibooks.com/Detail/Detail?PublicationID=P20191224019", "https://ntsu.idm.oclc.org/login?url=https://www.airitibooks.com/Detail/Detail?PublicationID=P20191224019")</f>
        <v>https://ntsu.idm.oclc.org/login?url=https://www.airitibooks.com/Detail/Detail?PublicationID=P20191224019</v>
      </c>
    </row>
    <row r="1911" spans="1:11" ht="51" x14ac:dyDescent="0.4">
      <c r="A1911" s="10" t="s">
        <v>13278</v>
      </c>
      <c r="B1911" s="10" t="s">
        <v>13279</v>
      </c>
      <c r="C1911" s="10" t="s">
        <v>499</v>
      </c>
      <c r="D1911" s="10" t="s">
        <v>13280</v>
      </c>
      <c r="E1911" s="10" t="s">
        <v>7391</v>
      </c>
      <c r="F1911" s="10" t="s">
        <v>13281</v>
      </c>
      <c r="G1911" s="10" t="s">
        <v>32</v>
      </c>
      <c r="H1911" s="7" t="s">
        <v>24</v>
      </c>
      <c r="I1911" s="7" t="s">
        <v>25</v>
      </c>
      <c r="J1911" s="13" t="str">
        <f>HYPERLINK("https://www.airitibooks.com/Detail/Detail?PublicationID=P20200110100", "https://www.airitibooks.com/Detail/Detail?PublicationID=P20200110100")</f>
        <v>https://www.airitibooks.com/Detail/Detail?PublicationID=P20200110100</v>
      </c>
      <c r="K1911" s="13" t="str">
        <f>HYPERLINK("https://ntsu.idm.oclc.org/login?url=https://www.airitibooks.com/Detail/Detail?PublicationID=P20200110100", "https://ntsu.idm.oclc.org/login?url=https://www.airitibooks.com/Detail/Detail?PublicationID=P20200110100")</f>
        <v>https://ntsu.idm.oclc.org/login?url=https://www.airitibooks.com/Detail/Detail?PublicationID=P20200110100</v>
      </c>
    </row>
    <row r="1912" spans="1:11" ht="51" x14ac:dyDescent="0.4">
      <c r="A1912" s="10" t="s">
        <v>13297</v>
      </c>
      <c r="B1912" s="10" t="s">
        <v>13298</v>
      </c>
      <c r="C1912" s="10" t="s">
        <v>13295</v>
      </c>
      <c r="D1912" s="10" t="s">
        <v>13299</v>
      </c>
      <c r="E1912" s="10" t="s">
        <v>7391</v>
      </c>
      <c r="F1912" s="10" t="s">
        <v>13300</v>
      </c>
      <c r="G1912" s="10" t="s">
        <v>32</v>
      </c>
      <c r="H1912" s="7" t="s">
        <v>24</v>
      </c>
      <c r="I1912" s="7" t="s">
        <v>25</v>
      </c>
      <c r="J1912" s="13" t="str">
        <f>HYPERLINK("https://www.airitibooks.com/Detail/Detail?PublicationID=P20200110154", "https://www.airitibooks.com/Detail/Detail?PublicationID=P20200110154")</f>
        <v>https://www.airitibooks.com/Detail/Detail?PublicationID=P20200110154</v>
      </c>
      <c r="K1912" s="13" t="str">
        <f>HYPERLINK("https://ntsu.idm.oclc.org/login?url=https://www.airitibooks.com/Detail/Detail?PublicationID=P20200110154", "https://ntsu.idm.oclc.org/login?url=https://www.airitibooks.com/Detail/Detail?PublicationID=P20200110154")</f>
        <v>https://ntsu.idm.oclc.org/login?url=https://www.airitibooks.com/Detail/Detail?PublicationID=P20200110154</v>
      </c>
    </row>
    <row r="1913" spans="1:11" ht="51" x14ac:dyDescent="0.4">
      <c r="A1913" s="10" t="s">
        <v>13301</v>
      </c>
      <c r="B1913" s="10" t="s">
        <v>13302</v>
      </c>
      <c r="C1913" s="10" t="s">
        <v>13295</v>
      </c>
      <c r="D1913" s="10" t="s">
        <v>13303</v>
      </c>
      <c r="E1913" s="10" t="s">
        <v>7391</v>
      </c>
      <c r="F1913" s="10" t="s">
        <v>13300</v>
      </c>
      <c r="G1913" s="10" t="s">
        <v>32</v>
      </c>
      <c r="H1913" s="7" t="s">
        <v>24</v>
      </c>
      <c r="I1913" s="7" t="s">
        <v>25</v>
      </c>
      <c r="J1913" s="13" t="str">
        <f>HYPERLINK("https://www.airitibooks.com/Detail/Detail?PublicationID=P20200110155", "https://www.airitibooks.com/Detail/Detail?PublicationID=P20200110155")</f>
        <v>https://www.airitibooks.com/Detail/Detail?PublicationID=P20200110155</v>
      </c>
      <c r="K1913" s="13" t="str">
        <f>HYPERLINK("https://ntsu.idm.oclc.org/login?url=https://www.airitibooks.com/Detail/Detail?PublicationID=P20200110155", "https://ntsu.idm.oclc.org/login?url=https://www.airitibooks.com/Detail/Detail?PublicationID=P20200110155")</f>
        <v>https://ntsu.idm.oclc.org/login?url=https://www.airitibooks.com/Detail/Detail?PublicationID=P20200110155</v>
      </c>
    </row>
    <row r="1914" spans="1:11" ht="85" x14ac:dyDescent="0.4">
      <c r="A1914" s="10" t="s">
        <v>13315</v>
      </c>
      <c r="B1914" s="10" t="s">
        <v>13316</v>
      </c>
      <c r="C1914" s="10" t="s">
        <v>13317</v>
      </c>
      <c r="D1914" s="10" t="s">
        <v>13318</v>
      </c>
      <c r="E1914" s="10" t="s">
        <v>7391</v>
      </c>
      <c r="F1914" s="10" t="s">
        <v>13319</v>
      </c>
      <c r="G1914" s="10" t="s">
        <v>32</v>
      </c>
      <c r="H1914" s="7" t="s">
        <v>24</v>
      </c>
      <c r="I1914" s="7" t="s">
        <v>25</v>
      </c>
      <c r="J1914" s="13" t="str">
        <f>HYPERLINK("https://www.airitibooks.com/Detail/Detail?PublicationID=P20200110351", "https://www.airitibooks.com/Detail/Detail?PublicationID=P20200110351")</f>
        <v>https://www.airitibooks.com/Detail/Detail?PublicationID=P20200110351</v>
      </c>
      <c r="K1914" s="13" t="str">
        <f>HYPERLINK("https://ntsu.idm.oclc.org/login?url=https://www.airitibooks.com/Detail/Detail?PublicationID=P20200110351", "https://ntsu.idm.oclc.org/login?url=https://www.airitibooks.com/Detail/Detail?PublicationID=P20200110351")</f>
        <v>https://ntsu.idm.oclc.org/login?url=https://www.airitibooks.com/Detail/Detail?PublicationID=P20200110351</v>
      </c>
    </row>
    <row r="1915" spans="1:11" ht="51" x14ac:dyDescent="0.4">
      <c r="A1915" s="10" t="s">
        <v>13592</v>
      </c>
      <c r="B1915" s="10" t="s">
        <v>13593</v>
      </c>
      <c r="C1915" s="10" t="s">
        <v>12491</v>
      </c>
      <c r="D1915" s="10" t="s">
        <v>13594</v>
      </c>
      <c r="E1915" s="10" t="s">
        <v>7391</v>
      </c>
      <c r="F1915" s="10" t="s">
        <v>4038</v>
      </c>
      <c r="G1915" s="10" t="s">
        <v>32</v>
      </c>
      <c r="H1915" s="7" t="s">
        <v>1031</v>
      </c>
      <c r="I1915" s="7" t="s">
        <v>25</v>
      </c>
      <c r="J1915" s="13" t="str">
        <f>HYPERLINK("https://www.airitibooks.com/Detail/Detail?PublicationID=P20200307038", "https://www.airitibooks.com/Detail/Detail?PublicationID=P20200307038")</f>
        <v>https://www.airitibooks.com/Detail/Detail?PublicationID=P20200307038</v>
      </c>
      <c r="K1915" s="13" t="str">
        <f>HYPERLINK("https://ntsu.idm.oclc.org/login?url=https://www.airitibooks.com/Detail/Detail?PublicationID=P20200307038", "https://ntsu.idm.oclc.org/login?url=https://www.airitibooks.com/Detail/Detail?PublicationID=P20200307038")</f>
        <v>https://ntsu.idm.oclc.org/login?url=https://www.airitibooks.com/Detail/Detail?PublicationID=P20200307038</v>
      </c>
    </row>
    <row r="1916" spans="1:11" ht="51" x14ac:dyDescent="0.4">
      <c r="A1916" s="10" t="s">
        <v>13595</v>
      </c>
      <c r="B1916" s="10" t="s">
        <v>13596</v>
      </c>
      <c r="C1916" s="10" t="s">
        <v>12491</v>
      </c>
      <c r="D1916" s="10" t="s">
        <v>13597</v>
      </c>
      <c r="E1916" s="10" t="s">
        <v>7391</v>
      </c>
      <c r="F1916" s="10" t="s">
        <v>4038</v>
      </c>
      <c r="G1916" s="10" t="s">
        <v>32</v>
      </c>
      <c r="H1916" s="7" t="s">
        <v>1031</v>
      </c>
      <c r="I1916" s="7" t="s">
        <v>25</v>
      </c>
      <c r="J1916" s="13" t="str">
        <f>HYPERLINK("https://www.airitibooks.com/Detail/Detail?PublicationID=P20200307039", "https://www.airitibooks.com/Detail/Detail?PublicationID=P20200307039")</f>
        <v>https://www.airitibooks.com/Detail/Detail?PublicationID=P20200307039</v>
      </c>
      <c r="K1916" s="13" t="str">
        <f>HYPERLINK("https://ntsu.idm.oclc.org/login?url=https://www.airitibooks.com/Detail/Detail?PublicationID=P20200307039", "https://ntsu.idm.oclc.org/login?url=https://www.airitibooks.com/Detail/Detail?PublicationID=P20200307039")</f>
        <v>https://ntsu.idm.oclc.org/login?url=https://www.airitibooks.com/Detail/Detail?PublicationID=P20200307039</v>
      </c>
    </row>
    <row r="1917" spans="1:11" ht="51" x14ac:dyDescent="0.4">
      <c r="A1917" s="10" t="s">
        <v>13598</v>
      </c>
      <c r="B1917" s="10" t="s">
        <v>13599</v>
      </c>
      <c r="C1917" s="10" t="s">
        <v>12491</v>
      </c>
      <c r="D1917" s="10" t="s">
        <v>13600</v>
      </c>
      <c r="E1917" s="10" t="s">
        <v>7391</v>
      </c>
      <c r="F1917" s="10" t="s">
        <v>3048</v>
      </c>
      <c r="G1917" s="10" t="s">
        <v>32</v>
      </c>
      <c r="H1917" s="7" t="s">
        <v>1031</v>
      </c>
      <c r="I1917" s="7" t="s">
        <v>25</v>
      </c>
      <c r="J1917" s="13" t="str">
        <f>HYPERLINK("https://www.airitibooks.com/Detail/Detail?PublicationID=P20200307049", "https://www.airitibooks.com/Detail/Detail?PublicationID=P20200307049")</f>
        <v>https://www.airitibooks.com/Detail/Detail?PublicationID=P20200307049</v>
      </c>
      <c r="K1917" s="13" t="str">
        <f>HYPERLINK("https://ntsu.idm.oclc.org/login?url=https://www.airitibooks.com/Detail/Detail?PublicationID=P20200307049", "https://ntsu.idm.oclc.org/login?url=https://www.airitibooks.com/Detail/Detail?PublicationID=P20200307049")</f>
        <v>https://ntsu.idm.oclc.org/login?url=https://www.airitibooks.com/Detail/Detail?PublicationID=P20200307049</v>
      </c>
    </row>
    <row r="1918" spans="1:11" ht="51" x14ac:dyDescent="0.4">
      <c r="A1918" s="10" t="s">
        <v>13612</v>
      </c>
      <c r="B1918" s="10" t="s">
        <v>13613</v>
      </c>
      <c r="C1918" s="10" t="s">
        <v>12491</v>
      </c>
      <c r="D1918" s="10" t="s">
        <v>13614</v>
      </c>
      <c r="E1918" s="10" t="s">
        <v>7391</v>
      </c>
      <c r="F1918" s="10" t="s">
        <v>1556</v>
      </c>
      <c r="G1918" s="10" t="s">
        <v>32</v>
      </c>
      <c r="H1918" s="7" t="s">
        <v>1031</v>
      </c>
      <c r="I1918" s="7" t="s">
        <v>25</v>
      </c>
      <c r="J1918" s="13" t="str">
        <f>HYPERLINK("https://www.airitibooks.com/Detail/Detail?PublicationID=P20200307088", "https://www.airitibooks.com/Detail/Detail?PublicationID=P20200307088")</f>
        <v>https://www.airitibooks.com/Detail/Detail?PublicationID=P20200307088</v>
      </c>
      <c r="K1918" s="13" t="str">
        <f>HYPERLINK("https://ntsu.idm.oclc.org/login?url=https://www.airitibooks.com/Detail/Detail?PublicationID=P20200307088", "https://ntsu.idm.oclc.org/login?url=https://www.airitibooks.com/Detail/Detail?PublicationID=P20200307088")</f>
        <v>https://ntsu.idm.oclc.org/login?url=https://www.airitibooks.com/Detail/Detail?PublicationID=P20200307088</v>
      </c>
    </row>
    <row r="1919" spans="1:11" ht="68" x14ac:dyDescent="0.4">
      <c r="A1919" s="10" t="s">
        <v>13730</v>
      </c>
      <c r="B1919" s="10" t="s">
        <v>13731</v>
      </c>
      <c r="C1919" s="10" t="s">
        <v>12491</v>
      </c>
      <c r="D1919" s="10" t="s">
        <v>13732</v>
      </c>
      <c r="E1919" s="10" t="s">
        <v>7391</v>
      </c>
      <c r="F1919" s="10" t="s">
        <v>1556</v>
      </c>
      <c r="G1919" s="10" t="s">
        <v>32</v>
      </c>
      <c r="H1919" s="7" t="s">
        <v>1031</v>
      </c>
      <c r="I1919" s="7" t="s">
        <v>25</v>
      </c>
      <c r="J1919" s="13" t="str">
        <f>HYPERLINK("https://www.airitibooks.com/Detail/Detail?PublicationID=P20200321671", "https://www.airitibooks.com/Detail/Detail?PublicationID=P20200321671")</f>
        <v>https://www.airitibooks.com/Detail/Detail?PublicationID=P20200321671</v>
      </c>
      <c r="K1919" s="13" t="str">
        <f>HYPERLINK("https://ntsu.idm.oclc.org/login?url=https://www.airitibooks.com/Detail/Detail?PublicationID=P20200321671", "https://ntsu.idm.oclc.org/login?url=https://www.airitibooks.com/Detail/Detail?PublicationID=P20200321671")</f>
        <v>https://ntsu.idm.oclc.org/login?url=https://www.airitibooks.com/Detail/Detail?PublicationID=P20200321671</v>
      </c>
    </row>
    <row r="1920" spans="1:11" ht="51" x14ac:dyDescent="0.4">
      <c r="A1920" s="10" t="s">
        <v>13733</v>
      </c>
      <c r="B1920" s="10" t="s">
        <v>13734</v>
      </c>
      <c r="C1920" s="10" t="s">
        <v>12491</v>
      </c>
      <c r="D1920" s="10" t="s">
        <v>13735</v>
      </c>
      <c r="E1920" s="10" t="s">
        <v>7391</v>
      </c>
      <c r="F1920" s="10" t="s">
        <v>3048</v>
      </c>
      <c r="G1920" s="10" t="s">
        <v>32</v>
      </c>
      <c r="H1920" s="7" t="s">
        <v>1031</v>
      </c>
      <c r="I1920" s="7" t="s">
        <v>25</v>
      </c>
      <c r="J1920" s="13" t="str">
        <f>HYPERLINK("https://www.airitibooks.com/Detail/Detail?PublicationID=P20200321675", "https://www.airitibooks.com/Detail/Detail?PublicationID=P20200321675")</f>
        <v>https://www.airitibooks.com/Detail/Detail?PublicationID=P20200321675</v>
      </c>
      <c r="K1920" s="13" t="str">
        <f>HYPERLINK("https://ntsu.idm.oclc.org/login?url=https://www.airitibooks.com/Detail/Detail?PublicationID=P20200321675", "https://ntsu.idm.oclc.org/login?url=https://www.airitibooks.com/Detail/Detail?PublicationID=P20200321675")</f>
        <v>https://ntsu.idm.oclc.org/login?url=https://www.airitibooks.com/Detail/Detail?PublicationID=P20200321675</v>
      </c>
    </row>
    <row r="1921" spans="1:11" ht="51" x14ac:dyDescent="0.4">
      <c r="A1921" s="10" t="s">
        <v>13736</v>
      </c>
      <c r="B1921" s="10" t="s">
        <v>13737</v>
      </c>
      <c r="C1921" s="10" t="s">
        <v>12491</v>
      </c>
      <c r="D1921" s="10" t="s">
        <v>13738</v>
      </c>
      <c r="E1921" s="10" t="s">
        <v>7391</v>
      </c>
      <c r="F1921" s="10" t="s">
        <v>1770</v>
      </c>
      <c r="G1921" s="10" t="s">
        <v>32</v>
      </c>
      <c r="H1921" s="7" t="s">
        <v>1031</v>
      </c>
      <c r="I1921" s="7" t="s">
        <v>25</v>
      </c>
      <c r="J1921" s="13" t="str">
        <f>HYPERLINK("https://www.airitibooks.com/Detail/Detail?PublicationID=P20200321676", "https://www.airitibooks.com/Detail/Detail?PublicationID=P20200321676")</f>
        <v>https://www.airitibooks.com/Detail/Detail?PublicationID=P20200321676</v>
      </c>
      <c r="K1921" s="13" t="str">
        <f>HYPERLINK("https://ntsu.idm.oclc.org/login?url=https://www.airitibooks.com/Detail/Detail?PublicationID=P20200321676", "https://ntsu.idm.oclc.org/login?url=https://www.airitibooks.com/Detail/Detail?PublicationID=P20200321676")</f>
        <v>https://ntsu.idm.oclc.org/login?url=https://www.airitibooks.com/Detail/Detail?PublicationID=P20200321676</v>
      </c>
    </row>
    <row r="1922" spans="1:11" ht="85" x14ac:dyDescent="0.4">
      <c r="A1922" s="10" t="s">
        <v>13739</v>
      </c>
      <c r="B1922" s="10" t="s">
        <v>13740</v>
      </c>
      <c r="C1922" s="10" t="s">
        <v>12491</v>
      </c>
      <c r="D1922" s="10" t="s">
        <v>13741</v>
      </c>
      <c r="E1922" s="10" t="s">
        <v>7391</v>
      </c>
      <c r="F1922" s="10" t="s">
        <v>5375</v>
      </c>
      <c r="G1922" s="10" t="s">
        <v>32</v>
      </c>
      <c r="H1922" s="7" t="s">
        <v>1031</v>
      </c>
      <c r="I1922" s="7" t="s">
        <v>25</v>
      </c>
      <c r="J1922" s="13" t="str">
        <f>HYPERLINK("https://www.airitibooks.com/Detail/Detail?PublicationID=P20200321677", "https://www.airitibooks.com/Detail/Detail?PublicationID=P20200321677")</f>
        <v>https://www.airitibooks.com/Detail/Detail?PublicationID=P20200321677</v>
      </c>
      <c r="K1922" s="13" t="str">
        <f>HYPERLINK("https://ntsu.idm.oclc.org/login?url=https://www.airitibooks.com/Detail/Detail?PublicationID=P20200321677", "https://ntsu.idm.oclc.org/login?url=https://www.airitibooks.com/Detail/Detail?PublicationID=P20200321677")</f>
        <v>https://ntsu.idm.oclc.org/login?url=https://www.airitibooks.com/Detail/Detail?PublicationID=P20200321677</v>
      </c>
    </row>
    <row r="1923" spans="1:11" ht="51" x14ac:dyDescent="0.4">
      <c r="A1923" s="10" t="s">
        <v>13742</v>
      </c>
      <c r="B1923" s="10" t="s">
        <v>13743</v>
      </c>
      <c r="C1923" s="10" t="s">
        <v>12491</v>
      </c>
      <c r="D1923" s="10" t="s">
        <v>13744</v>
      </c>
      <c r="E1923" s="10" t="s">
        <v>7391</v>
      </c>
      <c r="F1923" s="10" t="s">
        <v>1789</v>
      </c>
      <c r="G1923" s="10" t="s">
        <v>32</v>
      </c>
      <c r="H1923" s="7" t="s">
        <v>1031</v>
      </c>
      <c r="I1923" s="7" t="s">
        <v>25</v>
      </c>
      <c r="J1923" s="13" t="str">
        <f>HYPERLINK("https://www.airitibooks.com/Detail/Detail?PublicationID=P20200321687", "https://www.airitibooks.com/Detail/Detail?PublicationID=P20200321687")</f>
        <v>https://www.airitibooks.com/Detail/Detail?PublicationID=P20200321687</v>
      </c>
      <c r="K1923" s="13" t="str">
        <f>HYPERLINK("https://ntsu.idm.oclc.org/login?url=https://www.airitibooks.com/Detail/Detail?PublicationID=P20200321687", "https://ntsu.idm.oclc.org/login?url=https://www.airitibooks.com/Detail/Detail?PublicationID=P20200321687")</f>
        <v>https://ntsu.idm.oclc.org/login?url=https://www.airitibooks.com/Detail/Detail?PublicationID=P20200321687</v>
      </c>
    </row>
    <row r="1924" spans="1:11" ht="68" x14ac:dyDescent="0.4">
      <c r="A1924" s="10" t="s">
        <v>13748</v>
      </c>
      <c r="B1924" s="10" t="s">
        <v>13749</v>
      </c>
      <c r="C1924" s="10" t="s">
        <v>12491</v>
      </c>
      <c r="D1924" s="10" t="s">
        <v>13750</v>
      </c>
      <c r="E1924" s="10" t="s">
        <v>7391</v>
      </c>
      <c r="F1924" s="10" t="s">
        <v>5375</v>
      </c>
      <c r="G1924" s="10" t="s">
        <v>32</v>
      </c>
      <c r="H1924" s="7" t="s">
        <v>1031</v>
      </c>
      <c r="I1924" s="7" t="s">
        <v>25</v>
      </c>
      <c r="J1924" s="13" t="str">
        <f>HYPERLINK("https://www.airitibooks.com/Detail/Detail?PublicationID=P20200321693", "https://www.airitibooks.com/Detail/Detail?PublicationID=P20200321693")</f>
        <v>https://www.airitibooks.com/Detail/Detail?PublicationID=P20200321693</v>
      </c>
      <c r="K1924" s="13" t="str">
        <f>HYPERLINK("https://ntsu.idm.oclc.org/login?url=https://www.airitibooks.com/Detail/Detail?PublicationID=P20200321693", "https://ntsu.idm.oclc.org/login?url=https://www.airitibooks.com/Detail/Detail?PublicationID=P20200321693")</f>
        <v>https://ntsu.idm.oclc.org/login?url=https://www.airitibooks.com/Detail/Detail?PublicationID=P20200321693</v>
      </c>
    </row>
    <row r="1925" spans="1:11" ht="51" x14ac:dyDescent="0.4">
      <c r="A1925" s="10" t="s">
        <v>13751</v>
      </c>
      <c r="B1925" s="10" t="s">
        <v>13752</v>
      </c>
      <c r="C1925" s="10" t="s">
        <v>12491</v>
      </c>
      <c r="D1925" s="10" t="s">
        <v>13753</v>
      </c>
      <c r="E1925" s="10" t="s">
        <v>7391</v>
      </c>
      <c r="F1925" s="10" t="s">
        <v>4038</v>
      </c>
      <c r="G1925" s="10" t="s">
        <v>32</v>
      </c>
      <c r="H1925" s="7" t="s">
        <v>1031</v>
      </c>
      <c r="I1925" s="7" t="s">
        <v>25</v>
      </c>
      <c r="J1925" s="13" t="str">
        <f>HYPERLINK("https://www.airitibooks.com/Detail/Detail?PublicationID=P20200321697", "https://www.airitibooks.com/Detail/Detail?PublicationID=P20200321697")</f>
        <v>https://www.airitibooks.com/Detail/Detail?PublicationID=P20200321697</v>
      </c>
      <c r="K1925" s="13" t="str">
        <f>HYPERLINK("https://ntsu.idm.oclc.org/login?url=https://www.airitibooks.com/Detail/Detail?PublicationID=P20200321697", "https://ntsu.idm.oclc.org/login?url=https://www.airitibooks.com/Detail/Detail?PublicationID=P20200321697")</f>
        <v>https://ntsu.idm.oclc.org/login?url=https://www.airitibooks.com/Detail/Detail?PublicationID=P20200321697</v>
      </c>
    </row>
    <row r="1926" spans="1:11" ht="51" x14ac:dyDescent="0.4">
      <c r="A1926" s="10" t="s">
        <v>14083</v>
      </c>
      <c r="B1926" s="10" t="s">
        <v>14084</v>
      </c>
      <c r="C1926" s="10" t="s">
        <v>9828</v>
      </c>
      <c r="D1926" s="10" t="s">
        <v>14085</v>
      </c>
      <c r="E1926" s="10" t="s">
        <v>7391</v>
      </c>
      <c r="F1926" s="10" t="s">
        <v>1789</v>
      </c>
      <c r="G1926" s="10" t="s">
        <v>32</v>
      </c>
      <c r="H1926" s="7" t="s">
        <v>1031</v>
      </c>
      <c r="I1926" s="7" t="s">
        <v>25</v>
      </c>
      <c r="J1926" s="13" t="str">
        <f>HYPERLINK("https://www.airitibooks.com/Detail/Detail?PublicationID=P20200507380", "https://www.airitibooks.com/Detail/Detail?PublicationID=P20200507380")</f>
        <v>https://www.airitibooks.com/Detail/Detail?PublicationID=P20200507380</v>
      </c>
      <c r="K1926" s="13" t="str">
        <f>HYPERLINK("https://ntsu.idm.oclc.org/login?url=https://www.airitibooks.com/Detail/Detail?PublicationID=P20200507380", "https://ntsu.idm.oclc.org/login?url=https://www.airitibooks.com/Detail/Detail?PublicationID=P20200507380")</f>
        <v>https://ntsu.idm.oclc.org/login?url=https://www.airitibooks.com/Detail/Detail?PublicationID=P20200507380</v>
      </c>
    </row>
    <row r="1927" spans="1:11" ht="51" x14ac:dyDescent="0.4">
      <c r="A1927" s="10" t="s">
        <v>14131</v>
      </c>
      <c r="B1927" s="10" t="s">
        <v>14132</v>
      </c>
      <c r="C1927" s="10" t="s">
        <v>14114</v>
      </c>
      <c r="D1927" s="10" t="s">
        <v>14133</v>
      </c>
      <c r="E1927" s="10" t="s">
        <v>7391</v>
      </c>
      <c r="F1927" s="10" t="s">
        <v>5375</v>
      </c>
      <c r="G1927" s="10" t="s">
        <v>32</v>
      </c>
      <c r="H1927" s="7" t="s">
        <v>1031</v>
      </c>
      <c r="I1927" s="7" t="s">
        <v>25</v>
      </c>
      <c r="J1927" s="13" t="str">
        <f>HYPERLINK("https://www.airitibooks.com/Detail/Detail?PublicationID=P20200514272", "https://www.airitibooks.com/Detail/Detail?PublicationID=P20200514272")</f>
        <v>https://www.airitibooks.com/Detail/Detail?PublicationID=P20200514272</v>
      </c>
      <c r="K1927" s="13" t="str">
        <f>HYPERLINK("https://ntsu.idm.oclc.org/login?url=https://www.airitibooks.com/Detail/Detail?PublicationID=P20200514272", "https://ntsu.idm.oclc.org/login?url=https://www.airitibooks.com/Detail/Detail?PublicationID=P20200514272")</f>
        <v>https://ntsu.idm.oclc.org/login?url=https://www.airitibooks.com/Detail/Detail?PublicationID=P20200514272</v>
      </c>
    </row>
    <row r="1928" spans="1:11" ht="68" x14ac:dyDescent="0.4">
      <c r="A1928" s="10" t="s">
        <v>14134</v>
      </c>
      <c r="B1928" s="10" t="s">
        <v>14135</v>
      </c>
      <c r="C1928" s="10" t="s">
        <v>14114</v>
      </c>
      <c r="D1928" s="10" t="s">
        <v>14136</v>
      </c>
      <c r="E1928" s="10" t="s">
        <v>7391</v>
      </c>
      <c r="F1928" s="10" t="s">
        <v>4038</v>
      </c>
      <c r="G1928" s="10" t="s">
        <v>32</v>
      </c>
      <c r="H1928" s="7" t="s">
        <v>1031</v>
      </c>
      <c r="I1928" s="7" t="s">
        <v>25</v>
      </c>
      <c r="J1928" s="13" t="str">
        <f>HYPERLINK("https://www.airitibooks.com/Detail/Detail?PublicationID=P20200514274", "https://www.airitibooks.com/Detail/Detail?PublicationID=P20200514274")</f>
        <v>https://www.airitibooks.com/Detail/Detail?PublicationID=P20200514274</v>
      </c>
      <c r="K1928" s="13" t="str">
        <f>HYPERLINK("https://ntsu.idm.oclc.org/login?url=https://www.airitibooks.com/Detail/Detail?PublicationID=P20200514274", "https://ntsu.idm.oclc.org/login?url=https://www.airitibooks.com/Detail/Detail?PublicationID=P20200514274")</f>
        <v>https://ntsu.idm.oclc.org/login?url=https://www.airitibooks.com/Detail/Detail?PublicationID=P20200514274</v>
      </c>
    </row>
    <row r="1929" spans="1:11" ht="51" x14ac:dyDescent="0.4">
      <c r="A1929" s="10" t="s">
        <v>14140</v>
      </c>
      <c r="B1929" s="10" t="s">
        <v>14141</v>
      </c>
      <c r="C1929" s="10" t="s">
        <v>14114</v>
      </c>
      <c r="D1929" s="10" t="s">
        <v>14142</v>
      </c>
      <c r="E1929" s="10" t="s">
        <v>7391</v>
      </c>
      <c r="F1929" s="10" t="s">
        <v>14143</v>
      </c>
      <c r="G1929" s="10" t="s">
        <v>32</v>
      </c>
      <c r="H1929" s="7" t="s">
        <v>1031</v>
      </c>
      <c r="I1929" s="7" t="s">
        <v>25</v>
      </c>
      <c r="J1929" s="13" t="str">
        <f>HYPERLINK("https://www.airitibooks.com/Detail/Detail?PublicationID=P20200514285", "https://www.airitibooks.com/Detail/Detail?PublicationID=P20200514285")</f>
        <v>https://www.airitibooks.com/Detail/Detail?PublicationID=P20200514285</v>
      </c>
      <c r="K1929" s="13" t="str">
        <f>HYPERLINK("https://ntsu.idm.oclc.org/login?url=https://www.airitibooks.com/Detail/Detail?PublicationID=P20200514285", "https://ntsu.idm.oclc.org/login?url=https://www.airitibooks.com/Detail/Detail?PublicationID=P20200514285")</f>
        <v>https://ntsu.idm.oclc.org/login?url=https://www.airitibooks.com/Detail/Detail?PublicationID=P20200514285</v>
      </c>
    </row>
    <row r="1930" spans="1:11" ht="51" x14ac:dyDescent="0.4">
      <c r="A1930" s="10" t="s">
        <v>14144</v>
      </c>
      <c r="B1930" s="10" t="s">
        <v>14145</v>
      </c>
      <c r="C1930" s="10" t="s">
        <v>14114</v>
      </c>
      <c r="D1930" s="10" t="s">
        <v>14146</v>
      </c>
      <c r="E1930" s="10" t="s">
        <v>7391</v>
      </c>
      <c r="F1930" s="10" t="s">
        <v>14143</v>
      </c>
      <c r="G1930" s="10" t="s">
        <v>32</v>
      </c>
      <c r="H1930" s="7" t="s">
        <v>1031</v>
      </c>
      <c r="I1930" s="7" t="s">
        <v>25</v>
      </c>
      <c r="J1930" s="13" t="str">
        <f>HYPERLINK("https://www.airitibooks.com/Detail/Detail?PublicationID=P20200514286", "https://www.airitibooks.com/Detail/Detail?PublicationID=P20200514286")</f>
        <v>https://www.airitibooks.com/Detail/Detail?PublicationID=P20200514286</v>
      </c>
      <c r="K1930" s="13" t="str">
        <f>HYPERLINK("https://ntsu.idm.oclc.org/login?url=https://www.airitibooks.com/Detail/Detail?PublicationID=P20200514286", "https://ntsu.idm.oclc.org/login?url=https://www.airitibooks.com/Detail/Detail?PublicationID=P20200514286")</f>
        <v>https://ntsu.idm.oclc.org/login?url=https://www.airitibooks.com/Detail/Detail?PublicationID=P20200514286</v>
      </c>
    </row>
    <row r="1931" spans="1:11" ht="51" x14ac:dyDescent="0.4">
      <c r="A1931" s="10" t="s">
        <v>14147</v>
      </c>
      <c r="B1931" s="10" t="s">
        <v>14148</v>
      </c>
      <c r="C1931" s="10" t="s">
        <v>14114</v>
      </c>
      <c r="D1931" s="10" t="s">
        <v>14149</v>
      </c>
      <c r="E1931" s="10" t="s">
        <v>7391</v>
      </c>
      <c r="F1931" s="10" t="s">
        <v>14143</v>
      </c>
      <c r="G1931" s="10" t="s">
        <v>32</v>
      </c>
      <c r="H1931" s="7" t="s">
        <v>1031</v>
      </c>
      <c r="I1931" s="7" t="s">
        <v>25</v>
      </c>
      <c r="J1931" s="13" t="str">
        <f>HYPERLINK("https://www.airitibooks.com/Detail/Detail?PublicationID=P20200514287", "https://www.airitibooks.com/Detail/Detail?PublicationID=P20200514287")</f>
        <v>https://www.airitibooks.com/Detail/Detail?PublicationID=P20200514287</v>
      </c>
      <c r="K1931" s="13" t="str">
        <f>HYPERLINK("https://ntsu.idm.oclc.org/login?url=https://www.airitibooks.com/Detail/Detail?PublicationID=P20200514287", "https://ntsu.idm.oclc.org/login?url=https://www.airitibooks.com/Detail/Detail?PublicationID=P20200514287")</f>
        <v>https://ntsu.idm.oclc.org/login?url=https://www.airitibooks.com/Detail/Detail?PublicationID=P20200514287</v>
      </c>
    </row>
    <row r="1932" spans="1:11" ht="51" x14ac:dyDescent="0.4">
      <c r="A1932" s="10" t="s">
        <v>14156</v>
      </c>
      <c r="B1932" s="10" t="s">
        <v>14157</v>
      </c>
      <c r="C1932" s="10" t="s">
        <v>14114</v>
      </c>
      <c r="D1932" s="10" t="s">
        <v>14158</v>
      </c>
      <c r="E1932" s="10" t="s">
        <v>7391</v>
      </c>
      <c r="F1932" s="10" t="s">
        <v>14159</v>
      </c>
      <c r="G1932" s="10" t="s">
        <v>32</v>
      </c>
      <c r="H1932" s="7" t="s">
        <v>1031</v>
      </c>
      <c r="I1932" s="7" t="s">
        <v>25</v>
      </c>
      <c r="J1932" s="13" t="str">
        <f>HYPERLINK("https://www.airitibooks.com/Detail/Detail?PublicationID=P20200514309", "https://www.airitibooks.com/Detail/Detail?PublicationID=P20200514309")</f>
        <v>https://www.airitibooks.com/Detail/Detail?PublicationID=P20200514309</v>
      </c>
      <c r="K1932" s="13" t="str">
        <f>HYPERLINK("https://ntsu.idm.oclc.org/login?url=https://www.airitibooks.com/Detail/Detail?PublicationID=P20200514309", "https://ntsu.idm.oclc.org/login?url=https://www.airitibooks.com/Detail/Detail?PublicationID=P20200514309")</f>
        <v>https://ntsu.idm.oclc.org/login?url=https://www.airitibooks.com/Detail/Detail?PublicationID=P20200514309</v>
      </c>
    </row>
    <row r="1933" spans="1:11" ht="51" x14ac:dyDescent="0.4">
      <c r="A1933" s="10" t="s">
        <v>14160</v>
      </c>
      <c r="B1933" s="10" t="s">
        <v>14161</v>
      </c>
      <c r="C1933" s="10" t="s">
        <v>14114</v>
      </c>
      <c r="D1933" s="10" t="s">
        <v>14162</v>
      </c>
      <c r="E1933" s="10" t="s">
        <v>7391</v>
      </c>
      <c r="F1933" s="10" t="s">
        <v>4038</v>
      </c>
      <c r="G1933" s="10" t="s">
        <v>32</v>
      </c>
      <c r="H1933" s="7" t="s">
        <v>1031</v>
      </c>
      <c r="I1933" s="7" t="s">
        <v>25</v>
      </c>
      <c r="J1933" s="13" t="str">
        <f>HYPERLINK("https://www.airitibooks.com/Detail/Detail?PublicationID=P20200514313", "https://www.airitibooks.com/Detail/Detail?PublicationID=P20200514313")</f>
        <v>https://www.airitibooks.com/Detail/Detail?PublicationID=P20200514313</v>
      </c>
      <c r="K1933" s="13" t="str">
        <f>HYPERLINK("https://ntsu.idm.oclc.org/login?url=https://www.airitibooks.com/Detail/Detail?PublicationID=P20200514313", "https://ntsu.idm.oclc.org/login?url=https://www.airitibooks.com/Detail/Detail?PublicationID=P20200514313")</f>
        <v>https://ntsu.idm.oclc.org/login?url=https://www.airitibooks.com/Detail/Detail?PublicationID=P20200514313</v>
      </c>
    </row>
    <row r="1934" spans="1:11" ht="51" x14ac:dyDescent="0.4">
      <c r="A1934" s="10" t="s">
        <v>14167</v>
      </c>
      <c r="B1934" s="10" t="s">
        <v>14168</v>
      </c>
      <c r="C1934" s="10" t="s">
        <v>14114</v>
      </c>
      <c r="D1934" s="10" t="s">
        <v>14169</v>
      </c>
      <c r="E1934" s="10" t="s">
        <v>7391</v>
      </c>
      <c r="F1934" s="10" t="s">
        <v>1775</v>
      </c>
      <c r="G1934" s="10" t="s">
        <v>32</v>
      </c>
      <c r="H1934" s="7" t="s">
        <v>1031</v>
      </c>
      <c r="I1934" s="7" t="s">
        <v>25</v>
      </c>
      <c r="J1934" s="13" t="str">
        <f>HYPERLINK("https://www.airitibooks.com/Detail/Detail?PublicationID=P20200514319", "https://www.airitibooks.com/Detail/Detail?PublicationID=P20200514319")</f>
        <v>https://www.airitibooks.com/Detail/Detail?PublicationID=P20200514319</v>
      </c>
      <c r="K1934" s="13" t="str">
        <f>HYPERLINK("https://ntsu.idm.oclc.org/login?url=https://www.airitibooks.com/Detail/Detail?PublicationID=P20200514319", "https://ntsu.idm.oclc.org/login?url=https://www.airitibooks.com/Detail/Detail?PublicationID=P20200514319")</f>
        <v>https://ntsu.idm.oclc.org/login?url=https://www.airitibooks.com/Detail/Detail?PublicationID=P20200514319</v>
      </c>
    </row>
    <row r="1935" spans="1:11" ht="85" x14ac:dyDescent="0.4">
      <c r="A1935" s="10" t="s">
        <v>14170</v>
      </c>
      <c r="B1935" s="10" t="s">
        <v>14171</v>
      </c>
      <c r="C1935" s="10" t="s">
        <v>14114</v>
      </c>
      <c r="D1935" s="10" t="s">
        <v>14172</v>
      </c>
      <c r="E1935" s="10" t="s">
        <v>7391</v>
      </c>
      <c r="F1935" s="10" t="s">
        <v>1775</v>
      </c>
      <c r="G1935" s="10" t="s">
        <v>32</v>
      </c>
      <c r="H1935" s="7" t="s">
        <v>1031</v>
      </c>
      <c r="I1935" s="7" t="s">
        <v>25</v>
      </c>
      <c r="J1935" s="13" t="str">
        <f>HYPERLINK("https://www.airitibooks.com/Detail/Detail?PublicationID=P20200514320", "https://www.airitibooks.com/Detail/Detail?PublicationID=P20200514320")</f>
        <v>https://www.airitibooks.com/Detail/Detail?PublicationID=P20200514320</v>
      </c>
      <c r="K1935" s="13" t="str">
        <f>HYPERLINK("https://ntsu.idm.oclc.org/login?url=https://www.airitibooks.com/Detail/Detail?PublicationID=P20200514320", "https://ntsu.idm.oclc.org/login?url=https://www.airitibooks.com/Detail/Detail?PublicationID=P20200514320")</f>
        <v>https://ntsu.idm.oclc.org/login?url=https://www.airitibooks.com/Detail/Detail?PublicationID=P20200514320</v>
      </c>
    </row>
    <row r="1936" spans="1:11" ht="85" x14ac:dyDescent="0.4">
      <c r="A1936" s="10" t="s">
        <v>14173</v>
      </c>
      <c r="B1936" s="10" t="s">
        <v>14174</v>
      </c>
      <c r="C1936" s="10" t="s">
        <v>14114</v>
      </c>
      <c r="D1936" s="10" t="s">
        <v>14175</v>
      </c>
      <c r="E1936" s="10" t="s">
        <v>7391</v>
      </c>
      <c r="F1936" s="10" t="s">
        <v>14176</v>
      </c>
      <c r="G1936" s="10" t="s">
        <v>32</v>
      </c>
      <c r="H1936" s="7" t="s">
        <v>1031</v>
      </c>
      <c r="I1936" s="7" t="s">
        <v>25</v>
      </c>
      <c r="J1936" s="13" t="str">
        <f>HYPERLINK("https://www.airitibooks.com/Detail/Detail?PublicationID=P20200514322", "https://www.airitibooks.com/Detail/Detail?PublicationID=P20200514322")</f>
        <v>https://www.airitibooks.com/Detail/Detail?PublicationID=P20200514322</v>
      </c>
      <c r="K1936" s="13" t="str">
        <f>HYPERLINK("https://ntsu.idm.oclc.org/login?url=https://www.airitibooks.com/Detail/Detail?PublicationID=P20200514322", "https://ntsu.idm.oclc.org/login?url=https://www.airitibooks.com/Detail/Detail?PublicationID=P20200514322")</f>
        <v>https://ntsu.idm.oclc.org/login?url=https://www.airitibooks.com/Detail/Detail?PublicationID=P20200514322</v>
      </c>
    </row>
    <row r="1937" spans="1:11" ht="51" x14ac:dyDescent="0.4">
      <c r="A1937" s="10" t="s">
        <v>14177</v>
      </c>
      <c r="B1937" s="10" t="s">
        <v>14178</v>
      </c>
      <c r="C1937" s="10" t="s">
        <v>14114</v>
      </c>
      <c r="D1937" s="10" t="s">
        <v>14179</v>
      </c>
      <c r="E1937" s="10" t="s">
        <v>7391</v>
      </c>
      <c r="F1937" s="10" t="s">
        <v>1775</v>
      </c>
      <c r="G1937" s="10" t="s">
        <v>32</v>
      </c>
      <c r="H1937" s="7" t="s">
        <v>1031</v>
      </c>
      <c r="I1937" s="7" t="s">
        <v>25</v>
      </c>
      <c r="J1937" s="13" t="str">
        <f>HYPERLINK("https://www.airitibooks.com/Detail/Detail?PublicationID=P20200514324", "https://www.airitibooks.com/Detail/Detail?PublicationID=P20200514324")</f>
        <v>https://www.airitibooks.com/Detail/Detail?PublicationID=P20200514324</v>
      </c>
      <c r="K1937" s="13" t="str">
        <f>HYPERLINK("https://ntsu.idm.oclc.org/login?url=https://www.airitibooks.com/Detail/Detail?PublicationID=P20200514324", "https://ntsu.idm.oclc.org/login?url=https://www.airitibooks.com/Detail/Detail?PublicationID=P20200514324")</f>
        <v>https://ntsu.idm.oclc.org/login?url=https://www.airitibooks.com/Detail/Detail?PublicationID=P20200514324</v>
      </c>
    </row>
    <row r="1938" spans="1:11" ht="51" x14ac:dyDescent="0.4">
      <c r="A1938" s="10" t="s">
        <v>14180</v>
      </c>
      <c r="B1938" s="10" t="s">
        <v>14181</v>
      </c>
      <c r="C1938" s="10" t="s">
        <v>14114</v>
      </c>
      <c r="D1938" s="10" t="s">
        <v>14182</v>
      </c>
      <c r="E1938" s="10" t="s">
        <v>7391</v>
      </c>
      <c r="F1938" s="10" t="s">
        <v>14159</v>
      </c>
      <c r="G1938" s="10" t="s">
        <v>32</v>
      </c>
      <c r="H1938" s="7" t="s">
        <v>1031</v>
      </c>
      <c r="I1938" s="7" t="s">
        <v>25</v>
      </c>
      <c r="J1938" s="13" t="str">
        <f>HYPERLINK("https://www.airitibooks.com/Detail/Detail?PublicationID=P20200514326", "https://www.airitibooks.com/Detail/Detail?PublicationID=P20200514326")</f>
        <v>https://www.airitibooks.com/Detail/Detail?PublicationID=P20200514326</v>
      </c>
      <c r="K1938" s="13" t="str">
        <f>HYPERLINK("https://ntsu.idm.oclc.org/login?url=https://www.airitibooks.com/Detail/Detail?PublicationID=P20200514326", "https://ntsu.idm.oclc.org/login?url=https://www.airitibooks.com/Detail/Detail?PublicationID=P20200514326")</f>
        <v>https://ntsu.idm.oclc.org/login?url=https://www.airitibooks.com/Detail/Detail?PublicationID=P20200514326</v>
      </c>
    </row>
    <row r="1939" spans="1:11" ht="51" x14ac:dyDescent="0.4">
      <c r="A1939" s="10" t="s">
        <v>14183</v>
      </c>
      <c r="B1939" s="10" t="s">
        <v>14184</v>
      </c>
      <c r="C1939" s="10" t="s">
        <v>14114</v>
      </c>
      <c r="D1939" s="10" t="s">
        <v>14185</v>
      </c>
      <c r="E1939" s="10" t="s">
        <v>7391</v>
      </c>
      <c r="F1939" s="10" t="s">
        <v>181</v>
      </c>
      <c r="G1939" s="10" t="s">
        <v>32</v>
      </c>
      <c r="H1939" s="7" t="s">
        <v>1031</v>
      </c>
      <c r="I1939" s="7" t="s">
        <v>25</v>
      </c>
      <c r="J1939" s="13" t="str">
        <f>HYPERLINK("https://www.airitibooks.com/Detail/Detail?PublicationID=P20200514327", "https://www.airitibooks.com/Detail/Detail?PublicationID=P20200514327")</f>
        <v>https://www.airitibooks.com/Detail/Detail?PublicationID=P20200514327</v>
      </c>
      <c r="K1939" s="13" t="str">
        <f>HYPERLINK("https://ntsu.idm.oclc.org/login?url=https://www.airitibooks.com/Detail/Detail?PublicationID=P20200514327", "https://ntsu.idm.oclc.org/login?url=https://www.airitibooks.com/Detail/Detail?PublicationID=P20200514327")</f>
        <v>https://ntsu.idm.oclc.org/login?url=https://www.airitibooks.com/Detail/Detail?PublicationID=P20200514327</v>
      </c>
    </row>
    <row r="1940" spans="1:11" ht="51" x14ac:dyDescent="0.4">
      <c r="A1940" s="10" t="s">
        <v>14186</v>
      </c>
      <c r="B1940" s="10" t="s">
        <v>14187</v>
      </c>
      <c r="C1940" s="10" t="s">
        <v>14114</v>
      </c>
      <c r="D1940" s="10" t="s">
        <v>14188</v>
      </c>
      <c r="E1940" s="10" t="s">
        <v>7391</v>
      </c>
      <c r="F1940" s="10" t="s">
        <v>1775</v>
      </c>
      <c r="G1940" s="10" t="s">
        <v>32</v>
      </c>
      <c r="H1940" s="7" t="s">
        <v>1031</v>
      </c>
      <c r="I1940" s="7" t="s">
        <v>25</v>
      </c>
      <c r="J1940" s="13" t="str">
        <f>HYPERLINK("https://www.airitibooks.com/Detail/Detail?PublicationID=P20200514328", "https://www.airitibooks.com/Detail/Detail?PublicationID=P20200514328")</f>
        <v>https://www.airitibooks.com/Detail/Detail?PublicationID=P20200514328</v>
      </c>
      <c r="K1940" s="13" t="str">
        <f>HYPERLINK("https://ntsu.idm.oclc.org/login?url=https://www.airitibooks.com/Detail/Detail?PublicationID=P20200514328", "https://ntsu.idm.oclc.org/login?url=https://www.airitibooks.com/Detail/Detail?PublicationID=P20200514328")</f>
        <v>https://ntsu.idm.oclc.org/login?url=https://www.airitibooks.com/Detail/Detail?PublicationID=P20200514328</v>
      </c>
    </row>
    <row r="1941" spans="1:11" ht="51" x14ac:dyDescent="0.4">
      <c r="A1941" s="10" t="s">
        <v>14189</v>
      </c>
      <c r="B1941" s="10" t="s">
        <v>14190</v>
      </c>
      <c r="C1941" s="10" t="s">
        <v>14114</v>
      </c>
      <c r="D1941" s="10" t="s">
        <v>14191</v>
      </c>
      <c r="E1941" s="10" t="s">
        <v>7391</v>
      </c>
      <c r="F1941" s="10" t="s">
        <v>14159</v>
      </c>
      <c r="G1941" s="10" t="s">
        <v>32</v>
      </c>
      <c r="H1941" s="7" t="s">
        <v>1031</v>
      </c>
      <c r="I1941" s="7" t="s">
        <v>25</v>
      </c>
      <c r="J1941" s="13" t="str">
        <f>HYPERLINK("https://www.airitibooks.com/Detail/Detail?PublicationID=P20200514335", "https://www.airitibooks.com/Detail/Detail?PublicationID=P20200514335")</f>
        <v>https://www.airitibooks.com/Detail/Detail?PublicationID=P20200514335</v>
      </c>
      <c r="K1941" s="13" t="str">
        <f>HYPERLINK("https://ntsu.idm.oclc.org/login?url=https://www.airitibooks.com/Detail/Detail?PublicationID=P20200514335", "https://ntsu.idm.oclc.org/login?url=https://www.airitibooks.com/Detail/Detail?PublicationID=P20200514335")</f>
        <v>https://ntsu.idm.oclc.org/login?url=https://www.airitibooks.com/Detail/Detail?PublicationID=P20200514335</v>
      </c>
    </row>
    <row r="1942" spans="1:11" ht="51" x14ac:dyDescent="0.4">
      <c r="A1942" s="10" t="s">
        <v>14198</v>
      </c>
      <c r="B1942" s="10" t="s">
        <v>14199</v>
      </c>
      <c r="C1942" s="10" t="s">
        <v>7164</v>
      </c>
      <c r="D1942" s="10" t="s">
        <v>14200</v>
      </c>
      <c r="E1942" s="10" t="s">
        <v>7391</v>
      </c>
      <c r="F1942" s="10" t="s">
        <v>158</v>
      </c>
      <c r="G1942" s="10" t="s">
        <v>32</v>
      </c>
      <c r="H1942" s="7" t="s">
        <v>24</v>
      </c>
      <c r="I1942" s="7" t="s">
        <v>25</v>
      </c>
      <c r="J1942" s="13" t="str">
        <f>HYPERLINK("https://www.airitibooks.com/Detail/Detail?PublicationID=P20200521036", "https://www.airitibooks.com/Detail/Detail?PublicationID=P20200521036")</f>
        <v>https://www.airitibooks.com/Detail/Detail?PublicationID=P20200521036</v>
      </c>
      <c r="K1942" s="13" t="str">
        <f>HYPERLINK("https://ntsu.idm.oclc.org/login?url=https://www.airitibooks.com/Detail/Detail?PublicationID=P20200521036", "https://ntsu.idm.oclc.org/login?url=https://www.airitibooks.com/Detail/Detail?PublicationID=P20200521036")</f>
        <v>https://ntsu.idm.oclc.org/login?url=https://www.airitibooks.com/Detail/Detail?PublicationID=P20200521036</v>
      </c>
    </row>
    <row r="1943" spans="1:11" ht="51" x14ac:dyDescent="0.4">
      <c r="A1943" s="10" t="s">
        <v>14201</v>
      </c>
      <c r="B1943" s="10" t="s">
        <v>14202</v>
      </c>
      <c r="C1943" s="10" t="s">
        <v>11995</v>
      </c>
      <c r="D1943" s="10" t="s">
        <v>14203</v>
      </c>
      <c r="E1943" s="10" t="s">
        <v>7391</v>
      </c>
      <c r="F1943" s="10" t="s">
        <v>14204</v>
      </c>
      <c r="G1943" s="10" t="s">
        <v>32</v>
      </c>
      <c r="H1943" s="7" t="s">
        <v>24</v>
      </c>
      <c r="I1943" s="7" t="s">
        <v>25</v>
      </c>
      <c r="J1943" s="13" t="str">
        <f>HYPERLINK("https://www.airitibooks.com/Detail/Detail?PublicationID=P20200521136", "https://www.airitibooks.com/Detail/Detail?PublicationID=P20200521136")</f>
        <v>https://www.airitibooks.com/Detail/Detail?PublicationID=P20200521136</v>
      </c>
      <c r="K1943" s="13" t="str">
        <f>HYPERLINK("https://ntsu.idm.oclc.org/login?url=https://www.airitibooks.com/Detail/Detail?PublicationID=P20200521136", "https://ntsu.idm.oclc.org/login?url=https://www.airitibooks.com/Detail/Detail?PublicationID=P20200521136")</f>
        <v>https://ntsu.idm.oclc.org/login?url=https://www.airitibooks.com/Detail/Detail?PublicationID=P20200521136</v>
      </c>
    </row>
    <row r="1944" spans="1:11" ht="51" x14ac:dyDescent="0.4">
      <c r="A1944" s="10" t="s">
        <v>15393</v>
      </c>
      <c r="B1944" s="10" t="s">
        <v>15394</v>
      </c>
      <c r="C1944" s="10" t="s">
        <v>7164</v>
      </c>
      <c r="D1944" s="10" t="s">
        <v>3635</v>
      </c>
      <c r="E1944" s="10" t="s">
        <v>7391</v>
      </c>
      <c r="F1944" s="10" t="s">
        <v>176</v>
      </c>
      <c r="G1944" s="10" t="s">
        <v>32</v>
      </c>
      <c r="H1944" s="7" t="s">
        <v>24</v>
      </c>
      <c r="I1944" s="7" t="s">
        <v>25</v>
      </c>
      <c r="J1944" s="13" t="str">
        <f>HYPERLINK("https://www.airitibooks.com/Detail/Detail?PublicationID=P20210428038", "https://www.airitibooks.com/Detail/Detail?PublicationID=P20210428038")</f>
        <v>https://www.airitibooks.com/Detail/Detail?PublicationID=P20210428038</v>
      </c>
      <c r="K1944" s="13" t="str">
        <f>HYPERLINK("https://ntsu.idm.oclc.org/login?url=https://www.airitibooks.com/Detail/Detail?PublicationID=P20210428038", "https://ntsu.idm.oclc.org/login?url=https://www.airitibooks.com/Detail/Detail?PublicationID=P20210428038")</f>
        <v>https://ntsu.idm.oclc.org/login?url=https://www.airitibooks.com/Detail/Detail?PublicationID=P20210428038</v>
      </c>
    </row>
    <row r="1945" spans="1:11" ht="51" x14ac:dyDescent="0.4">
      <c r="A1945" s="10" t="s">
        <v>15395</v>
      </c>
      <c r="B1945" s="10" t="s">
        <v>15396</v>
      </c>
      <c r="C1945" s="10" t="s">
        <v>7164</v>
      </c>
      <c r="D1945" s="10" t="s">
        <v>3635</v>
      </c>
      <c r="E1945" s="10" t="s">
        <v>7391</v>
      </c>
      <c r="F1945" s="10" t="s">
        <v>176</v>
      </c>
      <c r="G1945" s="10" t="s">
        <v>32</v>
      </c>
      <c r="H1945" s="7" t="s">
        <v>24</v>
      </c>
      <c r="I1945" s="7" t="s">
        <v>25</v>
      </c>
      <c r="J1945" s="13" t="str">
        <f>HYPERLINK("https://www.airitibooks.com/Detail/Detail?PublicationID=P20210428039", "https://www.airitibooks.com/Detail/Detail?PublicationID=P20210428039")</f>
        <v>https://www.airitibooks.com/Detail/Detail?PublicationID=P20210428039</v>
      </c>
      <c r="K1945" s="13" t="str">
        <f>HYPERLINK("https://ntsu.idm.oclc.org/login?url=https://www.airitibooks.com/Detail/Detail?PublicationID=P20210428039", "https://ntsu.idm.oclc.org/login?url=https://www.airitibooks.com/Detail/Detail?PublicationID=P20210428039")</f>
        <v>https://ntsu.idm.oclc.org/login?url=https://www.airitibooks.com/Detail/Detail?PublicationID=P20210428039</v>
      </c>
    </row>
    <row r="1946" spans="1:11" ht="51" x14ac:dyDescent="0.4">
      <c r="A1946" s="10" t="s">
        <v>9031</v>
      </c>
      <c r="B1946" s="10" t="s">
        <v>9032</v>
      </c>
      <c r="C1946" s="10" t="s">
        <v>439</v>
      </c>
      <c r="D1946" s="10" t="s">
        <v>9033</v>
      </c>
      <c r="E1946" s="10" t="s">
        <v>7391</v>
      </c>
      <c r="F1946" s="10" t="s">
        <v>2990</v>
      </c>
      <c r="G1946" s="10" t="s">
        <v>502</v>
      </c>
      <c r="H1946" s="7" t="s">
        <v>24</v>
      </c>
      <c r="I1946" s="7" t="s">
        <v>25</v>
      </c>
      <c r="J1946" s="13" t="str">
        <f>HYPERLINK("https://www.airitibooks.com/Detail/Detail?PublicationID=P20180413114", "https://www.airitibooks.com/Detail/Detail?PublicationID=P20180413114")</f>
        <v>https://www.airitibooks.com/Detail/Detail?PublicationID=P20180413114</v>
      </c>
      <c r="K1946" s="13" t="str">
        <f>HYPERLINK("https://ntsu.idm.oclc.org/login?url=https://www.airitibooks.com/Detail/Detail?PublicationID=P20180413114", "https://ntsu.idm.oclc.org/login?url=https://www.airitibooks.com/Detail/Detail?PublicationID=P20180413114")</f>
        <v>https://ntsu.idm.oclc.org/login?url=https://www.airitibooks.com/Detail/Detail?PublicationID=P20180413114</v>
      </c>
    </row>
    <row r="1947" spans="1:11" ht="51" x14ac:dyDescent="0.4">
      <c r="A1947" s="10" t="s">
        <v>9034</v>
      </c>
      <c r="B1947" s="10" t="s">
        <v>9035</v>
      </c>
      <c r="C1947" s="10" t="s">
        <v>439</v>
      </c>
      <c r="D1947" s="10" t="s">
        <v>9036</v>
      </c>
      <c r="E1947" s="10" t="s">
        <v>7391</v>
      </c>
      <c r="F1947" s="10" t="s">
        <v>2990</v>
      </c>
      <c r="G1947" s="10" t="s">
        <v>502</v>
      </c>
      <c r="H1947" s="7" t="s">
        <v>24</v>
      </c>
      <c r="I1947" s="7" t="s">
        <v>25</v>
      </c>
      <c r="J1947" s="13" t="str">
        <f>HYPERLINK("https://www.airitibooks.com/Detail/Detail?PublicationID=P20180413115", "https://www.airitibooks.com/Detail/Detail?PublicationID=P20180413115")</f>
        <v>https://www.airitibooks.com/Detail/Detail?PublicationID=P20180413115</v>
      </c>
      <c r="K1947" s="13" t="str">
        <f>HYPERLINK("https://ntsu.idm.oclc.org/login?url=https://www.airitibooks.com/Detail/Detail?PublicationID=P20180413115", "https://ntsu.idm.oclc.org/login?url=https://www.airitibooks.com/Detail/Detail?PublicationID=P20180413115")</f>
        <v>https://ntsu.idm.oclc.org/login?url=https://www.airitibooks.com/Detail/Detail?PublicationID=P20180413115</v>
      </c>
    </row>
    <row r="1948" spans="1:11" ht="51" x14ac:dyDescent="0.4">
      <c r="A1948" s="10" t="s">
        <v>9157</v>
      </c>
      <c r="B1948" s="10" t="s">
        <v>9158</v>
      </c>
      <c r="C1948" s="10" t="s">
        <v>130</v>
      </c>
      <c r="D1948" s="10" t="s">
        <v>9159</v>
      </c>
      <c r="E1948" s="10" t="s">
        <v>7391</v>
      </c>
      <c r="F1948" s="10" t="s">
        <v>501</v>
      </c>
      <c r="G1948" s="10" t="s">
        <v>502</v>
      </c>
      <c r="H1948" s="7" t="s">
        <v>24</v>
      </c>
      <c r="I1948" s="7" t="s">
        <v>25</v>
      </c>
      <c r="J1948" s="13" t="str">
        <f>HYPERLINK("https://www.airitibooks.com/Detail/Detail?PublicationID=P20180511005", "https://www.airitibooks.com/Detail/Detail?PublicationID=P20180511005")</f>
        <v>https://www.airitibooks.com/Detail/Detail?PublicationID=P20180511005</v>
      </c>
      <c r="K1948" s="13" t="str">
        <f>HYPERLINK("https://ntsu.idm.oclc.org/login?url=https://www.airitibooks.com/Detail/Detail?PublicationID=P20180511005", "https://ntsu.idm.oclc.org/login?url=https://www.airitibooks.com/Detail/Detail?PublicationID=P20180511005")</f>
        <v>https://ntsu.idm.oclc.org/login?url=https://www.airitibooks.com/Detail/Detail?PublicationID=P20180511005</v>
      </c>
    </row>
    <row r="1949" spans="1:11" ht="51" x14ac:dyDescent="0.4">
      <c r="A1949" s="10" t="s">
        <v>10626</v>
      </c>
      <c r="B1949" s="10" t="s">
        <v>10627</v>
      </c>
      <c r="C1949" s="10" t="s">
        <v>457</v>
      </c>
      <c r="D1949" s="10" t="s">
        <v>10628</v>
      </c>
      <c r="E1949" s="10" t="s">
        <v>7391</v>
      </c>
      <c r="F1949" s="10" t="s">
        <v>2990</v>
      </c>
      <c r="G1949" s="10" t="s">
        <v>502</v>
      </c>
      <c r="H1949" s="7" t="s">
        <v>24</v>
      </c>
      <c r="I1949" s="7" t="s">
        <v>25</v>
      </c>
      <c r="J1949" s="13" t="str">
        <f>HYPERLINK("https://www.airitibooks.com/Detail/Detail?PublicationID=P20190214012", "https://www.airitibooks.com/Detail/Detail?PublicationID=P20190214012")</f>
        <v>https://www.airitibooks.com/Detail/Detail?PublicationID=P20190214012</v>
      </c>
      <c r="K1949" s="13" t="str">
        <f>HYPERLINK("https://ntsu.idm.oclc.org/login?url=https://www.airitibooks.com/Detail/Detail?PublicationID=P20190214012", "https://ntsu.idm.oclc.org/login?url=https://www.airitibooks.com/Detail/Detail?PublicationID=P20190214012")</f>
        <v>https://ntsu.idm.oclc.org/login?url=https://www.airitibooks.com/Detail/Detail?PublicationID=P20190214012</v>
      </c>
    </row>
    <row r="1950" spans="1:11" ht="51" x14ac:dyDescent="0.4">
      <c r="A1950" s="10" t="s">
        <v>11617</v>
      </c>
      <c r="B1950" s="10" t="s">
        <v>11618</v>
      </c>
      <c r="C1950" s="10" t="s">
        <v>439</v>
      </c>
      <c r="D1950" s="10" t="s">
        <v>11619</v>
      </c>
      <c r="E1950" s="10" t="s">
        <v>7391</v>
      </c>
      <c r="F1950" s="10" t="s">
        <v>2990</v>
      </c>
      <c r="G1950" s="10" t="s">
        <v>502</v>
      </c>
      <c r="H1950" s="7" t="s">
        <v>24</v>
      </c>
      <c r="I1950" s="7" t="s">
        <v>25</v>
      </c>
      <c r="J1950" s="13" t="str">
        <f>HYPERLINK("https://www.airitibooks.com/Detail/Detail?PublicationID=P20190606061", "https://www.airitibooks.com/Detail/Detail?PublicationID=P20190606061")</f>
        <v>https://www.airitibooks.com/Detail/Detail?PublicationID=P20190606061</v>
      </c>
      <c r="K1950" s="13" t="str">
        <f>HYPERLINK("https://ntsu.idm.oclc.org/login?url=https://www.airitibooks.com/Detail/Detail?PublicationID=P20190606061", "https://ntsu.idm.oclc.org/login?url=https://www.airitibooks.com/Detail/Detail?PublicationID=P20190606061")</f>
        <v>https://ntsu.idm.oclc.org/login?url=https://www.airitibooks.com/Detail/Detail?PublicationID=P20190606061</v>
      </c>
    </row>
    <row r="1951" spans="1:11" ht="51" x14ac:dyDescent="0.4">
      <c r="A1951" s="10" t="s">
        <v>11933</v>
      </c>
      <c r="B1951" s="10" t="s">
        <v>11934</v>
      </c>
      <c r="C1951" s="10" t="s">
        <v>11935</v>
      </c>
      <c r="D1951" s="10" t="s">
        <v>11936</v>
      </c>
      <c r="E1951" s="10" t="s">
        <v>7391</v>
      </c>
      <c r="F1951" s="10" t="s">
        <v>11702</v>
      </c>
      <c r="G1951" s="10" t="s">
        <v>502</v>
      </c>
      <c r="H1951" s="7" t="s">
        <v>1031</v>
      </c>
      <c r="I1951" s="7" t="s">
        <v>25</v>
      </c>
      <c r="J1951" s="13" t="str">
        <f>HYPERLINK("https://www.airitibooks.com/Detail/Detail?PublicationID=P20190705081", "https://www.airitibooks.com/Detail/Detail?PublicationID=P20190705081")</f>
        <v>https://www.airitibooks.com/Detail/Detail?PublicationID=P20190705081</v>
      </c>
      <c r="K1951" s="13" t="str">
        <f>HYPERLINK("https://ntsu.idm.oclc.org/login?url=https://www.airitibooks.com/Detail/Detail?PublicationID=P20190705081", "https://ntsu.idm.oclc.org/login?url=https://www.airitibooks.com/Detail/Detail?PublicationID=P20190705081")</f>
        <v>https://ntsu.idm.oclc.org/login?url=https://www.airitibooks.com/Detail/Detail?PublicationID=P20190705081</v>
      </c>
    </row>
    <row r="1952" spans="1:11" ht="51" x14ac:dyDescent="0.4">
      <c r="A1952" s="10" t="s">
        <v>12185</v>
      </c>
      <c r="B1952" s="10" t="s">
        <v>12186</v>
      </c>
      <c r="C1952" s="10" t="s">
        <v>12187</v>
      </c>
      <c r="D1952" s="10" t="s">
        <v>12188</v>
      </c>
      <c r="E1952" s="10" t="s">
        <v>7391</v>
      </c>
      <c r="F1952" s="10" t="s">
        <v>851</v>
      </c>
      <c r="G1952" s="10" t="s">
        <v>502</v>
      </c>
      <c r="H1952" s="7" t="s">
        <v>24</v>
      </c>
      <c r="I1952" s="7" t="s">
        <v>25</v>
      </c>
      <c r="J1952" s="13" t="str">
        <f>HYPERLINK("https://www.airitibooks.com/Detail/Detail?PublicationID=P20190823041", "https://www.airitibooks.com/Detail/Detail?PublicationID=P20190823041")</f>
        <v>https://www.airitibooks.com/Detail/Detail?PublicationID=P20190823041</v>
      </c>
      <c r="K1952" s="13" t="str">
        <f>HYPERLINK("https://ntsu.idm.oclc.org/login?url=https://www.airitibooks.com/Detail/Detail?PublicationID=P20190823041", "https://ntsu.idm.oclc.org/login?url=https://www.airitibooks.com/Detail/Detail?PublicationID=P20190823041")</f>
        <v>https://ntsu.idm.oclc.org/login?url=https://www.airitibooks.com/Detail/Detail?PublicationID=P20190823041</v>
      </c>
    </row>
    <row r="1953" spans="1:11" ht="68" x14ac:dyDescent="0.4">
      <c r="A1953" s="10" t="s">
        <v>12191</v>
      </c>
      <c r="B1953" s="10" t="s">
        <v>12192</v>
      </c>
      <c r="C1953" s="10" t="s">
        <v>12187</v>
      </c>
      <c r="D1953" s="10" t="s">
        <v>12188</v>
      </c>
      <c r="E1953" s="10" t="s">
        <v>7391</v>
      </c>
      <c r="F1953" s="10" t="s">
        <v>851</v>
      </c>
      <c r="G1953" s="10" t="s">
        <v>502</v>
      </c>
      <c r="H1953" s="7" t="s">
        <v>24</v>
      </c>
      <c r="I1953" s="7" t="s">
        <v>25</v>
      </c>
      <c r="J1953" s="13" t="str">
        <f>HYPERLINK("https://www.airitibooks.com/Detail/Detail?PublicationID=P20190823043", "https://www.airitibooks.com/Detail/Detail?PublicationID=P20190823043")</f>
        <v>https://www.airitibooks.com/Detail/Detail?PublicationID=P20190823043</v>
      </c>
      <c r="K1953" s="13" t="str">
        <f>HYPERLINK("https://ntsu.idm.oclc.org/login?url=https://www.airitibooks.com/Detail/Detail?PublicationID=P20190823043", "https://ntsu.idm.oclc.org/login?url=https://www.airitibooks.com/Detail/Detail?PublicationID=P20190823043")</f>
        <v>https://ntsu.idm.oclc.org/login?url=https://www.airitibooks.com/Detail/Detail?PublicationID=P20190823043</v>
      </c>
    </row>
    <row r="1954" spans="1:11" ht="51" x14ac:dyDescent="0.4">
      <c r="A1954" s="10" t="s">
        <v>8287</v>
      </c>
      <c r="B1954" s="10" t="s">
        <v>8288</v>
      </c>
      <c r="C1954" s="10" t="s">
        <v>7164</v>
      </c>
      <c r="D1954" s="10" t="s">
        <v>8289</v>
      </c>
      <c r="E1954" s="10" t="s">
        <v>7391</v>
      </c>
      <c r="F1954" s="10" t="s">
        <v>6664</v>
      </c>
      <c r="G1954" s="10" t="s">
        <v>37</v>
      </c>
      <c r="H1954" s="7" t="s">
        <v>24</v>
      </c>
      <c r="I1954" s="7" t="s">
        <v>25</v>
      </c>
      <c r="J1954" s="13" t="str">
        <f>HYPERLINK("https://www.airitibooks.com/Detail/Detail?PublicationID=P20180119125", "https://www.airitibooks.com/Detail/Detail?PublicationID=P20180119125")</f>
        <v>https://www.airitibooks.com/Detail/Detail?PublicationID=P20180119125</v>
      </c>
      <c r="K1954" s="13" t="str">
        <f>HYPERLINK("https://ntsu.idm.oclc.org/login?url=https://www.airitibooks.com/Detail/Detail?PublicationID=P20180119125", "https://ntsu.idm.oclc.org/login?url=https://www.airitibooks.com/Detail/Detail?PublicationID=P20180119125")</f>
        <v>https://ntsu.idm.oclc.org/login?url=https://www.airitibooks.com/Detail/Detail?PublicationID=P20180119125</v>
      </c>
    </row>
    <row r="1955" spans="1:11" ht="68" x14ac:dyDescent="0.4">
      <c r="A1955" s="10" t="s">
        <v>8400</v>
      </c>
      <c r="B1955" s="10" t="s">
        <v>8401</v>
      </c>
      <c r="C1955" s="10" t="s">
        <v>8402</v>
      </c>
      <c r="D1955" s="10" t="s">
        <v>8403</v>
      </c>
      <c r="E1955" s="10" t="s">
        <v>7391</v>
      </c>
      <c r="F1955" s="10" t="s">
        <v>8404</v>
      </c>
      <c r="G1955" s="10" t="s">
        <v>37</v>
      </c>
      <c r="H1955" s="7" t="s">
        <v>24</v>
      </c>
      <c r="I1955" s="7" t="s">
        <v>25</v>
      </c>
      <c r="J1955" s="13" t="str">
        <f>HYPERLINK("https://www.airitibooks.com/Detail/Detail?PublicationID=P20180205108", "https://www.airitibooks.com/Detail/Detail?PublicationID=P20180205108")</f>
        <v>https://www.airitibooks.com/Detail/Detail?PublicationID=P20180205108</v>
      </c>
      <c r="K1955" s="13" t="str">
        <f>HYPERLINK("https://ntsu.idm.oclc.org/login?url=https://www.airitibooks.com/Detail/Detail?PublicationID=P20180205108", "https://ntsu.idm.oclc.org/login?url=https://www.airitibooks.com/Detail/Detail?PublicationID=P20180205108")</f>
        <v>https://ntsu.idm.oclc.org/login?url=https://www.airitibooks.com/Detail/Detail?PublicationID=P20180205108</v>
      </c>
    </row>
    <row r="1956" spans="1:11" ht="51" x14ac:dyDescent="0.4">
      <c r="A1956" s="10" t="s">
        <v>8405</v>
      </c>
      <c r="B1956" s="10" t="s">
        <v>8406</v>
      </c>
      <c r="C1956" s="10" t="s">
        <v>4616</v>
      </c>
      <c r="D1956" s="10" t="s">
        <v>8407</v>
      </c>
      <c r="E1956" s="10" t="s">
        <v>7391</v>
      </c>
      <c r="F1956" s="10" t="s">
        <v>8408</v>
      </c>
      <c r="G1956" s="10" t="s">
        <v>37</v>
      </c>
      <c r="H1956" s="7" t="s">
        <v>24</v>
      </c>
      <c r="I1956" s="7" t="s">
        <v>25</v>
      </c>
      <c r="J1956" s="13" t="str">
        <f>HYPERLINK("https://www.airitibooks.com/Detail/Detail?PublicationID=P20180205111", "https://www.airitibooks.com/Detail/Detail?PublicationID=P20180205111")</f>
        <v>https://www.airitibooks.com/Detail/Detail?PublicationID=P20180205111</v>
      </c>
      <c r="K1956" s="13" t="str">
        <f>HYPERLINK("https://ntsu.idm.oclc.org/login?url=https://www.airitibooks.com/Detail/Detail?PublicationID=P20180205111", "https://ntsu.idm.oclc.org/login?url=https://www.airitibooks.com/Detail/Detail?PublicationID=P20180205111")</f>
        <v>https://ntsu.idm.oclc.org/login?url=https://www.airitibooks.com/Detail/Detail?PublicationID=P20180205111</v>
      </c>
    </row>
    <row r="1957" spans="1:11" ht="51" x14ac:dyDescent="0.4">
      <c r="A1957" s="10" t="s">
        <v>8530</v>
      </c>
      <c r="B1957" s="10" t="s">
        <v>8531</v>
      </c>
      <c r="C1957" s="10" t="s">
        <v>7164</v>
      </c>
      <c r="D1957" s="10" t="s">
        <v>8532</v>
      </c>
      <c r="E1957" s="10" t="s">
        <v>7391</v>
      </c>
      <c r="F1957" s="10" t="s">
        <v>6664</v>
      </c>
      <c r="G1957" s="10" t="s">
        <v>37</v>
      </c>
      <c r="H1957" s="7" t="s">
        <v>24</v>
      </c>
      <c r="I1957" s="7" t="s">
        <v>25</v>
      </c>
      <c r="J1957" s="13" t="str">
        <f>HYPERLINK("https://www.airitibooks.com/Detail/Detail?PublicationID=P20180208281", "https://www.airitibooks.com/Detail/Detail?PublicationID=P20180208281")</f>
        <v>https://www.airitibooks.com/Detail/Detail?PublicationID=P20180208281</v>
      </c>
      <c r="K1957" s="13" t="str">
        <f>HYPERLINK("https://ntsu.idm.oclc.org/login?url=https://www.airitibooks.com/Detail/Detail?PublicationID=P20180208281", "https://ntsu.idm.oclc.org/login?url=https://www.airitibooks.com/Detail/Detail?PublicationID=P20180208281")</f>
        <v>https://ntsu.idm.oclc.org/login?url=https://www.airitibooks.com/Detail/Detail?PublicationID=P20180208281</v>
      </c>
    </row>
    <row r="1958" spans="1:11" ht="68" x14ac:dyDescent="0.4">
      <c r="A1958" s="10" t="s">
        <v>8859</v>
      </c>
      <c r="B1958" s="10" t="s">
        <v>8860</v>
      </c>
      <c r="C1958" s="10" t="s">
        <v>3426</v>
      </c>
      <c r="D1958" s="10" t="s">
        <v>8861</v>
      </c>
      <c r="E1958" s="10" t="s">
        <v>7391</v>
      </c>
      <c r="F1958" s="10" t="s">
        <v>8862</v>
      </c>
      <c r="G1958" s="10" t="s">
        <v>37</v>
      </c>
      <c r="H1958" s="7" t="s">
        <v>24</v>
      </c>
      <c r="I1958" s="7" t="s">
        <v>25</v>
      </c>
      <c r="J1958" s="13" t="str">
        <f>HYPERLINK("https://www.airitibooks.com/Detail/Detail?PublicationID=P20180330077", "https://www.airitibooks.com/Detail/Detail?PublicationID=P20180330077")</f>
        <v>https://www.airitibooks.com/Detail/Detail?PublicationID=P20180330077</v>
      </c>
      <c r="K1958" s="13" t="str">
        <f>HYPERLINK("https://ntsu.idm.oclc.org/login?url=https://www.airitibooks.com/Detail/Detail?PublicationID=P20180330077", "https://ntsu.idm.oclc.org/login?url=https://www.airitibooks.com/Detail/Detail?PublicationID=P20180330077")</f>
        <v>https://ntsu.idm.oclc.org/login?url=https://www.airitibooks.com/Detail/Detail?PublicationID=P20180330077</v>
      </c>
    </row>
    <row r="1959" spans="1:11" ht="51" x14ac:dyDescent="0.4">
      <c r="A1959" s="10" t="s">
        <v>9062</v>
      </c>
      <c r="B1959" s="10" t="s">
        <v>9063</v>
      </c>
      <c r="C1959" s="10" t="s">
        <v>3426</v>
      </c>
      <c r="D1959" s="10" t="s">
        <v>9064</v>
      </c>
      <c r="E1959" s="10" t="s">
        <v>7391</v>
      </c>
      <c r="F1959" s="10" t="s">
        <v>9065</v>
      </c>
      <c r="G1959" s="10" t="s">
        <v>37</v>
      </c>
      <c r="H1959" s="7" t="s">
        <v>24</v>
      </c>
      <c r="I1959" s="7" t="s">
        <v>25</v>
      </c>
      <c r="J1959" s="13" t="str">
        <f>HYPERLINK("https://www.airitibooks.com/Detail/Detail?PublicationID=P20180413188", "https://www.airitibooks.com/Detail/Detail?PublicationID=P20180413188")</f>
        <v>https://www.airitibooks.com/Detail/Detail?PublicationID=P20180413188</v>
      </c>
      <c r="K1959" s="13" t="str">
        <f>HYPERLINK("https://ntsu.idm.oclc.org/login?url=https://www.airitibooks.com/Detail/Detail?PublicationID=P20180413188", "https://ntsu.idm.oclc.org/login?url=https://www.airitibooks.com/Detail/Detail?PublicationID=P20180413188")</f>
        <v>https://ntsu.idm.oclc.org/login?url=https://www.airitibooks.com/Detail/Detail?PublicationID=P20180413188</v>
      </c>
    </row>
    <row r="1960" spans="1:11" ht="68" x14ac:dyDescent="0.4">
      <c r="A1960" s="10" t="s">
        <v>9419</v>
      </c>
      <c r="B1960" s="10" t="s">
        <v>9420</v>
      </c>
      <c r="C1960" s="10" t="s">
        <v>3426</v>
      </c>
      <c r="D1960" s="10" t="s">
        <v>9421</v>
      </c>
      <c r="E1960" s="10" t="s">
        <v>7391</v>
      </c>
      <c r="F1960" s="10" t="s">
        <v>9422</v>
      </c>
      <c r="G1960" s="10" t="s">
        <v>37</v>
      </c>
      <c r="H1960" s="7" t="s">
        <v>24</v>
      </c>
      <c r="I1960" s="7" t="s">
        <v>25</v>
      </c>
      <c r="J1960" s="13" t="str">
        <f>HYPERLINK("https://www.airitibooks.com/Detail/Detail?PublicationID=P20180614006", "https://www.airitibooks.com/Detail/Detail?PublicationID=P20180614006")</f>
        <v>https://www.airitibooks.com/Detail/Detail?PublicationID=P20180614006</v>
      </c>
      <c r="K1960" s="13" t="str">
        <f>HYPERLINK("https://ntsu.idm.oclc.org/login?url=https://www.airitibooks.com/Detail/Detail?PublicationID=P20180614006", "https://ntsu.idm.oclc.org/login?url=https://www.airitibooks.com/Detail/Detail?PublicationID=P20180614006")</f>
        <v>https://ntsu.idm.oclc.org/login?url=https://www.airitibooks.com/Detail/Detail?PublicationID=P20180614006</v>
      </c>
    </row>
    <row r="1961" spans="1:11" ht="51" x14ac:dyDescent="0.4">
      <c r="A1961" s="10" t="s">
        <v>9596</v>
      </c>
      <c r="B1961" s="10" t="s">
        <v>9597</v>
      </c>
      <c r="C1961" s="10" t="s">
        <v>938</v>
      </c>
      <c r="D1961" s="10" t="s">
        <v>939</v>
      </c>
      <c r="E1961" s="10" t="s">
        <v>7391</v>
      </c>
      <c r="F1961" s="10" t="s">
        <v>6664</v>
      </c>
      <c r="G1961" s="10" t="s">
        <v>37</v>
      </c>
      <c r="H1961" s="7" t="s">
        <v>24</v>
      </c>
      <c r="I1961" s="7" t="s">
        <v>25</v>
      </c>
      <c r="J1961" s="13" t="str">
        <f>HYPERLINK("https://www.airitibooks.com/Detail/Detail?PublicationID=P20180809008", "https://www.airitibooks.com/Detail/Detail?PublicationID=P20180809008")</f>
        <v>https://www.airitibooks.com/Detail/Detail?PublicationID=P20180809008</v>
      </c>
      <c r="K1961" s="13" t="str">
        <f>HYPERLINK("https://ntsu.idm.oclc.org/login?url=https://www.airitibooks.com/Detail/Detail?PublicationID=P20180809008", "https://ntsu.idm.oclc.org/login?url=https://www.airitibooks.com/Detail/Detail?PublicationID=P20180809008")</f>
        <v>https://ntsu.idm.oclc.org/login?url=https://www.airitibooks.com/Detail/Detail?PublicationID=P20180809008</v>
      </c>
    </row>
    <row r="1962" spans="1:11" ht="51" x14ac:dyDescent="0.4">
      <c r="A1962" s="10" t="s">
        <v>9598</v>
      </c>
      <c r="B1962" s="10" t="s">
        <v>9599</v>
      </c>
      <c r="C1962" s="10" t="s">
        <v>938</v>
      </c>
      <c r="D1962" s="10" t="s">
        <v>943</v>
      </c>
      <c r="E1962" s="10" t="s">
        <v>7391</v>
      </c>
      <c r="F1962" s="10" t="s">
        <v>6664</v>
      </c>
      <c r="G1962" s="10" t="s">
        <v>37</v>
      </c>
      <c r="H1962" s="7" t="s">
        <v>24</v>
      </c>
      <c r="I1962" s="7" t="s">
        <v>25</v>
      </c>
      <c r="J1962" s="13" t="str">
        <f>HYPERLINK("https://www.airitibooks.com/Detail/Detail?PublicationID=P20180809009", "https://www.airitibooks.com/Detail/Detail?PublicationID=P20180809009")</f>
        <v>https://www.airitibooks.com/Detail/Detail?PublicationID=P20180809009</v>
      </c>
      <c r="K1962" s="13" t="str">
        <f>HYPERLINK("https://ntsu.idm.oclc.org/login?url=https://www.airitibooks.com/Detail/Detail?PublicationID=P20180809009", "https://ntsu.idm.oclc.org/login?url=https://www.airitibooks.com/Detail/Detail?PublicationID=P20180809009")</f>
        <v>https://ntsu.idm.oclc.org/login?url=https://www.airitibooks.com/Detail/Detail?PublicationID=P20180809009</v>
      </c>
    </row>
    <row r="1963" spans="1:11" ht="68" x14ac:dyDescent="0.4">
      <c r="A1963" s="10" t="s">
        <v>9600</v>
      </c>
      <c r="B1963" s="10" t="s">
        <v>9601</v>
      </c>
      <c r="C1963" s="10" t="s">
        <v>938</v>
      </c>
      <c r="D1963" s="10" t="s">
        <v>9602</v>
      </c>
      <c r="E1963" s="10" t="s">
        <v>7391</v>
      </c>
      <c r="F1963" s="10" t="s">
        <v>6664</v>
      </c>
      <c r="G1963" s="10" t="s">
        <v>37</v>
      </c>
      <c r="H1963" s="7" t="s">
        <v>24</v>
      </c>
      <c r="I1963" s="7" t="s">
        <v>25</v>
      </c>
      <c r="J1963" s="13" t="str">
        <f>HYPERLINK("https://www.airitibooks.com/Detail/Detail?PublicationID=P20180809010", "https://www.airitibooks.com/Detail/Detail?PublicationID=P20180809010")</f>
        <v>https://www.airitibooks.com/Detail/Detail?PublicationID=P20180809010</v>
      </c>
      <c r="K1963" s="13" t="str">
        <f>HYPERLINK("https://ntsu.idm.oclc.org/login?url=https://www.airitibooks.com/Detail/Detail?PublicationID=P20180809010", "https://ntsu.idm.oclc.org/login?url=https://www.airitibooks.com/Detail/Detail?PublicationID=P20180809010")</f>
        <v>https://ntsu.idm.oclc.org/login?url=https://www.airitibooks.com/Detail/Detail?PublicationID=P20180809010</v>
      </c>
    </row>
    <row r="1964" spans="1:11" ht="51" x14ac:dyDescent="0.4">
      <c r="A1964" s="10" t="s">
        <v>9603</v>
      </c>
      <c r="B1964" s="10" t="s">
        <v>9604</v>
      </c>
      <c r="C1964" s="10" t="s">
        <v>938</v>
      </c>
      <c r="D1964" s="10" t="s">
        <v>939</v>
      </c>
      <c r="E1964" s="10" t="s">
        <v>7391</v>
      </c>
      <c r="F1964" s="10" t="s">
        <v>6664</v>
      </c>
      <c r="G1964" s="10" t="s">
        <v>37</v>
      </c>
      <c r="H1964" s="7" t="s">
        <v>24</v>
      </c>
      <c r="I1964" s="7" t="s">
        <v>25</v>
      </c>
      <c r="J1964" s="13" t="str">
        <f>HYPERLINK("https://www.airitibooks.com/Detail/Detail?PublicationID=P20180809012", "https://www.airitibooks.com/Detail/Detail?PublicationID=P20180809012")</f>
        <v>https://www.airitibooks.com/Detail/Detail?PublicationID=P20180809012</v>
      </c>
      <c r="K1964" s="13" t="str">
        <f>HYPERLINK("https://ntsu.idm.oclc.org/login?url=https://www.airitibooks.com/Detail/Detail?PublicationID=P20180809012", "https://ntsu.idm.oclc.org/login?url=https://www.airitibooks.com/Detail/Detail?PublicationID=P20180809012")</f>
        <v>https://ntsu.idm.oclc.org/login?url=https://www.airitibooks.com/Detail/Detail?PublicationID=P20180809012</v>
      </c>
    </row>
    <row r="1965" spans="1:11" ht="68" x14ac:dyDescent="0.4">
      <c r="A1965" s="10" t="s">
        <v>9605</v>
      </c>
      <c r="B1965" s="10" t="s">
        <v>9606</v>
      </c>
      <c r="C1965" s="10" t="s">
        <v>938</v>
      </c>
      <c r="D1965" s="10" t="s">
        <v>9607</v>
      </c>
      <c r="E1965" s="10" t="s">
        <v>7391</v>
      </c>
      <c r="F1965" s="10" t="s">
        <v>6664</v>
      </c>
      <c r="G1965" s="10" t="s">
        <v>37</v>
      </c>
      <c r="H1965" s="7" t="s">
        <v>24</v>
      </c>
      <c r="I1965" s="7" t="s">
        <v>25</v>
      </c>
      <c r="J1965" s="13" t="str">
        <f>HYPERLINK("https://www.airitibooks.com/Detail/Detail?PublicationID=P20180809013", "https://www.airitibooks.com/Detail/Detail?PublicationID=P20180809013")</f>
        <v>https://www.airitibooks.com/Detail/Detail?PublicationID=P20180809013</v>
      </c>
      <c r="K1965" s="13" t="str">
        <f>HYPERLINK("https://ntsu.idm.oclc.org/login?url=https://www.airitibooks.com/Detail/Detail?PublicationID=P20180809013", "https://ntsu.idm.oclc.org/login?url=https://www.airitibooks.com/Detail/Detail?PublicationID=P20180809013")</f>
        <v>https://ntsu.idm.oclc.org/login?url=https://www.airitibooks.com/Detail/Detail?PublicationID=P20180809013</v>
      </c>
    </row>
    <row r="1966" spans="1:11" ht="51" x14ac:dyDescent="0.4">
      <c r="A1966" s="10" t="s">
        <v>7039</v>
      </c>
      <c r="B1966" s="10" t="s">
        <v>9608</v>
      </c>
      <c r="C1966" s="10" t="s">
        <v>938</v>
      </c>
      <c r="D1966" s="10" t="s">
        <v>2142</v>
      </c>
      <c r="E1966" s="10" t="s">
        <v>7391</v>
      </c>
      <c r="F1966" s="10" t="s">
        <v>6664</v>
      </c>
      <c r="G1966" s="10" t="s">
        <v>37</v>
      </c>
      <c r="H1966" s="7" t="s">
        <v>7839</v>
      </c>
      <c r="I1966" s="7" t="s">
        <v>25</v>
      </c>
      <c r="J1966" s="13" t="str">
        <f>HYPERLINK("https://www.airitibooks.com/Detail/Detail?PublicationID=P20180809014", "https://www.airitibooks.com/Detail/Detail?PublicationID=P20180809014")</f>
        <v>https://www.airitibooks.com/Detail/Detail?PublicationID=P20180809014</v>
      </c>
      <c r="K1966" s="13" t="str">
        <f>HYPERLINK("https://ntsu.idm.oclc.org/login?url=https://www.airitibooks.com/Detail/Detail?PublicationID=P20180809014", "https://ntsu.idm.oclc.org/login?url=https://www.airitibooks.com/Detail/Detail?PublicationID=P20180809014")</f>
        <v>https://ntsu.idm.oclc.org/login?url=https://www.airitibooks.com/Detail/Detail?PublicationID=P20180809014</v>
      </c>
    </row>
    <row r="1967" spans="1:11" ht="85" x14ac:dyDescent="0.4">
      <c r="A1967" s="10" t="s">
        <v>9609</v>
      </c>
      <c r="B1967" s="10" t="s">
        <v>9610</v>
      </c>
      <c r="C1967" s="10" t="s">
        <v>938</v>
      </c>
      <c r="D1967" s="10" t="s">
        <v>7037</v>
      </c>
      <c r="E1967" s="10" t="s">
        <v>7391</v>
      </c>
      <c r="F1967" s="10" t="s">
        <v>6664</v>
      </c>
      <c r="G1967" s="10" t="s">
        <v>37</v>
      </c>
      <c r="H1967" s="7" t="s">
        <v>24</v>
      </c>
      <c r="I1967" s="7" t="s">
        <v>25</v>
      </c>
      <c r="J1967" s="13" t="str">
        <f>HYPERLINK("https://www.airitibooks.com/Detail/Detail?PublicationID=P20180809015", "https://www.airitibooks.com/Detail/Detail?PublicationID=P20180809015")</f>
        <v>https://www.airitibooks.com/Detail/Detail?PublicationID=P20180809015</v>
      </c>
      <c r="K1967" s="13" t="str">
        <f>HYPERLINK("https://ntsu.idm.oclc.org/login?url=https://www.airitibooks.com/Detail/Detail?PublicationID=P20180809015", "https://ntsu.idm.oclc.org/login?url=https://www.airitibooks.com/Detail/Detail?PublicationID=P20180809015")</f>
        <v>https://ntsu.idm.oclc.org/login?url=https://www.airitibooks.com/Detail/Detail?PublicationID=P20180809015</v>
      </c>
    </row>
    <row r="1968" spans="1:11" ht="51" x14ac:dyDescent="0.4">
      <c r="A1968" s="10" t="s">
        <v>9611</v>
      </c>
      <c r="B1968" s="10" t="s">
        <v>9612</v>
      </c>
      <c r="C1968" s="10" t="s">
        <v>938</v>
      </c>
      <c r="D1968" s="10" t="s">
        <v>3893</v>
      </c>
      <c r="E1968" s="10" t="s">
        <v>7391</v>
      </c>
      <c r="F1968" s="10" t="s">
        <v>6664</v>
      </c>
      <c r="G1968" s="10" t="s">
        <v>37</v>
      </c>
      <c r="H1968" s="7" t="s">
        <v>7839</v>
      </c>
      <c r="I1968" s="7" t="s">
        <v>25</v>
      </c>
      <c r="J1968" s="13" t="str">
        <f>HYPERLINK("https://www.airitibooks.com/Detail/Detail?PublicationID=P20180809016", "https://www.airitibooks.com/Detail/Detail?PublicationID=P20180809016")</f>
        <v>https://www.airitibooks.com/Detail/Detail?PublicationID=P20180809016</v>
      </c>
      <c r="K1968" s="13" t="str">
        <f>HYPERLINK("https://ntsu.idm.oclc.org/login?url=https://www.airitibooks.com/Detail/Detail?PublicationID=P20180809016", "https://ntsu.idm.oclc.org/login?url=https://www.airitibooks.com/Detail/Detail?PublicationID=P20180809016")</f>
        <v>https://ntsu.idm.oclc.org/login?url=https://www.airitibooks.com/Detail/Detail?PublicationID=P20180809016</v>
      </c>
    </row>
    <row r="1969" spans="1:11" ht="51" x14ac:dyDescent="0.4">
      <c r="A1969" s="10" t="s">
        <v>9613</v>
      </c>
      <c r="B1969" s="10" t="s">
        <v>9614</v>
      </c>
      <c r="C1969" s="10" t="s">
        <v>938</v>
      </c>
      <c r="D1969" s="10" t="s">
        <v>939</v>
      </c>
      <c r="E1969" s="10" t="s">
        <v>7391</v>
      </c>
      <c r="F1969" s="10" t="s">
        <v>6664</v>
      </c>
      <c r="G1969" s="10" t="s">
        <v>37</v>
      </c>
      <c r="H1969" s="7" t="s">
        <v>24</v>
      </c>
      <c r="I1969" s="7" t="s">
        <v>25</v>
      </c>
      <c r="J1969" s="13" t="str">
        <f>HYPERLINK("https://www.airitibooks.com/Detail/Detail?PublicationID=P20180809017", "https://www.airitibooks.com/Detail/Detail?PublicationID=P20180809017")</f>
        <v>https://www.airitibooks.com/Detail/Detail?PublicationID=P20180809017</v>
      </c>
      <c r="K1969" s="13" t="str">
        <f>HYPERLINK("https://ntsu.idm.oclc.org/login?url=https://www.airitibooks.com/Detail/Detail?PublicationID=P20180809017", "https://ntsu.idm.oclc.org/login?url=https://www.airitibooks.com/Detail/Detail?PublicationID=P20180809017")</f>
        <v>https://ntsu.idm.oclc.org/login?url=https://www.airitibooks.com/Detail/Detail?PublicationID=P20180809017</v>
      </c>
    </row>
    <row r="1970" spans="1:11" ht="51" x14ac:dyDescent="0.4">
      <c r="A1970" s="10" t="s">
        <v>9615</v>
      </c>
      <c r="B1970" s="10" t="s">
        <v>9616</v>
      </c>
      <c r="C1970" s="10" t="s">
        <v>938</v>
      </c>
      <c r="D1970" s="10" t="s">
        <v>943</v>
      </c>
      <c r="E1970" s="10" t="s">
        <v>7391</v>
      </c>
      <c r="F1970" s="10" t="s">
        <v>6664</v>
      </c>
      <c r="G1970" s="10" t="s">
        <v>37</v>
      </c>
      <c r="H1970" s="7" t="s">
        <v>24</v>
      </c>
      <c r="I1970" s="7" t="s">
        <v>25</v>
      </c>
      <c r="J1970" s="13" t="str">
        <f>HYPERLINK("https://www.airitibooks.com/Detail/Detail?PublicationID=P20180809018", "https://www.airitibooks.com/Detail/Detail?PublicationID=P20180809018")</f>
        <v>https://www.airitibooks.com/Detail/Detail?PublicationID=P20180809018</v>
      </c>
      <c r="K1970" s="13" t="str">
        <f>HYPERLINK("https://ntsu.idm.oclc.org/login?url=https://www.airitibooks.com/Detail/Detail?PublicationID=P20180809018", "https://ntsu.idm.oclc.org/login?url=https://www.airitibooks.com/Detail/Detail?PublicationID=P20180809018")</f>
        <v>https://ntsu.idm.oclc.org/login?url=https://www.airitibooks.com/Detail/Detail?PublicationID=P20180809018</v>
      </c>
    </row>
    <row r="1971" spans="1:11" ht="51" x14ac:dyDescent="0.4">
      <c r="A1971" s="10" t="s">
        <v>3894</v>
      </c>
      <c r="B1971" s="10" t="s">
        <v>9617</v>
      </c>
      <c r="C1971" s="10" t="s">
        <v>938</v>
      </c>
      <c r="D1971" s="10" t="s">
        <v>3896</v>
      </c>
      <c r="E1971" s="10" t="s">
        <v>7391</v>
      </c>
      <c r="F1971" s="10" t="s">
        <v>6664</v>
      </c>
      <c r="G1971" s="10" t="s">
        <v>37</v>
      </c>
      <c r="H1971" s="7" t="s">
        <v>24</v>
      </c>
      <c r="I1971" s="7" t="s">
        <v>25</v>
      </c>
      <c r="J1971" s="13" t="str">
        <f>HYPERLINK("https://www.airitibooks.com/Detail/Detail?PublicationID=P20180809019", "https://www.airitibooks.com/Detail/Detail?PublicationID=P20180809019")</f>
        <v>https://www.airitibooks.com/Detail/Detail?PublicationID=P20180809019</v>
      </c>
      <c r="K1971" s="13" t="str">
        <f>HYPERLINK("https://ntsu.idm.oclc.org/login?url=https://www.airitibooks.com/Detail/Detail?PublicationID=P20180809019", "https://ntsu.idm.oclc.org/login?url=https://www.airitibooks.com/Detail/Detail?PublicationID=P20180809019")</f>
        <v>https://ntsu.idm.oclc.org/login?url=https://www.airitibooks.com/Detail/Detail?PublicationID=P20180809019</v>
      </c>
    </row>
    <row r="1972" spans="1:11" ht="51" x14ac:dyDescent="0.4">
      <c r="A1972" s="10" t="s">
        <v>9618</v>
      </c>
      <c r="B1972" s="10" t="s">
        <v>9619</v>
      </c>
      <c r="C1972" s="10" t="s">
        <v>938</v>
      </c>
      <c r="D1972" s="10" t="s">
        <v>939</v>
      </c>
      <c r="E1972" s="10" t="s">
        <v>7391</v>
      </c>
      <c r="F1972" s="10" t="s">
        <v>6664</v>
      </c>
      <c r="G1972" s="10" t="s">
        <v>37</v>
      </c>
      <c r="H1972" s="7" t="s">
        <v>24</v>
      </c>
      <c r="I1972" s="7" t="s">
        <v>25</v>
      </c>
      <c r="J1972" s="13" t="str">
        <f>HYPERLINK("https://www.airitibooks.com/Detail/Detail?PublicationID=P20180809020", "https://www.airitibooks.com/Detail/Detail?PublicationID=P20180809020")</f>
        <v>https://www.airitibooks.com/Detail/Detail?PublicationID=P20180809020</v>
      </c>
      <c r="K1972" s="13" t="str">
        <f>HYPERLINK("https://ntsu.idm.oclc.org/login?url=https://www.airitibooks.com/Detail/Detail?PublicationID=P20180809020", "https://ntsu.idm.oclc.org/login?url=https://www.airitibooks.com/Detail/Detail?PublicationID=P20180809020")</f>
        <v>https://ntsu.idm.oclc.org/login?url=https://www.airitibooks.com/Detail/Detail?PublicationID=P20180809020</v>
      </c>
    </row>
    <row r="1973" spans="1:11" ht="51" x14ac:dyDescent="0.4">
      <c r="A1973" s="10" t="s">
        <v>9620</v>
      </c>
      <c r="B1973" s="10" t="s">
        <v>9621</v>
      </c>
      <c r="C1973" s="10" t="s">
        <v>938</v>
      </c>
      <c r="D1973" s="10" t="s">
        <v>943</v>
      </c>
      <c r="E1973" s="10" t="s">
        <v>7391</v>
      </c>
      <c r="F1973" s="10" t="s">
        <v>6664</v>
      </c>
      <c r="G1973" s="10" t="s">
        <v>37</v>
      </c>
      <c r="H1973" s="7" t="s">
        <v>24</v>
      </c>
      <c r="I1973" s="7" t="s">
        <v>25</v>
      </c>
      <c r="J1973" s="13" t="str">
        <f>HYPERLINK("https://www.airitibooks.com/Detail/Detail?PublicationID=P20180809021", "https://www.airitibooks.com/Detail/Detail?PublicationID=P20180809021")</f>
        <v>https://www.airitibooks.com/Detail/Detail?PublicationID=P20180809021</v>
      </c>
      <c r="K1973" s="13" t="str">
        <f>HYPERLINK("https://ntsu.idm.oclc.org/login?url=https://www.airitibooks.com/Detail/Detail?PublicationID=P20180809021", "https://ntsu.idm.oclc.org/login?url=https://www.airitibooks.com/Detail/Detail?PublicationID=P20180809021")</f>
        <v>https://ntsu.idm.oclc.org/login?url=https://www.airitibooks.com/Detail/Detail?PublicationID=P20180809021</v>
      </c>
    </row>
    <row r="1974" spans="1:11" ht="51" x14ac:dyDescent="0.4">
      <c r="A1974" s="10" t="s">
        <v>3897</v>
      </c>
      <c r="B1974" s="10" t="s">
        <v>9622</v>
      </c>
      <c r="C1974" s="10" t="s">
        <v>938</v>
      </c>
      <c r="D1974" s="10" t="s">
        <v>3896</v>
      </c>
      <c r="E1974" s="10" t="s">
        <v>7391</v>
      </c>
      <c r="F1974" s="10" t="s">
        <v>6664</v>
      </c>
      <c r="G1974" s="10" t="s">
        <v>37</v>
      </c>
      <c r="H1974" s="7" t="s">
        <v>24</v>
      </c>
      <c r="I1974" s="7" t="s">
        <v>25</v>
      </c>
      <c r="J1974" s="13" t="str">
        <f>HYPERLINK("https://www.airitibooks.com/Detail/Detail?PublicationID=P20180809022", "https://www.airitibooks.com/Detail/Detail?PublicationID=P20180809022")</f>
        <v>https://www.airitibooks.com/Detail/Detail?PublicationID=P20180809022</v>
      </c>
      <c r="K1974" s="13" t="str">
        <f>HYPERLINK("https://ntsu.idm.oclc.org/login?url=https://www.airitibooks.com/Detail/Detail?PublicationID=P20180809022", "https://ntsu.idm.oclc.org/login?url=https://www.airitibooks.com/Detail/Detail?PublicationID=P20180809022")</f>
        <v>https://ntsu.idm.oclc.org/login?url=https://www.airitibooks.com/Detail/Detail?PublicationID=P20180809022</v>
      </c>
    </row>
    <row r="1975" spans="1:11" ht="51" x14ac:dyDescent="0.4">
      <c r="A1975" s="10" t="s">
        <v>9731</v>
      </c>
      <c r="B1975" s="10" t="s">
        <v>9732</v>
      </c>
      <c r="C1975" s="10" t="s">
        <v>2052</v>
      </c>
      <c r="D1975" s="10" t="s">
        <v>2053</v>
      </c>
      <c r="E1975" s="10" t="s">
        <v>7391</v>
      </c>
      <c r="F1975" s="10" t="s">
        <v>9733</v>
      </c>
      <c r="G1975" s="10" t="s">
        <v>37</v>
      </c>
      <c r="H1975" s="7" t="s">
        <v>24</v>
      </c>
      <c r="I1975" s="7" t="s">
        <v>25</v>
      </c>
      <c r="J1975" s="13" t="str">
        <f>HYPERLINK("https://www.airitibooks.com/Detail/Detail?PublicationID=P20180822001", "https://www.airitibooks.com/Detail/Detail?PublicationID=P20180822001")</f>
        <v>https://www.airitibooks.com/Detail/Detail?PublicationID=P20180822001</v>
      </c>
      <c r="K1975" s="13" t="str">
        <f>HYPERLINK("https://ntsu.idm.oclc.org/login?url=https://www.airitibooks.com/Detail/Detail?PublicationID=P20180822001", "https://ntsu.idm.oclc.org/login?url=https://www.airitibooks.com/Detail/Detail?PublicationID=P20180822001")</f>
        <v>https://ntsu.idm.oclc.org/login?url=https://www.airitibooks.com/Detail/Detail?PublicationID=P20180822001</v>
      </c>
    </row>
    <row r="1976" spans="1:11" ht="51" x14ac:dyDescent="0.4">
      <c r="A1976" s="10" t="s">
        <v>9871</v>
      </c>
      <c r="B1976" s="10" t="s">
        <v>9872</v>
      </c>
      <c r="C1976" s="10" t="s">
        <v>240</v>
      </c>
      <c r="D1976" s="10" t="s">
        <v>9873</v>
      </c>
      <c r="E1976" s="10" t="s">
        <v>7391</v>
      </c>
      <c r="F1976" s="10" t="s">
        <v>2952</v>
      </c>
      <c r="G1976" s="10" t="s">
        <v>37</v>
      </c>
      <c r="H1976" s="7" t="s">
        <v>24</v>
      </c>
      <c r="I1976" s="7" t="s">
        <v>25</v>
      </c>
      <c r="J1976" s="13" t="str">
        <f>HYPERLINK("https://www.airitibooks.com/Detail/Detail?PublicationID=P20181012019", "https://www.airitibooks.com/Detail/Detail?PublicationID=P20181012019")</f>
        <v>https://www.airitibooks.com/Detail/Detail?PublicationID=P20181012019</v>
      </c>
      <c r="K1976" s="13" t="str">
        <f>HYPERLINK("https://ntsu.idm.oclc.org/login?url=https://www.airitibooks.com/Detail/Detail?PublicationID=P20181012019", "https://ntsu.idm.oclc.org/login?url=https://www.airitibooks.com/Detail/Detail?PublicationID=P20181012019")</f>
        <v>https://ntsu.idm.oclc.org/login?url=https://www.airitibooks.com/Detail/Detail?PublicationID=P20181012019</v>
      </c>
    </row>
    <row r="1977" spans="1:11" ht="51" x14ac:dyDescent="0.4">
      <c r="A1977" s="10" t="s">
        <v>9958</v>
      </c>
      <c r="B1977" s="10" t="s">
        <v>9959</v>
      </c>
      <c r="C1977" s="10" t="s">
        <v>9915</v>
      </c>
      <c r="D1977" s="10" t="s">
        <v>9960</v>
      </c>
      <c r="E1977" s="10" t="s">
        <v>7391</v>
      </c>
      <c r="F1977" s="10" t="s">
        <v>9961</v>
      </c>
      <c r="G1977" s="10" t="s">
        <v>37</v>
      </c>
      <c r="H1977" s="7" t="s">
        <v>24</v>
      </c>
      <c r="I1977" s="7" t="s">
        <v>25</v>
      </c>
      <c r="J1977" s="13" t="str">
        <f>HYPERLINK("https://www.airitibooks.com/Detail/Detail?PublicationID=P20181031003", "https://www.airitibooks.com/Detail/Detail?PublicationID=P20181031003")</f>
        <v>https://www.airitibooks.com/Detail/Detail?PublicationID=P20181031003</v>
      </c>
      <c r="K1977" s="13" t="str">
        <f>HYPERLINK("https://ntsu.idm.oclc.org/login?url=https://www.airitibooks.com/Detail/Detail?PublicationID=P20181031003", "https://ntsu.idm.oclc.org/login?url=https://www.airitibooks.com/Detail/Detail?PublicationID=P20181031003")</f>
        <v>https://ntsu.idm.oclc.org/login?url=https://www.airitibooks.com/Detail/Detail?PublicationID=P20181031003</v>
      </c>
    </row>
    <row r="1978" spans="1:11" ht="51" x14ac:dyDescent="0.4">
      <c r="A1978" s="10" t="s">
        <v>10215</v>
      </c>
      <c r="B1978" s="10" t="s">
        <v>10216</v>
      </c>
      <c r="C1978" s="10" t="s">
        <v>756</v>
      </c>
      <c r="D1978" s="10" t="s">
        <v>10217</v>
      </c>
      <c r="E1978" s="10" t="s">
        <v>7391</v>
      </c>
      <c r="F1978" s="10" t="s">
        <v>3356</v>
      </c>
      <c r="G1978" s="10" t="s">
        <v>37</v>
      </c>
      <c r="H1978" s="7" t="s">
        <v>24</v>
      </c>
      <c r="I1978" s="7" t="s">
        <v>25</v>
      </c>
      <c r="J1978" s="13" t="str">
        <f>HYPERLINK("https://www.airitibooks.com/Detail/Detail?PublicationID=P20181130001", "https://www.airitibooks.com/Detail/Detail?PublicationID=P20181130001")</f>
        <v>https://www.airitibooks.com/Detail/Detail?PublicationID=P20181130001</v>
      </c>
      <c r="K1978" s="13" t="str">
        <f>HYPERLINK("https://ntsu.idm.oclc.org/login?url=https://www.airitibooks.com/Detail/Detail?PublicationID=P20181130001", "https://ntsu.idm.oclc.org/login?url=https://www.airitibooks.com/Detail/Detail?PublicationID=P20181130001")</f>
        <v>https://ntsu.idm.oclc.org/login?url=https://www.airitibooks.com/Detail/Detail?PublicationID=P20181130001</v>
      </c>
    </row>
    <row r="1979" spans="1:11" ht="51" x14ac:dyDescent="0.4">
      <c r="A1979" s="10" t="s">
        <v>10774</v>
      </c>
      <c r="B1979" s="10" t="s">
        <v>10775</v>
      </c>
      <c r="C1979" s="10" t="s">
        <v>1028</v>
      </c>
      <c r="D1979" s="10" t="s">
        <v>2655</v>
      </c>
      <c r="E1979" s="10" t="s">
        <v>7391</v>
      </c>
      <c r="F1979" s="10" t="s">
        <v>6664</v>
      </c>
      <c r="G1979" s="10" t="s">
        <v>37</v>
      </c>
      <c r="H1979" s="7" t="s">
        <v>1031</v>
      </c>
      <c r="I1979" s="7" t="s">
        <v>25</v>
      </c>
      <c r="J1979" s="13" t="str">
        <f>HYPERLINK("https://www.airitibooks.com/Detail/Detail?PublicationID=P20190218077", "https://www.airitibooks.com/Detail/Detail?PublicationID=P20190218077")</f>
        <v>https://www.airitibooks.com/Detail/Detail?PublicationID=P20190218077</v>
      </c>
      <c r="K1979" s="13" t="str">
        <f>HYPERLINK("https://ntsu.idm.oclc.org/login?url=https://www.airitibooks.com/Detail/Detail?PublicationID=P20190218077", "https://ntsu.idm.oclc.org/login?url=https://www.airitibooks.com/Detail/Detail?PublicationID=P20190218077")</f>
        <v>https://ntsu.idm.oclc.org/login?url=https://www.airitibooks.com/Detail/Detail?PublicationID=P20190218077</v>
      </c>
    </row>
    <row r="1980" spans="1:11" ht="51" x14ac:dyDescent="0.4">
      <c r="A1980" s="10" t="s">
        <v>10910</v>
      </c>
      <c r="B1980" s="10" t="s">
        <v>10911</v>
      </c>
      <c r="C1980" s="10" t="s">
        <v>772</v>
      </c>
      <c r="D1980" s="10" t="s">
        <v>10912</v>
      </c>
      <c r="E1980" s="10" t="s">
        <v>7391</v>
      </c>
      <c r="F1980" s="10" t="s">
        <v>6664</v>
      </c>
      <c r="G1980" s="10" t="s">
        <v>37</v>
      </c>
      <c r="H1980" s="7" t="s">
        <v>24</v>
      </c>
      <c r="I1980" s="7" t="s">
        <v>25</v>
      </c>
      <c r="J1980" s="13" t="str">
        <f>HYPERLINK("https://www.airitibooks.com/Detail/Detail?PublicationID=P20190307007", "https://www.airitibooks.com/Detail/Detail?PublicationID=P20190307007")</f>
        <v>https://www.airitibooks.com/Detail/Detail?PublicationID=P20190307007</v>
      </c>
      <c r="K1980" s="13" t="str">
        <f>HYPERLINK("https://ntsu.idm.oclc.org/login?url=https://www.airitibooks.com/Detail/Detail?PublicationID=P20190307007", "https://ntsu.idm.oclc.org/login?url=https://www.airitibooks.com/Detail/Detail?PublicationID=P20190307007")</f>
        <v>https://ntsu.idm.oclc.org/login?url=https://www.airitibooks.com/Detail/Detail?PublicationID=P20190307007</v>
      </c>
    </row>
    <row r="1981" spans="1:11" ht="85" x14ac:dyDescent="0.4">
      <c r="A1981" s="10" t="s">
        <v>10913</v>
      </c>
      <c r="B1981" s="10" t="s">
        <v>10914</v>
      </c>
      <c r="C1981" s="10" t="s">
        <v>772</v>
      </c>
      <c r="D1981" s="10" t="s">
        <v>10915</v>
      </c>
      <c r="E1981" s="10" t="s">
        <v>7391</v>
      </c>
      <c r="F1981" s="10" t="s">
        <v>6664</v>
      </c>
      <c r="G1981" s="10" t="s">
        <v>37</v>
      </c>
      <c r="H1981" s="7" t="s">
        <v>24</v>
      </c>
      <c r="I1981" s="7" t="s">
        <v>25</v>
      </c>
      <c r="J1981" s="13" t="str">
        <f>HYPERLINK("https://www.airitibooks.com/Detail/Detail?PublicationID=P20190307009", "https://www.airitibooks.com/Detail/Detail?PublicationID=P20190307009")</f>
        <v>https://www.airitibooks.com/Detail/Detail?PublicationID=P20190307009</v>
      </c>
      <c r="K1981" s="13" t="str">
        <f>HYPERLINK("https://ntsu.idm.oclc.org/login?url=https://www.airitibooks.com/Detail/Detail?PublicationID=P20190307009", "https://ntsu.idm.oclc.org/login?url=https://www.airitibooks.com/Detail/Detail?PublicationID=P20190307009")</f>
        <v>https://ntsu.idm.oclc.org/login?url=https://www.airitibooks.com/Detail/Detail?PublicationID=P20190307009</v>
      </c>
    </row>
    <row r="1982" spans="1:11" ht="51" x14ac:dyDescent="0.4">
      <c r="A1982" s="10" t="s">
        <v>10916</v>
      </c>
      <c r="B1982" s="10" t="s">
        <v>10917</v>
      </c>
      <c r="C1982" s="10" t="s">
        <v>772</v>
      </c>
      <c r="D1982" s="10" t="s">
        <v>10918</v>
      </c>
      <c r="E1982" s="10" t="s">
        <v>7391</v>
      </c>
      <c r="F1982" s="10" t="s">
        <v>6664</v>
      </c>
      <c r="G1982" s="10" t="s">
        <v>37</v>
      </c>
      <c r="H1982" s="7" t="s">
        <v>24</v>
      </c>
      <c r="I1982" s="7" t="s">
        <v>25</v>
      </c>
      <c r="J1982" s="13" t="str">
        <f>HYPERLINK("https://www.airitibooks.com/Detail/Detail?PublicationID=P20190307012", "https://www.airitibooks.com/Detail/Detail?PublicationID=P20190307012")</f>
        <v>https://www.airitibooks.com/Detail/Detail?PublicationID=P20190307012</v>
      </c>
      <c r="K1982" s="13" t="str">
        <f>HYPERLINK("https://ntsu.idm.oclc.org/login?url=https://www.airitibooks.com/Detail/Detail?PublicationID=P20190307012", "https://ntsu.idm.oclc.org/login?url=https://www.airitibooks.com/Detail/Detail?PublicationID=P20190307012")</f>
        <v>https://ntsu.idm.oclc.org/login?url=https://www.airitibooks.com/Detail/Detail?PublicationID=P20190307012</v>
      </c>
    </row>
    <row r="1983" spans="1:11" ht="51" x14ac:dyDescent="0.4">
      <c r="A1983" s="10" t="s">
        <v>11125</v>
      </c>
      <c r="B1983" s="10" t="s">
        <v>11126</v>
      </c>
      <c r="C1983" s="10" t="s">
        <v>9828</v>
      </c>
      <c r="D1983" s="10" t="s">
        <v>11127</v>
      </c>
      <c r="E1983" s="10" t="s">
        <v>7391</v>
      </c>
      <c r="F1983" s="10" t="s">
        <v>9894</v>
      </c>
      <c r="G1983" s="10" t="s">
        <v>37</v>
      </c>
      <c r="H1983" s="7" t="s">
        <v>1031</v>
      </c>
      <c r="I1983" s="7" t="s">
        <v>25</v>
      </c>
      <c r="J1983" s="13" t="str">
        <f>HYPERLINK("https://www.airitibooks.com/Detail/Detail?PublicationID=P20190423026", "https://www.airitibooks.com/Detail/Detail?PublicationID=P20190423026")</f>
        <v>https://www.airitibooks.com/Detail/Detail?PublicationID=P20190423026</v>
      </c>
      <c r="K1983" s="13" t="str">
        <f>HYPERLINK("https://ntsu.idm.oclc.org/login?url=https://www.airitibooks.com/Detail/Detail?PublicationID=P20190423026", "https://ntsu.idm.oclc.org/login?url=https://www.airitibooks.com/Detail/Detail?PublicationID=P20190423026")</f>
        <v>https://ntsu.idm.oclc.org/login?url=https://www.airitibooks.com/Detail/Detail?PublicationID=P20190423026</v>
      </c>
    </row>
    <row r="1984" spans="1:11" ht="51" x14ac:dyDescent="0.4">
      <c r="A1984" s="10" t="s">
        <v>11135</v>
      </c>
      <c r="B1984" s="10" t="s">
        <v>11136</v>
      </c>
      <c r="C1984" s="10" t="s">
        <v>9828</v>
      </c>
      <c r="D1984" s="10" t="s">
        <v>11137</v>
      </c>
      <c r="E1984" s="10" t="s">
        <v>7391</v>
      </c>
      <c r="F1984" s="10" t="s">
        <v>11138</v>
      </c>
      <c r="G1984" s="10" t="s">
        <v>37</v>
      </c>
      <c r="H1984" s="7" t="s">
        <v>1031</v>
      </c>
      <c r="I1984" s="7" t="s">
        <v>25</v>
      </c>
      <c r="J1984" s="13" t="str">
        <f>HYPERLINK("https://www.airitibooks.com/Detail/Detail?PublicationID=P20190423029", "https://www.airitibooks.com/Detail/Detail?PublicationID=P20190423029")</f>
        <v>https://www.airitibooks.com/Detail/Detail?PublicationID=P20190423029</v>
      </c>
      <c r="K1984" s="13" t="str">
        <f>HYPERLINK("https://ntsu.idm.oclc.org/login?url=https://www.airitibooks.com/Detail/Detail?PublicationID=P20190423029", "https://ntsu.idm.oclc.org/login?url=https://www.airitibooks.com/Detail/Detail?PublicationID=P20190423029")</f>
        <v>https://ntsu.idm.oclc.org/login?url=https://www.airitibooks.com/Detail/Detail?PublicationID=P20190423029</v>
      </c>
    </row>
    <row r="1985" spans="1:11" ht="51" x14ac:dyDescent="0.4">
      <c r="A1985" s="10" t="s">
        <v>11452</v>
      </c>
      <c r="B1985" s="10" t="s">
        <v>11453</v>
      </c>
      <c r="C1985" s="10" t="s">
        <v>9828</v>
      </c>
      <c r="D1985" s="10" t="s">
        <v>11454</v>
      </c>
      <c r="E1985" s="10" t="s">
        <v>7391</v>
      </c>
      <c r="F1985" s="10" t="s">
        <v>11455</v>
      </c>
      <c r="G1985" s="10" t="s">
        <v>37</v>
      </c>
      <c r="H1985" s="7" t="s">
        <v>1031</v>
      </c>
      <c r="I1985" s="7" t="s">
        <v>25</v>
      </c>
      <c r="J1985" s="13" t="str">
        <f>HYPERLINK("https://www.airitibooks.com/Detail/Detail?PublicationID=P20190521025", "https://www.airitibooks.com/Detail/Detail?PublicationID=P20190521025")</f>
        <v>https://www.airitibooks.com/Detail/Detail?PublicationID=P20190521025</v>
      </c>
      <c r="K1985" s="13" t="str">
        <f>HYPERLINK("https://ntsu.idm.oclc.org/login?url=https://www.airitibooks.com/Detail/Detail?PublicationID=P20190521025", "https://ntsu.idm.oclc.org/login?url=https://www.airitibooks.com/Detail/Detail?PublicationID=P20190521025")</f>
        <v>https://ntsu.idm.oclc.org/login?url=https://www.airitibooks.com/Detail/Detail?PublicationID=P20190521025</v>
      </c>
    </row>
    <row r="1986" spans="1:11" ht="68" x14ac:dyDescent="0.4">
      <c r="A1986" s="10" t="s">
        <v>11548</v>
      </c>
      <c r="B1986" s="10" t="s">
        <v>11549</v>
      </c>
      <c r="C1986" s="10" t="s">
        <v>4873</v>
      </c>
      <c r="D1986" s="10" t="s">
        <v>1329</v>
      </c>
      <c r="E1986" s="10" t="s">
        <v>7391</v>
      </c>
      <c r="F1986" s="10" t="s">
        <v>11550</v>
      </c>
      <c r="G1986" s="10" t="s">
        <v>37</v>
      </c>
      <c r="H1986" s="7" t="s">
        <v>24</v>
      </c>
      <c r="I1986" s="7" t="s">
        <v>25</v>
      </c>
      <c r="J1986" s="13" t="str">
        <f>HYPERLINK("https://www.airitibooks.com/Detail/Detail?PublicationID=P20190531014", "https://www.airitibooks.com/Detail/Detail?PublicationID=P20190531014")</f>
        <v>https://www.airitibooks.com/Detail/Detail?PublicationID=P20190531014</v>
      </c>
      <c r="K1986" s="13" t="str">
        <f>HYPERLINK("https://ntsu.idm.oclc.org/login?url=https://www.airitibooks.com/Detail/Detail?PublicationID=P20190531014", "https://ntsu.idm.oclc.org/login?url=https://www.airitibooks.com/Detail/Detail?PublicationID=P20190531014")</f>
        <v>https://ntsu.idm.oclc.org/login?url=https://www.airitibooks.com/Detail/Detail?PublicationID=P20190531014</v>
      </c>
    </row>
    <row r="1987" spans="1:11" ht="51" x14ac:dyDescent="0.4">
      <c r="A1987" s="10" t="s">
        <v>11954</v>
      </c>
      <c r="B1987" s="10" t="s">
        <v>11955</v>
      </c>
      <c r="C1987" s="10" t="s">
        <v>18</v>
      </c>
      <c r="D1987" s="10" t="s">
        <v>11956</v>
      </c>
      <c r="E1987" s="10" t="s">
        <v>7391</v>
      </c>
      <c r="F1987" s="10" t="s">
        <v>5643</v>
      </c>
      <c r="G1987" s="10" t="s">
        <v>37</v>
      </c>
      <c r="H1987" s="7" t="s">
        <v>24</v>
      </c>
      <c r="I1987" s="7" t="s">
        <v>25</v>
      </c>
      <c r="J1987" s="13" t="str">
        <f>HYPERLINK("https://www.airitibooks.com/Detail/Detail?PublicationID=P20190718005", "https://www.airitibooks.com/Detail/Detail?PublicationID=P20190718005")</f>
        <v>https://www.airitibooks.com/Detail/Detail?PublicationID=P20190718005</v>
      </c>
      <c r="K1987" s="13" t="str">
        <f>HYPERLINK("https://ntsu.idm.oclc.org/login?url=https://www.airitibooks.com/Detail/Detail?PublicationID=P20190718005", "https://ntsu.idm.oclc.org/login?url=https://www.airitibooks.com/Detail/Detail?PublicationID=P20190718005")</f>
        <v>https://ntsu.idm.oclc.org/login?url=https://www.airitibooks.com/Detail/Detail?PublicationID=P20190718005</v>
      </c>
    </row>
    <row r="1988" spans="1:11" ht="51" x14ac:dyDescent="0.4">
      <c r="A1988" s="10" t="s">
        <v>12203</v>
      </c>
      <c r="B1988" s="10" t="s">
        <v>12204</v>
      </c>
      <c r="C1988" s="10" t="s">
        <v>4873</v>
      </c>
      <c r="D1988" s="10" t="s">
        <v>12205</v>
      </c>
      <c r="E1988" s="10" t="s">
        <v>7391</v>
      </c>
      <c r="F1988" s="10" t="s">
        <v>12206</v>
      </c>
      <c r="G1988" s="10" t="s">
        <v>37</v>
      </c>
      <c r="H1988" s="7" t="s">
        <v>24</v>
      </c>
      <c r="I1988" s="7" t="s">
        <v>25</v>
      </c>
      <c r="J1988" s="13" t="str">
        <f>HYPERLINK("https://www.airitibooks.com/Detail/Detail?PublicationID=P20190905007", "https://www.airitibooks.com/Detail/Detail?PublicationID=P20190905007")</f>
        <v>https://www.airitibooks.com/Detail/Detail?PublicationID=P20190905007</v>
      </c>
      <c r="K1988" s="13" t="str">
        <f>HYPERLINK("https://ntsu.idm.oclc.org/login?url=https://www.airitibooks.com/Detail/Detail?PublicationID=P20190905007", "https://ntsu.idm.oclc.org/login?url=https://www.airitibooks.com/Detail/Detail?PublicationID=P20190905007")</f>
        <v>https://ntsu.idm.oclc.org/login?url=https://www.airitibooks.com/Detail/Detail?PublicationID=P20190905007</v>
      </c>
    </row>
    <row r="1989" spans="1:11" ht="51" x14ac:dyDescent="0.4">
      <c r="A1989" s="10" t="s">
        <v>12207</v>
      </c>
      <c r="B1989" s="10" t="s">
        <v>12208</v>
      </c>
      <c r="C1989" s="10" t="s">
        <v>4873</v>
      </c>
      <c r="D1989" s="10" t="s">
        <v>12205</v>
      </c>
      <c r="E1989" s="10" t="s">
        <v>7391</v>
      </c>
      <c r="F1989" s="10" t="s">
        <v>12206</v>
      </c>
      <c r="G1989" s="10" t="s">
        <v>37</v>
      </c>
      <c r="H1989" s="7" t="s">
        <v>24</v>
      </c>
      <c r="I1989" s="7" t="s">
        <v>25</v>
      </c>
      <c r="J1989" s="13" t="str">
        <f>HYPERLINK("https://www.airitibooks.com/Detail/Detail?PublicationID=P20190905008", "https://www.airitibooks.com/Detail/Detail?PublicationID=P20190905008")</f>
        <v>https://www.airitibooks.com/Detail/Detail?PublicationID=P20190905008</v>
      </c>
      <c r="K1989" s="13" t="str">
        <f>HYPERLINK("https://ntsu.idm.oclc.org/login?url=https://www.airitibooks.com/Detail/Detail?PublicationID=P20190905008", "https://ntsu.idm.oclc.org/login?url=https://www.airitibooks.com/Detail/Detail?PublicationID=P20190905008")</f>
        <v>https://ntsu.idm.oclc.org/login?url=https://www.airitibooks.com/Detail/Detail?PublicationID=P20190905008</v>
      </c>
    </row>
    <row r="1990" spans="1:11" ht="51" x14ac:dyDescent="0.4">
      <c r="A1990" s="10" t="s">
        <v>12278</v>
      </c>
      <c r="B1990" s="10" t="s">
        <v>12279</v>
      </c>
      <c r="C1990" s="10" t="s">
        <v>4873</v>
      </c>
      <c r="D1990" s="10" t="s">
        <v>12280</v>
      </c>
      <c r="E1990" s="10" t="s">
        <v>7391</v>
      </c>
      <c r="F1990" s="10" t="s">
        <v>6884</v>
      </c>
      <c r="G1990" s="10" t="s">
        <v>37</v>
      </c>
      <c r="H1990" s="7" t="s">
        <v>24</v>
      </c>
      <c r="I1990" s="7" t="s">
        <v>25</v>
      </c>
      <c r="J1990" s="13" t="str">
        <f>HYPERLINK("https://www.airitibooks.com/Detail/Detail?PublicationID=P20190920002", "https://www.airitibooks.com/Detail/Detail?PublicationID=P20190920002")</f>
        <v>https://www.airitibooks.com/Detail/Detail?PublicationID=P20190920002</v>
      </c>
      <c r="K1990" s="13" t="str">
        <f>HYPERLINK("https://ntsu.idm.oclc.org/login?url=https://www.airitibooks.com/Detail/Detail?PublicationID=P20190920002", "https://ntsu.idm.oclc.org/login?url=https://www.airitibooks.com/Detail/Detail?PublicationID=P20190920002")</f>
        <v>https://ntsu.idm.oclc.org/login?url=https://www.airitibooks.com/Detail/Detail?PublicationID=P20190920002</v>
      </c>
    </row>
    <row r="1991" spans="1:11" ht="51" x14ac:dyDescent="0.4">
      <c r="A1991" s="10" t="s">
        <v>12361</v>
      </c>
      <c r="B1991" s="10" t="s">
        <v>12362</v>
      </c>
      <c r="C1991" s="10" t="s">
        <v>9828</v>
      </c>
      <c r="D1991" s="10" t="s">
        <v>12363</v>
      </c>
      <c r="E1991" s="10" t="s">
        <v>7391</v>
      </c>
      <c r="F1991" s="10" t="s">
        <v>7845</v>
      </c>
      <c r="G1991" s="10" t="s">
        <v>37</v>
      </c>
      <c r="H1991" s="7" t="s">
        <v>1031</v>
      </c>
      <c r="I1991" s="7" t="s">
        <v>25</v>
      </c>
      <c r="J1991" s="13" t="str">
        <f>HYPERLINK("https://www.airitibooks.com/Detail/Detail?PublicationID=P20190920245", "https://www.airitibooks.com/Detail/Detail?PublicationID=P20190920245")</f>
        <v>https://www.airitibooks.com/Detail/Detail?PublicationID=P20190920245</v>
      </c>
      <c r="K1991" s="13" t="str">
        <f>HYPERLINK("https://ntsu.idm.oclc.org/login?url=https://www.airitibooks.com/Detail/Detail?PublicationID=P20190920245", "https://ntsu.idm.oclc.org/login?url=https://www.airitibooks.com/Detail/Detail?PublicationID=P20190920245")</f>
        <v>https://ntsu.idm.oclc.org/login?url=https://www.airitibooks.com/Detail/Detail?PublicationID=P20190920245</v>
      </c>
    </row>
    <row r="1992" spans="1:11" ht="51" x14ac:dyDescent="0.4">
      <c r="A1992" s="10" t="s">
        <v>12420</v>
      </c>
      <c r="B1992" s="10" t="s">
        <v>12421</v>
      </c>
      <c r="C1992" s="10" t="s">
        <v>10384</v>
      </c>
      <c r="D1992" s="10" t="s">
        <v>12422</v>
      </c>
      <c r="E1992" s="10" t="s">
        <v>7391</v>
      </c>
      <c r="F1992" s="10" t="s">
        <v>12423</v>
      </c>
      <c r="G1992" s="10" t="s">
        <v>37</v>
      </c>
      <c r="H1992" s="7" t="s">
        <v>24</v>
      </c>
      <c r="I1992" s="7" t="s">
        <v>25</v>
      </c>
      <c r="J1992" s="13" t="str">
        <f>HYPERLINK("https://www.airitibooks.com/Detail/Detail?PublicationID=P20190927252", "https://www.airitibooks.com/Detail/Detail?PublicationID=P20190927252")</f>
        <v>https://www.airitibooks.com/Detail/Detail?PublicationID=P20190927252</v>
      </c>
      <c r="K1992" s="13" t="str">
        <f>HYPERLINK("https://ntsu.idm.oclc.org/login?url=https://www.airitibooks.com/Detail/Detail?PublicationID=P20190927252", "https://ntsu.idm.oclc.org/login?url=https://www.airitibooks.com/Detail/Detail?PublicationID=P20190927252")</f>
        <v>https://ntsu.idm.oclc.org/login?url=https://www.airitibooks.com/Detail/Detail?PublicationID=P20190927252</v>
      </c>
    </row>
    <row r="1993" spans="1:11" ht="51" x14ac:dyDescent="0.4">
      <c r="A1993" s="10" t="s">
        <v>12486</v>
      </c>
      <c r="B1993" s="10" t="s">
        <v>12487</v>
      </c>
      <c r="C1993" s="10" t="s">
        <v>12483</v>
      </c>
      <c r="D1993" s="10" t="s">
        <v>12488</v>
      </c>
      <c r="E1993" s="10" t="s">
        <v>7391</v>
      </c>
      <c r="F1993" s="10" t="s">
        <v>12485</v>
      </c>
      <c r="G1993" s="10" t="s">
        <v>37</v>
      </c>
      <c r="H1993" s="7" t="s">
        <v>24</v>
      </c>
      <c r="I1993" s="7" t="s">
        <v>25</v>
      </c>
      <c r="J1993" s="13" t="str">
        <f>HYPERLINK("https://www.airitibooks.com/Detail/Detail?PublicationID=P20191005110", "https://www.airitibooks.com/Detail/Detail?PublicationID=P20191005110")</f>
        <v>https://www.airitibooks.com/Detail/Detail?PublicationID=P20191005110</v>
      </c>
      <c r="K1993" s="13" t="str">
        <f>HYPERLINK("https://ntsu.idm.oclc.org/login?url=https://www.airitibooks.com/Detail/Detail?PublicationID=P20191005110", "https://ntsu.idm.oclc.org/login?url=https://www.airitibooks.com/Detail/Detail?PublicationID=P20191005110")</f>
        <v>https://ntsu.idm.oclc.org/login?url=https://www.airitibooks.com/Detail/Detail?PublicationID=P20191005110</v>
      </c>
    </row>
    <row r="1994" spans="1:11" ht="51" x14ac:dyDescent="0.4">
      <c r="A1994" s="10" t="s">
        <v>12515</v>
      </c>
      <c r="B1994" s="10" t="s">
        <v>12516</v>
      </c>
      <c r="C1994" s="10" t="s">
        <v>12510</v>
      </c>
      <c r="D1994" s="10" t="s">
        <v>12517</v>
      </c>
      <c r="E1994" s="10" t="s">
        <v>7391</v>
      </c>
      <c r="F1994" s="10" t="s">
        <v>11455</v>
      </c>
      <c r="G1994" s="10" t="s">
        <v>37</v>
      </c>
      <c r="H1994" s="7" t="s">
        <v>1031</v>
      </c>
      <c r="I1994" s="7" t="s">
        <v>25</v>
      </c>
      <c r="J1994" s="13" t="str">
        <f>HYPERLINK("https://www.airitibooks.com/Detail/Detail?PublicationID=P20191005158", "https://www.airitibooks.com/Detail/Detail?PublicationID=P20191005158")</f>
        <v>https://www.airitibooks.com/Detail/Detail?PublicationID=P20191005158</v>
      </c>
      <c r="K1994" s="13" t="str">
        <f>HYPERLINK("https://ntsu.idm.oclc.org/login?url=https://www.airitibooks.com/Detail/Detail?PublicationID=P20191005158", "https://ntsu.idm.oclc.org/login?url=https://www.airitibooks.com/Detail/Detail?PublicationID=P20191005158")</f>
        <v>https://ntsu.idm.oclc.org/login?url=https://www.airitibooks.com/Detail/Detail?PublicationID=P20191005158</v>
      </c>
    </row>
    <row r="1995" spans="1:11" ht="51" x14ac:dyDescent="0.4">
      <c r="A1995" s="10" t="s">
        <v>12684</v>
      </c>
      <c r="B1995" s="10" t="s">
        <v>12685</v>
      </c>
      <c r="C1995" s="10" t="s">
        <v>12686</v>
      </c>
      <c r="D1995" s="10" t="s">
        <v>12687</v>
      </c>
      <c r="E1995" s="10" t="s">
        <v>7391</v>
      </c>
      <c r="F1995" s="10" t="s">
        <v>12688</v>
      </c>
      <c r="G1995" s="10" t="s">
        <v>37</v>
      </c>
      <c r="H1995" s="7" t="s">
        <v>24</v>
      </c>
      <c r="I1995" s="7" t="s">
        <v>25</v>
      </c>
      <c r="J1995" s="13" t="str">
        <f>HYPERLINK("https://www.airitibooks.com/Detail/Detail?PublicationID=P20191023035", "https://www.airitibooks.com/Detail/Detail?PublicationID=P20191023035")</f>
        <v>https://www.airitibooks.com/Detail/Detail?PublicationID=P20191023035</v>
      </c>
      <c r="K1995" s="13" t="str">
        <f>HYPERLINK("https://ntsu.idm.oclc.org/login?url=https://www.airitibooks.com/Detail/Detail?PublicationID=P20191023035", "https://ntsu.idm.oclc.org/login?url=https://www.airitibooks.com/Detail/Detail?PublicationID=P20191023035")</f>
        <v>https://ntsu.idm.oclc.org/login?url=https://www.airitibooks.com/Detail/Detail?PublicationID=P20191023035</v>
      </c>
    </row>
    <row r="1996" spans="1:11" ht="51" x14ac:dyDescent="0.4">
      <c r="A1996" s="10" t="s">
        <v>12689</v>
      </c>
      <c r="B1996" s="10" t="s">
        <v>12690</v>
      </c>
      <c r="C1996" s="10" t="s">
        <v>4873</v>
      </c>
      <c r="D1996" s="10" t="s">
        <v>1329</v>
      </c>
      <c r="E1996" s="10" t="s">
        <v>7391</v>
      </c>
      <c r="F1996" s="10" t="s">
        <v>4154</v>
      </c>
      <c r="G1996" s="10" t="s">
        <v>37</v>
      </c>
      <c r="H1996" s="7" t="s">
        <v>24</v>
      </c>
      <c r="I1996" s="7" t="s">
        <v>25</v>
      </c>
      <c r="J1996" s="13" t="str">
        <f>HYPERLINK("https://www.airitibooks.com/Detail/Detail?PublicationID=P20191023036", "https://www.airitibooks.com/Detail/Detail?PublicationID=P20191023036")</f>
        <v>https://www.airitibooks.com/Detail/Detail?PublicationID=P20191023036</v>
      </c>
      <c r="K1996" s="13" t="str">
        <f>HYPERLINK("https://ntsu.idm.oclc.org/login?url=https://www.airitibooks.com/Detail/Detail?PublicationID=P20191023036", "https://ntsu.idm.oclc.org/login?url=https://www.airitibooks.com/Detail/Detail?PublicationID=P20191023036")</f>
        <v>https://ntsu.idm.oclc.org/login?url=https://www.airitibooks.com/Detail/Detail?PublicationID=P20191023036</v>
      </c>
    </row>
    <row r="1997" spans="1:11" ht="51" x14ac:dyDescent="0.4">
      <c r="A1997" s="10" t="s">
        <v>12691</v>
      </c>
      <c r="B1997" s="10" t="s">
        <v>12692</v>
      </c>
      <c r="C1997" s="10" t="s">
        <v>4873</v>
      </c>
      <c r="D1997" s="10" t="s">
        <v>1329</v>
      </c>
      <c r="E1997" s="10" t="s">
        <v>7391</v>
      </c>
      <c r="F1997" s="10" t="s">
        <v>12693</v>
      </c>
      <c r="G1997" s="10" t="s">
        <v>37</v>
      </c>
      <c r="H1997" s="7" t="s">
        <v>24</v>
      </c>
      <c r="I1997" s="7" t="s">
        <v>25</v>
      </c>
      <c r="J1997" s="13" t="str">
        <f>HYPERLINK("https://www.airitibooks.com/Detail/Detail?PublicationID=P20191023038", "https://www.airitibooks.com/Detail/Detail?PublicationID=P20191023038")</f>
        <v>https://www.airitibooks.com/Detail/Detail?PublicationID=P20191023038</v>
      </c>
      <c r="K1997" s="13" t="str">
        <f>HYPERLINK("https://ntsu.idm.oclc.org/login?url=https://www.airitibooks.com/Detail/Detail?PublicationID=P20191023038", "https://ntsu.idm.oclc.org/login?url=https://www.airitibooks.com/Detail/Detail?PublicationID=P20191023038")</f>
        <v>https://ntsu.idm.oclc.org/login?url=https://www.airitibooks.com/Detail/Detail?PublicationID=P20191023038</v>
      </c>
    </row>
    <row r="1998" spans="1:11" ht="51" x14ac:dyDescent="0.4">
      <c r="A1998" s="10" t="s">
        <v>12977</v>
      </c>
      <c r="B1998" s="10" t="s">
        <v>12978</v>
      </c>
      <c r="C1998" s="10" t="s">
        <v>510</v>
      </c>
      <c r="D1998" s="10" t="s">
        <v>12979</v>
      </c>
      <c r="E1998" s="10" t="s">
        <v>7391</v>
      </c>
      <c r="F1998" s="10" t="s">
        <v>12980</v>
      </c>
      <c r="G1998" s="10" t="s">
        <v>37</v>
      </c>
      <c r="H1998" s="7" t="s">
        <v>24</v>
      </c>
      <c r="I1998" s="7" t="s">
        <v>25</v>
      </c>
      <c r="J1998" s="13" t="str">
        <f>HYPERLINK("https://www.airitibooks.com/Detail/Detail?PublicationID=P20191115072", "https://www.airitibooks.com/Detail/Detail?PublicationID=P20191115072")</f>
        <v>https://www.airitibooks.com/Detail/Detail?PublicationID=P20191115072</v>
      </c>
      <c r="K1998" s="13" t="str">
        <f>HYPERLINK("https://ntsu.idm.oclc.org/login?url=https://www.airitibooks.com/Detail/Detail?PublicationID=P20191115072", "https://ntsu.idm.oclc.org/login?url=https://www.airitibooks.com/Detail/Detail?PublicationID=P20191115072")</f>
        <v>https://ntsu.idm.oclc.org/login?url=https://www.airitibooks.com/Detail/Detail?PublicationID=P20191115072</v>
      </c>
    </row>
    <row r="1999" spans="1:11" ht="51" x14ac:dyDescent="0.4">
      <c r="A1999" s="10" t="s">
        <v>13209</v>
      </c>
      <c r="B1999" s="10" t="s">
        <v>13210</v>
      </c>
      <c r="C1999" s="10" t="s">
        <v>9828</v>
      </c>
      <c r="D1999" s="10" t="s">
        <v>13211</v>
      </c>
      <c r="E1999" s="10" t="s">
        <v>7391</v>
      </c>
      <c r="F1999" s="10" t="s">
        <v>7845</v>
      </c>
      <c r="G1999" s="10" t="s">
        <v>37</v>
      </c>
      <c r="H1999" s="7" t="s">
        <v>1031</v>
      </c>
      <c r="I1999" s="7" t="s">
        <v>25</v>
      </c>
      <c r="J1999" s="13" t="str">
        <f>HYPERLINK("https://www.airitibooks.com/Detail/Detail?PublicationID=P20191226068", "https://www.airitibooks.com/Detail/Detail?PublicationID=P20191226068")</f>
        <v>https://www.airitibooks.com/Detail/Detail?PublicationID=P20191226068</v>
      </c>
      <c r="K1999" s="13" t="str">
        <f>HYPERLINK("https://ntsu.idm.oclc.org/login?url=https://www.airitibooks.com/Detail/Detail?PublicationID=P20191226068", "https://ntsu.idm.oclc.org/login?url=https://www.airitibooks.com/Detail/Detail?PublicationID=P20191226068")</f>
        <v>https://ntsu.idm.oclc.org/login?url=https://www.airitibooks.com/Detail/Detail?PublicationID=P20191226068</v>
      </c>
    </row>
    <row r="2000" spans="1:11" ht="51" x14ac:dyDescent="0.4">
      <c r="A2000" s="10" t="s">
        <v>13673</v>
      </c>
      <c r="B2000" s="10" t="s">
        <v>13674</v>
      </c>
      <c r="C2000" s="10" t="s">
        <v>544</v>
      </c>
      <c r="D2000" s="10" t="s">
        <v>13675</v>
      </c>
      <c r="E2000" s="10" t="s">
        <v>7391</v>
      </c>
      <c r="F2000" s="10" t="s">
        <v>13676</v>
      </c>
      <c r="G2000" s="10" t="s">
        <v>37</v>
      </c>
      <c r="H2000" s="7" t="s">
        <v>24</v>
      </c>
      <c r="I2000" s="7" t="s">
        <v>25</v>
      </c>
      <c r="J2000" s="13" t="str">
        <f>HYPERLINK("https://www.airitibooks.com/Detail/Detail?PublicationID=P20200321050", "https://www.airitibooks.com/Detail/Detail?PublicationID=P20200321050")</f>
        <v>https://www.airitibooks.com/Detail/Detail?PublicationID=P20200321050</v>
      </c>
      <c r="K2000" s="13" t="str">
        <f>HYPERLINK("https://ntsu.idm.oclc.org/login?url=https://www.airitibooks.com/Detail/Detail?PublicationID=P20200321050", "https://ntsu.idm.oclc.org/login?url=https://www.airitibooks.com/Detail/Detail?PublicationID=P20200321050")</f>
        <v>https://ntsu.idm.oclc.org/login?url=https://www.airitibooks.com/Detail/Detail?PublicationID=P20200321050</v>
      </c>
    </row>
    <row r="2001" spans="1:11" ht="51" x14ac:dyDescent="0.4">
      <c r="A2001" s="10" t="s">
        <v>13837</v>
      </c>
      <c r="B2001" s="10" t="s">
        <v>13838</v>
      </c>
      <c r="C2001" s="10" t="s">
        <v>11625</v>
      </c>
      <c r="D2001" s="10" t="s">
        <v>13839</v>
      </c>
      <c r="E2001" s="10" t="s">
        <v>7391</v>
      </c>
      <c r="F2001" s="10" t="s">
        <v>9065</v>
      </c>
      <c r="G2001" s="10" t="s">
        <v>37</v>
      </c>
      <c r="H2001" s="7" t="s">
        <v>24</v>
      </c>
      <c r="I2001" s="7" t="s">
        <v>25</v>
      </c>
      <c r="J2001" s="13" t="str">
        <f>HYPERLINK("https://www.airitibooks.com/Detail/Detail?PublicationID=P20200402635", "https://www.airitibooks.com/Detail/Detail?PublicationID=P20200402635")</f>
        <v>https://www.airitibooks.com/Detail/Detail?PublicationID=P20200402635</v>
      </c>
      <c r="K2001" s="13" t="str">
        <f>HYPERLINK("https://ntsu.idm.oclc.org/login?url=https://www.airitibooks.com/Detail/Detail?PublicationID=P20200402635", "https://ntsu.idm.oclc.org/login?url=https://www.airitibooks.com/Detail/Detail?PublicationID=P20200402635")</f>
        <v>https://ntsu.idm.oclc.org/login?url=https://www.airitibooks.com/Detail/Detail?PublicationID=P20200402635</v>
      </c>
    </row>
    <row r="2002" spans="1:11" ht="51" x14ac:dyDescent="0.4">
      <c r="A2002" s="10" t="s">
        <v>14660</v>
      </c>
      <c r="B2002" s="10" t="s">
        <v>14661</v>
      </c>
      <c r="C2002" s="10" t="s">
        <v>3034</v>
      </c>
      <c r="D2002" s="10" t="s">
        <v>14662</v>
      </c>
      <c r="E2002" s="10" t="s">
        <v>7391</v>
      </c>
      <c r="F2002" s="10" t="s">
        <v>7845</v>
      </c>
      <c r="G2002" s="10" t="s">
        <v>37</v>
      </c>
      <c r="H2002" s="7" t="s">
        <v>24</v>
      </c>
      <c r="I2002" s="7" t="s">
        <v>25</v>
      </c>
      <c r="J2002" s="13" t="str">
        <f>HYPERLINK("https://www.airitibooks.com/Detail/Detail?PublicationID=P20200904135", "https://www.airitibooks.com/Detail/Detail?PublicationID=P20200904135")</f>
        <v>https://www.airitibooks.com/Detail/Detail?PublicationID=P20200904135</v>
      </c>
      <c r="K2002" s="13" t="str">
        <f>HYPERLINK("https://ntsu.idm.oclc.org/login?url=https://www.airitibooks.com/Detail/Detail?PublicationID=P20200904135", "https://ntsu.idm.oclc.org/login?url=https://www.airitibooks.com/Detail/Detail?PublicationID=P20200904135")</f>
        <v>https://ntsu.idm.oclc.org/login?url=https://www.airitibooks.com/Detail/Detail?PublicationID=P20200904135</v>
      </c>
    </row>
    <row r="2003" spans="1:11" ht="51" x14ac:dyDescent="0.4">
      <c r="A2003" s="10" t="s">
        <v>6407</v>
      </c>
      <c r="B2003" s="10" t="s">
        <v>6408</v>
      </c>
      <c r="C2003" s="10" t="s">
        <v>848</v>
      </c>
      <c r="D2003" s="10" t="s">
        <v>6409</v>
      </c>
      <c r="E2003" s="10" t="s">
        <v>6182</v>
      </c>
      <c r="F2003" s="10" t="s">
        <v>6410</v>
      </c>
      <c r="G2003" s="10" t="s">
        <v>237</v>
      </c>
      <c r="H2003" s="7" t="s">
        <v>24</v>
      </c>
      <c r="I2003" s="7" t="s">
        <v>25</v>
      </c>
      <c r="J2003" s="13" t="str">
        <f>HYPERLINK("https://www.airitibooks.com/Detail/Detail?PublicationID=P20170411026", "https://www.airitibooks.com/Detail/Detail?PublicationID=P20170411026")</f>
        <v>https://www.airitibooks.com/Detail/Detail?PublicationID=P20170411026</v>
      </c>
      <c r="K2003" s="13" t="str">
        <f>HYPERLINK("https://ntsu.idm.oclc.org/login?url=https://www.airitibooks.com/Detail/Detail?PublicationID=P20170411026", "https://ntsu.idm.oclc.org/login?url=https://www.airitibooks.com/Detail/Detail?PublicationID=P20170411026")</f>
        <v>https://ntsu.idm.oclc.org/login?url=https://www.airitibooks.com/Detail/Detail?PublicationID=P20170411026</v>
      </c>
    </row>
    <row r="2004" spans="1:11" ht="85" x14ac:dyDescent="0.4">
      <c r="A2004" s="10" t="s">
        <v>6551</v>
      </c>
      <c r="B2004" s="10" t="s">
        <v>6552</v>
      </c>
      <c r="C2004" s="10" t="s">
        <v>6298</v>
      </c>
      <c r="D2004" s="10" t="s">
        <v>6553</v>
      </c>
      <c r="E2004" s="10" t="s">
        <v>6182</v>
      </c>
      <c r="F2004" s="10" t="s">
        <v>6554</v>
      </c>
      <c r="G2004" s="10" t="s">
        <v>237</v>
      </c>
      <c r="H2004" s="7" t="s">
        <v>24</v>
      </c>
      <c r="I2004" s="7" t="s">
        <v>25</v>
      </c>
      <c r="J2004" s="13" t="str">
        <f>HYPERLINK("https://www.airitibooks.com/Detail/Detail?PublicationID=P20170503021", "https://www.airitibooks.com/Detail/Detail?PublicationID=P20170503021")</f>
        <v>https://www.airitibooks.com/Detail/Detail?PublicationID=P20170503021</v>
      </c>
      <c r="K2004" s="13" t="str">
        <f>HYPERLINK("https://ntsu.idm.oclc.org/login?url=https://www.airitibooks.com/Detail/Detail?PublicationID=P20170503021", "https://ntsu.idm.oclc.org/login?url=https://www.airitibooks.com/Detail/Detail?PublicationID=P20170503021")</f>
        <v>https://ntsu.idm.oclc.org/login?url=https://www.airitibooks.com/Detail/Detail?PublicationID=P20170503021</v>
      </c>
    </row>
    <row r="2005" spans="1:11" ht="51" x14ac:dyDescent="0.4">
      <c r="A2005" s="10" t="s">
        <v>6635</v>
      </c>
      <c r="B2005" s="10" t="s">
        <v>6636</v>
      </c>
      <c r="C2005" s="10" t="s">
        <v>544</v>
      </c>
      <c r="D2005" s="10" t="s">
        <v>6637</v>
      </c>
      <c r="E2005" s="10" t="s">
        <v>6182</v>
      </c>
      <c r="F2005" s="10" t="s">
        <v>6638</v>
      </c>
      <c r="G2005" s="10" t="s">
        <v>237</v>
      </c>
      <c r="H2005" s="7" t="s">
        <v>24</v>
      </c>
      <c r="I2005" s="7" t="s">
        <v>25</v>
      </c>
      <c r="J2005" s="13" t="str">
        <f>HYPERLINK("https://www.airitibooks.com/Detail/Detail?PublicationID=P20170517141", "https://www.airitibooks.com/Detail/Detail?PublicationID=P20170517141")</f>
        <v>https://www.airitibooks.com/Detail/Detail?PublicationID=P20170517141</v>
      </c>
      <c r="K2005" s="13" t="str">
        <f>HYPERLINK("https://ntsu.idm.oclc.org/login?url=https://www.airitibooks.com/Detail/Detail?PublicationID=P20170517141", "https://ntsu.idm.oclc.org/login?url=https://www.airitibooks.com/Detail/Detail?PublicationID=P20170517141")</f>
        <v>https://ntsu.idm.oclc.org/login?url=https://www.airitibooks.com/Detail/Detail?PublicationID=P20170517141</v>
      </c>
    </row>
    <row r="2006" spans="1:11" ht="68" x14ac:dyDescent="0.4">
      <c r="A2006" s="10" t="s">
        <v>7260</v>
      </c>
      <c r="B2006" s="10" t="s">
        <v>7261</v>
      </c>
      <c r="C2006" s="10" t="s">
        <v>1484</v>
      </c>
      <c r="D2006" s="10" t="s">
        <v>7262</v>
      </c>
      <c r="E2006" s="10" t="s">
        <v>6182</v>
      </c>
      <c r="F2006" s="10" t="s">
        <v>7263</v>
      </c>
      <c r="G2006" s="10" t="s">
        <v>237</v>
      </c>
      <c r="H2006" s="7" t="s">
        <v>24</v>
      </c>
      <c r="I2006" s="7" t="s">
        <v>25</v>
      </c>
      <c r="J2006" s="13" t="str">
        <f>HYPERLINK("https://www.airitibooks.com/Detail/Detail?PublicationID=P20170929397", "https://www.airitibooks.com/Detail/Detail?PublicationID=P20170929397")</f>
        <v>https://www.airitibooks.com/Detail/Detail?PublicationID=P20170929397</v>
      </c>
      <c r="K2006" s="13" t="str">
        <f>HYPERLINK("https://ntsu.idm.oclc.org/login?url=https://www.airitibooks.com/Detail/Detail?PublicationID=P20170929397", "https://ntsu.idm.oclc.org/login?url=https://www.airitibooks.com/Detail/Detail?PublicationID=P20170929397")</f>
        <v>https://ntsu.idm.oclc.org/login?url=https://www.airitibooks.com/Detail/Detail?PublicationID=P20170929397</v>
      </c>
    </row>
    <row r="2007" spans="1:11" ht="51" x14ac:dyDescent="0.4">
      <c r="A2007" s="10" t="s">
        <v>7392</v>
      </c>
      <c r="B2007" s="10" t="s">
        <v>7393</v>
      </c>
      <c r="C2007" s="10" t="s">
        <v>7164</v>
      </c>
      <c r="D2007" s="10" t="s">
        <v>7394</v>
      </c>
      <c r="E2007" s="10" t="s">
        <v>6182</v>
      </c>
      <c r="F2007" s="10" t="s">
        <v>7395</v>
      </c>
      <c r="G2007" s="10" t="s">
        <v>237</v>
      </c>
      <c r="H2007" s="7" t="s">
        <v>24</v>
      </c>
      <c r="I2007" s="7" t="s">
        <v>25</v>
      </c>
      <c r="J2007" s="13" t="str">
        <f>HYPERLINK("https://www.airitibooks.com/Detail/Detail?PublicationID=P20171103172", "https://www.airitibooks.com/Detail/Detail?PublicationID=P20171103172")</f>
        <v>https://www.airitibooks.com/Detail/Detail?PublicationID=P20171103172</v>
      </c>
      <c r="K2007" s="13" t="str">
        <f>HYPERLINK("https://ntsu.idm.oclc.org/login?url=https://www.airitibooks.com/Detail/Detail?PublicationID=P20171103172", "https://ntsu.idm.oclc.org/login?url=https://www.airitibooks.com/Detail/Detail?PublicationID=P20171103172")</f>
        <v>https://ntsu.idm.oclc.org/login?url=https://www.airitibooks.com/Detail/Detail?PublicationID=P20171103172</v>
      </c>
    </row>
    <row r="2008" spans="1:11" ht="51" x14ac:dyDescent="0.4">
      <c r="A2008" s="10" t="s">
        <v>7466</v>
      </c>
      <c r="B2008" s="10" t="s">
        <v>7467</v>
      </c>
      <c r="C2008" s="10" t="s">
        <v>7164</v>
      </c>
      <c r="D2008" s="10" t="s">
        <v>7468</v>
      </c>
      <c r="E2008" s="10" t="s">
        <v>6182</v>
      </c>
      <c r="F2008" s="10" t="s">
        <v>7469</v>
      </c>
      <c r="G2008" s="10" t="s">
        <v>237</v>
      </c>
      <c r="H2008" s="7" t="s">
        <v>24</v>
      </c>
      <c r="I2008" s="7" t="s">
        <v>25</v>
      </c>
      <c r="J2008" s="13" t="str">
        <f>HYPERLINK("https://www.airitibooks.com/Detail/Detail?PublicationID=P20171103317", "https://www.airitibooks.com/Detail/Detail?PublicationID=P20171103317")</f>
        <v>https://www.airitibooks.com/Detail/Detail?PublicationID=P20171103317</v>
      </c>
      <c r="K2008" s="13" t="str">
        <f>HYPERLINK("https://ntsu.idm.oclc.org/login?url=https://www.airitibooks.com/Detail/Detail?PublicationID=P20171103317", "https://ntsu.idm.oclc.org/login?url=https://www.airitibooks.com/Detail/Detail?PublicationID=P20171103317")</f>
        <v>https://ntsu.idm.oclc.org/login?url=https://www.airitibooks.com/Detail/Detail?PublicationID=P20171103317</v>
      </c>
    </row>
    <row r="2009" spans="1:11" ht="51" x14ac:dyDescent="0.4">
      <c r="A2009" s="10" t="s">
        <v>7485</v>
      </c>
      <c r="B2009" s="10" t="s">
        <v>7486</v>
      </c>
      <c r="C2009" s="10" t="s">
        <v>7164</v>
      </c>
      <c r="D2009" s="10" t="s">
        <v>7487</v>
      </c>
      <c r="E2009" s="10" t="s">
        <v>6182</v>
      </c>
      <c r="F2009" s="10" t="s">
        <v>7488</v>
      </c>
      <c r="G2009" s="10" t="s">
        <v>237</v>
      </c>
      <c r="H2009" s="7" t="s">
        <v>24</v>
      </c>
      <c r="I2009" s="7" t="s">
        <v>25</v>
      </c>
      <c r="J2009" s="13" t="str">
        <f>HYPERLINK("https://www.airitibooks.com/Detail/Detail?PublicationID=P20171103386", "https://www.airitibooks.com/Detail/Detail?PublicationID=P20171103386")</f>
        <v>https://www.airitibooks.com/Detail/Detail?PublicationID=P20171103386</v>
      </c>
      <c r="K2009" s="13" t="str">
        <f>HYPERLINK("https://ntsu.idm.oclc.org/login?url=https://www.airitibooks.com/Detail/Detail?PublicationID=P20171103386", "https://ntsu.idm.oclc.org/login?url=https://www.airitibooks.com/Detail/Detail?PublicationID=P20171103386")</f>
        <v>https://ntsu.idm.oclc.org/login?url=https://www.airitibooks.com/Detail/Detail?PublicationID=P20171103386</v>
      </c>
    </row>
    <row r="2010" spans="1:11" ht="51" x14ac:dyDescent="0.4">
      <c r="A2010" s="10" t="s">
        <v>7489</v>
      </c>
      <c r="B2010" s="10" t="s">
        <v>7490</v>
      </c>
      <c r="C2010" s="10" t="s">
        <v>7164</v>
      </c>
      <c r="D2010" s="10" t="s">
        <v>7491</v>
      </c>
      <c r="E2010" s="10" t="s">
        <v>6182</v>
      </c>
      <c r="F2010" s="10" t="s">
        <v>7492</v>
      </c>
      <c r="G2010" s="10" t="s">
        <v>237</v>
      </c>
      <c r="H2010" s="7" t="s">
        <v>24</v>
      </c>
      <c r="I2010" s="7" t="s">
        <v>25</v>
      </c>
      <c r="J2010" s="13" t="str">
        <f>HYPERLINK("https://www.airitibooks.com/Detail/Detail?PublicationID=P20171103387", "https://www.airitibooks.com/Detail/Detail?PublicationID=P20171103387")</f>
        <v>https://www.airitibooks.com/Detail/Detail?PublicationID=P20171103387</v>
      </c>
      <c r="K2010" s="13" t="str">
        <f>HYPERLINK("https://ntsu.idm.oclc.org/login?url=https://www.airitibooks.com/Detail/Detail?PublicationID=P20171103387", "https://ntsu.idm.oclc.org/login?url=https://www.airitibooks.com/Detail/Detail?PublicationID=P20171103387")</f>
        <v>https://ntsu.idm.oclc.org/login?url=https://www.airitibooks.com/Detail/Detail?PublicationID=P20171103387</v>
      </c>
    </row>
    <row r="2011" spans="1:11" ht="51" x14ac:dyDescent="0.4">
      <c r="A2011" s="10" t="s">
        <v>7493</v>
      </c>
      <c r="B2011" s="10" t="s">
        <v>7494</v>
      </c>
      <c r="C2011" s="10" t="s">
        <v>7164</v>
      </c>
      <c r="D2011" s="10" t="s">
        <v>7495</v>
      </c>
      <c r="E2011" s="10" t="s">
        <v>6182</v>
      </c>
      <c r="F2011" s="10" t="s">
        <v>7492</v>
      </c>
      <c r="G2011" s="10" t="s">
        <v>237</v>
      </c>
      <c r="H2011" s="7" t="s">
        <v>24</v>
      </c>
      <c r="I2011" s="7" t="s">
        <v>25</v>
      </c>
      <c r="J2011" s="13" t="str">
        <f>HYPERLINK("https://www.airitibooks.com/Detail/Detail?PublicationID=P20171103391", "https://www.airitibooks.com/Detail/Detail?PublicationID=P20171103391")</f>
        <v>https://www.airitibooks.com/Detail/Detail?PublicationID=P20171103391</v>
      </c>
      <c r="K2011" s="13" t="str">
        <f>HYPERLINK("https://ntsu.idm.oclc.org/login?url=https://www.airitibooks.com/Detail/Detail?PublicationID=P20171103391", "https://ntsu.idm.oclc.org/login?url=https://www.airitibooks.com/Detail/Detail?PublicationID=P20171103391")</f>
        <v>https://ntsu.idm.oclc.org/login?url=https://www.airitibooks.com/Detail/Detail?PublicationID=P20171103391</v>
      </c>
    </row>
    <row r="2012" spans="1:11" ht="51" x14ac:dyDescent="0.4">
      <c r="A2012" s="10" t="s">
        <v>7496</v>
      </c>
      <c r="B2012" s="10" t="s">
        <v>7497</v>
      </c>
      <c r="C2012" s="10" t="s">
        <v>7164</v>
      </c>
      <c r="D2012" s="10" t="s">
        <v>7498</v>
      </c>
      <c r="E2012" s="10" t="s">
        <v>6182</v>
      </c>
      <c r="F2012" s="10" t="s">
        <v>7492</v>
      </c>
      <c r="G2012" s="10" t="s">
        <v>237</v>
      </c>
      <c r="H2012" s="7" t="s">
        <v>24</v>
      </c>
      <c r="I2012" s="7" t="s">
        <v>25</v>
      </c>
      <c r="J2012" s="13" t="str">
        <f>HYPERLINK("https://www.airitibooks.com/Detail/Detail?PublicationID=P20171103392", "https://www.airitibooks.com/Detail/Detail?PublicationID=P20171103392")</f>
        <v>https://www.airitibooks.com/Detail/Detail?PublicationID=P20171103392</v>
      </c>
      <c r="K2012" s="13" t="str">
        <f>HYPERLINK("https://ntsu.idm.oclc.org/login?url=https://www.airitibooks.com/Detail/Detail?PublicationID=P20171103392", "https://ntsu.idm.oclc.org/login?url=https://www.airitibooks.com/Detail/Detail?PublicationID=P20171103392")</f>
        <v>https://ntsu.idm.oclc.org/login?url=https://www.airitibooks.com/Detail/Detail?PublicationID=P20171103392</v>
      </c>
    </row>
    <row r="2013" spans="1:11" ht="51" x14ac:dyDescent="0.4">
      <c r="A2013" s="10" t="s">
        <v>7499</v>
      </c>
      <c r="B2013" s="10" t="s">
        <v>7500</v>
      </c>
      <c r="C2013" s="10" t="s">
        <v>7164</v>
      </c>
      <c r="D2013" s="10" t="s">
        <v>7501</v>
      </c>
      <c r="E2013" s="10" t="s">
        <v>6182</v>
      </c>
      <c r="F2013" s="10" t="s">
        <v>7488</v>
      </c>
      <c r="G2013" s="10" t="s">
        <v>237</v>
      </c>
      <c r="H2013" s="7" t="s">
        <v>24</v>
      </c>
      <c r="I2013" s="7" t="s">
        <v>25</v>
      </c>
      <c r="J2013" s="13" t="str">
        <f>HYPERLINK("https://www.airitibooks.com/Detail/Detail?PublicationID=P20171103394", "https://www.airitibooks.com/Detail/Detail?PublicationID=P20171103394")</f>
        <v>https://www.airitibooks.com/Detail/Detail?PublicationID=P20171103394</v>
      </c>
      <c r="K2013" s="13" t="str">
        <f>HYPERLINK("https://ntsu.idm.oclc.org/login?url=https://www.airitibooks.com/Detail/Detail?PublicationID=P20171103394", "https://ntsu.idm.oclc.org/login?url=https://www.airitibooks.com/Detail/Detail?PublicationID=P20171103394")</f>
        <v>https://ntsu.idm.oclc.org/login?url=https://www.airitibooks.com/Detail/Detail?PublicationID=P20171103394</v>
      </c>
    </row>
    <row r="2014" spans="1:11" ht="51" x14ac:dyDescent="0.4">
      <c r="A2014" s="10" t="s">
        <v>7502</v>
      </c>
      <c r="B2014" s="10" t="s">
        <v>7503</v>
      </c>
      <c r="C2014" s="10" t="s">
        <v>7164</v>
      </c>
      <c r="D2014" s="10" t="s">
        <v>7504</v>
      </c>
      <c r="E2014" s="10" t="s">
        <v>6182</v>
      </c>
      <c r="F2014" s="10" t="s">
        <v>7492</v>
      </c>
      <c r="G2014" s="10" t="s">
        <v>237</v>
      </c>
      <c r="H2014" s="7" t="s">
        <v>24</v>
      </c>
      <c r="I2014" s="7" t="s">
        <v>25</v>
      </c>
      <c r="J2014" s="13" t="str">
        <f>HYPERLINK("https://www.airitibooks.com/Detail/Detail?PublicationID=P20171103399", "https://www.airitibooks.com/Detail/Detail?PublicationID=P20171103399")</f>
        <v>https://www.airitibooks.com/Detail/Detail?PublicationID=P20171103399</v>
      </c>
      <c r="K2014" s="13" t="str">
        <f>HYPERLINK("https://ntsu.idm.oclc.org/login?url=https://www.airitibooks.com/Detail/Detail?PublicationID=P20171103399", "https://ntsu.idm.oclc.org/login?url=https://www.airitibooks.com/Detail/Detail?PublicationID=P20171103399")</f>
        <v>https://ntsu.idm.oclc.org/login?url=https://www.airitibooks.com/Detail/Detail?PublicationID=P20171103399</v>
      </c>
    </row>
    <row r="2015" spans="1:11" ht="51" x14ac:dyDescent="0.4">
      <c r="A2015" s="10" t="s">
        <v>7505</v>
      </c>
      <c r="B2015" s="10" t="s">
        <v>7506</v>
      </c>
      <c r="C2015" s="10" t="s">
        <v>7164</v>
      </c>
      <c r="D2015" s="10" t="s">
        <v>7507</v>
      </c>
      <c r="E2015" s="10" t="s">
        <v>6182</v>
      </c>
      <c r="F2015" s="10" t="s">
        <v>7488</v>
      </c>
      <c r="G2015" s="10" t="s">
        <v>237</v>
      </c>
      <c r="H2015" s="7" t="s">
        <v>24</v>
      </c>
      <c r="I2015" s="7" t="s">
        <v>25</v>
      </c>
      <c r="J2015" s="13" t="str">
        <f>HYPERLINK("https://www.airitibooks.com/Detail/Detail?PublicationID=P20171103400", "https://www.airitibooks.com/Detail/Detail?PublicationID=P20171103400")</f>
        <v>https://www.airitibooks.com/Detail/Detail?PublicationID=P20171103400</v>
      </c>
      <c r="K2015" s="13" t="str">
        <f>HYPERLINK("https://ntsu.idm.oclc.org/login?url=https://www.airitibooks.com/Detail/Detail?PublicationID=P20171103400", "https://ntsu.idm.oclc.org/login?url=https://www.airitibooks.com/Detail/Detail?PublicationID=P20171103400")</f>
        <v>https://ntsu.idm.oclc.org/login?url=https://www.airitibooks.com/Detail/Detail?PublicationID=P20171103400</v>
      </c>
    </row>
    <row r="2016" spans="1:11" ht="51" x14ac:dyDescent="0.4">
      <c r="A2016" s="10" t="s">
        <v>7623</v>
      </c>
      <c r="B2016" s="10" t="s">
        <v>7624</v>
      </c>
      <c r="C2016" s="10" t="s">
        <v>7164</v>
      </c>
      <c r="D2016" s="10" t="s">
        <v>7625</v>
      </c>
      <c r="E2016" s="10" t="s">
        <v>6182</v>
      </c>
      <c r="F2016" s="10" t="s">
        <v>3328</v>
      </c>
      <c r="G2016" s="10" t="s">
        <v>237</v>
      </c>
      <c r="H2016" s="7" t="s">
        <v>24</v>
      </c>
      <c r="I2016" s="7" t="s">
        <v>25</v>
      </c>
      <c r="J2016" s="13" t="str">
        <f>HYPERLINK("https://www.airitibooks.com/Detail/Detail?PublicationID=P20171103764", "https://www.airitibooks.com/Detail/Detail?PublicationID=P20171103764")</f>
        <v>https://www.airitibooks.com/Detail/Detail?PublicationID=P20171103764</v>
      </c>
      <c r="K2016" s="13" t="str">
        <f>HYPERLINK("https://ntsu.idm.oclc.org/login?url=https://www.airitibooks.com/Detail/Detail?PublicationID=P20171103764", "https://ntsu.idm.oclc.org/login?url=https://www.airitibooks.com/Detail/Detail?PublicationID=P20171103764")</f>
        <v>https://ntsu.idm.oclc.org/login?url=https://www.airitibooks.com/Detail/Detail?PublicationID=P20171103764</v>
      </c>
    </row>
    <row r="2017" spans="1:11" ht="51" x14ac:dyDescent="0.4">
      <c r="A2017" s="10" t="s">
        <v>7626</v>
      </c>
      <c r="B2017" s="10" t="s">
        <v>7627</v>
      </c>
      <c r="C2017" s="10" t="s">
        <v>7164</v>
      </c>
      <c r="D2017" s="10" t="s">
        <v>7628</v>
      </c>
      <c r="E2017" s="10" t="s">
        <v>6182</v>
      </c>
      <c r="F2017" s="10" t="s">
        <v>7492</v>
      </c>
      <c r="G2017" s="10" t="s">
        <v>237</v>
      </c>
      <c r="H2017" s="7" t="s">
        <v>24</v>
      </c>
      <c r="I2017" s="7" t="s">
        <v>25</v>
      </c>
      <c r="J2017" s="13" t="str">
        <f>HYPERLINK("https://www.airitibooks.com/Detail/Detail?PublicationID=P20171103769", "https://www.airitibooks.com/Detail/Detail?PublicationID=P20171103769")</f>
        <v>https://www.airitibooks.com/Detail/Detail?PublicationID=P20171103769</v>
      </c>
      <c r="K2017" s="13" t="str">
        <f>HYPERLINK("https://ntsu.idm.oclc.org/login?url=https://www.airitibooks.com/Detail/Detail?PublicationID=P20171103769", "https://ntsu.idm.oclc.org/login?url=https://www.airitibooks.com/Detail/Detail?PublicationID=P20171103769")</f>
        <v>https://ntsu.idm.oclc.org/login?url=https://www.airitibooks.com/Detail/Detail?PublicationID=P20171103769</v>
      </c>
    </row>
    <row r="2018" spans="1:11" ht="51" x14ac:dyDescent="0.4">
      <c r="A2018" s="10" t="s">
        <v>7656</v>
      </c>
      <c r="B2018" s="10" t="s">
        <v>7657</v>
      </c>
      <c r="C2018" s="10" t="s">
        <v>7164</v>
      </c>
      <c r="D2018" s="10" t="s">
        <v>7658</v>
      </c>
      <c r="E2018" s="10" t="s">
        <v>6182</v>
      </c>
      <c r="F2018" s="10" t="s">
        <v>3328</v>
      </c>
      <c r="G2018" s="10" t="s">
        <v>237</v>
      </c>
      <c r="H2018" s="7" t="s">
        <v>24</v>
      </c>
      <c r="I2018" s="7" t="s">
        <v>25</v>
      </c>
      <c r="J2018" s="13" t="str">
        <f>HYPERLINK("https://www.airitibooks.com/Detail/Detail?PublicationID=P20171103809", "https://www.airitibooks.com/Detail/Detail?PublicationID=P20171103809")</f>
        <v>https://www.airitibooks.com/Detail/Detail?PublicationID=P20171103809</v>
      </c>
      <c r="K2018" s="13" t="str">
        <f>HYPERLINK("https://ntsu.idm.oclc.org/login?url=https://www.airitibooks.com/Detail/Detail?PublicationID=P20171103809", "https://ntsu.idm.oclc.org/login?url=https://www.airitibooks.com/Detail/Detail?PublicationID=P20171103809")</f>
        <v>https://ntsu.idm.oclc.org/login?url=https://www.airitibooks.com/Detail/Detail?PublicationID=P20171103809</v>
      </c>
    </row>
    <row r="2019" spans="1:11" ht="51" x14ac:dyDescent="0.4">
      <c r="A2019" s="10" t="s">
        <v>7662</v>
      </c>
      <c r="B2019" s="10" t="s">
        <v>7663</v>
      </c>
      <c r="C2019" s="10" t="s">
        <v>7164</v>
      </c>
      <c r="D2019" s="10" t="s">
        <v>7664</v>
      </c>
      <c r="E2019" s="10" t="s">
        <v>6182</v>
      </c>
      <c r="F2019" s="10" t="s">
        <v>685</v>
      </c>
      <c r="G2019" s="10" t="s">
        <v>237</v>
      </c>
      <c r="H2019" s="7" t="s">
        <v>24</v>
      </c>
      <c r="I2019" s="7" t="s">
        <v>25</v>
      </c>
      <c r="J2019" s="13" t="str">
        <f>HYPERLINK("https://www.airitibooks.com/Detail/Detail?PublicationID=P20171103818", "https://www.airitibooks.com/Detail/Detail?PublicationID=P20171103818")</f>
        <v>https://www.airitibooks.com/Detail/Detail?PublicationID=P20171103818</v>
      </c>
      <c r="K2019" s="13" t="str">
        <f>HYPERLINK("https://ntsu.idm.oclc.org/login?url=https://www.airitibooks.com/Detail/Detail?PublicationID=P20171103818", "https://ntsu.idm.oclc.org/login?url=https://www.airitibooks.com/Detail/Detail?PublicationID=P20171103818")</f>
        <v>https://ntsu.idm.oclc.org/login?url=https://www.airitibooks.com/Detail/Detail?PublicationID=P20171103818</v>
      </c>
    </row>
    <row r="2020" spans="1:11" ht="51" x14ac:dyDescent="0.4">
      <c r="A2020" s="10" t="s">
        <v>7679</v>
      </c>
      <c r="B2020" s="10" t="s">
        <v>7680</v>
      </c>
      <c r="C2020" s="10" t="s">
        <v>7164</v>
      </c>
      <c r="D2020" s="10" t="s">
        <v>7664</v>
      </c>
      <c r="E2020" s="10" t="s">
        <v>6182</v>
      </c>
      <c r="F2020" s="10" t="s">
        <v>7681</v>
      </c>
      <c r="G2020" s="10" t="s">
        <v>237</v>
      </c>
      <c r="H2020" s="7" t="s">
        <v>24</v>
      </c>
      <c r="I2020" s="7" t="s">
        <v>25</v>
      </c>
      <c r="J2020" s="13" t="str">
        <f>HYPERLINK("https://www.airitibooks.com/Detail/Detail?PublicationID=P20171103848", "https://www.airitibooks.com/Detail/Detail?PublicationID=P20171103848")</f>
        <v>https://www.airitibooks.com/Detail/Detail?PublicationID=P20171103848</v>
      </c>
      <c r="K2020" s="13" t="str">
        <f>HYPERLINK("https://ntsu.idm.oclc.org/login?url=https://www.airitibooks.com/Detail/Detail?PublicationID=P20171103848", "https://ntsu.idm.oclc.org/login?url=https://www.airitibooks.com/Detail/Detail?PublicationID=P20171103848")</f>
        <v>https://ntsu.idm.oclc.org/login?url=https://www.airitibooks.com/Detail/Detail?PublicationID=P20171103848</v>
      </c>
    </row>
    <row r="2021" spans="1:11" ht="51" x14ac:dyDescent="0.4">
      <c r="A2021" s="10" t="s">
        <v>7682</v>
      </c>
      <c r="B2021" s="10" t="s">
        <v>7683</v>
      </c>
      <c r="C2021" s="10" t="s">
        <v>7164</v>
      </c>
      <c r="D2021" s="10" t="s">
        <v>7664</v>
      </c>
      <c r="E2021" s="10" t="s">
        <v>6182</v>
      </c>
      <c r="F2021" s="10" t="s">
        <v>685</v>
      </c>
      <c r="G2021" s="10" t="s">
        <v>237</v>
      </c>
      <c r="H2021" s="7" t="s">
        <v>24</v>
      </c>
      <c r="I2021" s="7" t="s">
        <v>25</v>
      </c>
      <c r="J2021" s="13" t="str">
        <f>HYPERLINK("https://www.airitibooks.com/Detail/Detail?PublicationID=P20171103852", "https://www.airitibooks.com/Detail/Detail?PublicationID=P20171103852")</f>
        <v>https://www.airitibooks.com/Detail/Detail?PublicationID=P20171103852</v>
      </c>
      <c r="K2021" s="13" t="str">
        <f>HYPERLINK("https://ntsu.idm.oclc.org/login?url=https://www.airitibooks.com/Detail/Detail?PublicationID=P20171103852", "https://ntsu.idm.oclc.org/login?url=https://www.airitibooks.com/Detail/Detail?PublicationID=P20171103852")</f>
        <v>https://ntsu.idm.oclc.org/login?url=https://www.airitibooks.com/Detail/Detail?PublicationID=P20171103852</v>
      </c>
    </row>
    <row r="2022" spans="1:11" ht="68" x14ac:dyDescent="0.4">
      <c r="A2022" s="10" t="s">
        <v>7727</v>
      </c>
      <c r="B2022" s="10" t="s">
        <v>7728</v>
      </c>
      <c r="C2022" s="10" t="s">
        <v>738</v>
      </c>
      <c r="D2022" s="10" t="s">
        <v>7729</v>
      </c>
      <c r="E2022" s="10" t="s">
        <v>6182</v>
      </c>
      <c r="F2022" s="10" t="s">
        <v>236</v>
      </c>
      <c r="G2022" s="10" t="s">
        <v>237</v>
      </c>
      <c r="H2022" s="7" t="s">
        <v>24</v>
      </c>
      <c r="I2022" s="7" t="s">
        <v>25</v>
      </c>
      <c r="J2022" s="13" t="str">
        <f>HYPERLINK("https://www.airitibooks.com/Detail/Detail?PublicationID=P20171114001", "https://www.airitibooks.com/Detail/Detail?PublicationID=P20171114001")</f>
        <v>https://www.airitibooks.com/Detail/Detail?PublicationID=P20171114001</v>
      </c>
      <c r="K2022" s="13" t="str">
        <f>HYPERLINK("https://ntsu.idm.oclc.org/login?url=https://www.airitibooks.com/Detail/Detail?PublicationID=P20171114001", "https://ntsu.idm.oclc.org/login?url=https://www.airitibooks.com/Detail/Detail?PublicationID=P20171114001")</f>
        <v>https://ntsu.idm.oclc.org/login?url=https://www.airitibooks.com/Detail/Detail?PublicationID=P20171114001</v>
      </c>
    </row>
    <row r="2023" spans="1:11" ht="51" x14ac:dyDescent="0.4">
      <c r="A2023" s="10" t="s">
        <v>7836</v>
      </c>
      <c r="B2023" s="10" t="s">
        <v>7837</v>
      </c>
      <c r="C2023" s="10" t="s">
        <v>7822</v>
      </c>
      <c r="D2023" s="10" t="s">
        <v>7838</v>
      </c>
      <c r="E2023" s="10" t="s">
        <v>6182</v>
      </c>
      <c r="F2023" s="10" t="s">
        <v>6300</v>
      </c>
      <c r="G2023" s="10" t="s">
        <v>237</v>
      </c>
      <c r="H2023" s="7" t="s">
        <v>7839</v>
      </c>
      <c r="I2023" s="7" t="s">
        <v>25</v>
      </c>
      <c r="J2023" s="13" t="str">
        <f>HYPERLINK("https://www.airitibooks.com/Detail/Detail?PublicationID=P20171127215", "https://www.airitibooks.com/Detail/Detail?PublicationID=P20171127215")</f>
        <v>https://www.airitibooks.com/Detail/Detail?PublicationID=P20171127215</v>
      </c>
      <c r="K2023" s="13" t="str">
        <f>HYPERLINK("https://ntsu.idm.oclc.org/login?url=https://www.airitibooks.com/Detail/Detail?PublicationID=P20171127215", "https://ntsu.idm.oclc.org/login?url=https://www.airitibooks.com/Detail/Detail?PublicationID=P20171127215")</f>
        <v>https://ntsu.idm.oclc.org/login?url=https://www.airitibooks.com/Detail/Detail?PublicationID=P20171127215</v>
      </c>
    </row>
    <row r="2024" spans="1:11" ht="51" x14ac:dyDescent="0.4">
      <c r="A2024" s="10" t="s">
        <v>7840</v>
      </c>
      <c r="B2024" s="10" t="s">
        <v>7841</v>
      </c>
      <c r="C2024" s="10" t="s">
        <v>7822</v>
      </c>
      <c r="D2024" s="10" t="s">
        <v>7838</v>
      </c>
      <c r="E2024" s="10" t="s">
        <v>6182</v>
      </c>
      <c r="F2024" s="10" t="s">
        <v>6300</v>
      </c>
      <c r="G2024" s="10" t="s">
        <v>237</v>
      </c>
      <c r="H2024" s="7" t="s">
        <v>7839</v>
      </c>
      <c r="I2024" s="7" t="s">
        <v>25</v>
      </c>
      <c r="J2024" s="13" t="str">
        <f>HYPERLINK("https://www.airitibooks.com/Detail/Detail?PublicationID=P20171127216", "https://www.airitibooks.com/Detail/Detail?PublicationID=P20171127216")</f>
        <v>https://www.airitibooks.com/Detail/Detail?PublicationID=P20171127216</v>
      </c>
      <c r="K2024" s="13" t="str">
        <f>HYPERLINK("https://ntsu.idm.oclc.org/login?url=https://www.airitibooks.com/Detail/Detail?PublicationID=P20171127216", "https://ntsu.idm.oclc.org/login?url=https://www.airitibooks.com/Detail/Detail?PublicationID=P20171127216")</f>
        <v>https://ntsu.idm.oclc.org/login?url=https://www.airitibooks.com/Detail/Detail?PublicationID=P20171127216</v>
      </c>
    </row>
    <row r="2025" spans="1:11" ht="85" x14ac:dyDescent="0.4">
      <c r="A2025" s="10" t="s">
        <v>8010</v>
      </c>
      <c r="B2025" s="10" t="s">
        <v>8011</v>
      </c>
      <c r="C2025" s="10" t="s">
        <v>791</v>
      </c>
      <c r="D2025" s="10" t="s">
        <v>8012</v>
      </c>
      <c r="E2025" s="10" t="s">
        <v>6182</v>
      </c>
      <c r="F2025" s="10" t="s">
        <v>1531</v>
      </c>
      <c r="G2025" s="10" t="s">
        <v>237</v>
      </c>
      <c r="H2025" s="7" t="s">
        <v>24</v>
      </c>
      <c r="I2025" s="7" t="s">
        <v>25</v>
      </c>
      <c r="J2025" s="13" t="str">
        <f>HYPERLINK("https://www.airitibooks.com/Detail/Detail?PublicationID=P20171130033", "https://www.airitibooks.com/Detail/Detail?PublicationID=P20171130033")</f>
        <v>https://www.airitibooks.com/Detail/Detail?PublicationID=P20171130033</v>
      </c>
      <c r="K2025" s="13" t="str">
        <f>HYPERLINK("https://ntsu.idm.oclc.org/login?url=https://www.airitibooks.com/Detail/Detail?PublicationID=P20171130033", "https://ntsu.idm.oclc.org/login?url=https://www.airitibooks.com/Detail/Detail?PublicationID=P20171130033")</f>
        <v>https://ntsu.idm.oclc.org/login?url=https://www.airitibooks.com/Detail/Detail?PublicationID=P20171130033</v>
      </c>
    </row>
    <row r="2026" spans="1:11" ht="51" x14ac:dyDescent="0.4">
      <c r="A2026" s="10" t="s">
        <v>8099</v>
      </c>
      <c r="B2026" s="10" t="s">
        <v>8100</v>
      </c>
      <c r="C2026" s="10" t="s">
        <v>8079</v>
      </c>
      <c r="D2026" s="10" t="s">
        <v>8101</v>
      </c>
      <c r="E2026" s="10" t="s">
        <v>6182</v>
      </c>
      <c r="F2026" s="10" t="s">
        <v>982</v>
      </c>
      <c r="G2026" s="10" t="s">
        <v>237</v>
      </c>
      <c r="H2026" s="7" t="s">
        <v>24</v>
      </c>
      <c r="I2026" s="7" t="s">
        <v>25</v>
      </c>
      <c r="J2026" s="13" t="str">
        <f>HYPERLINK("https://www.airitibooks.com/Detail/Detail?PublicationID=P20171213283", "https://www.airitibooks.com/Detail/Detail?PublicationID=P20171213283")</f>
        <v>https://www.airitibooks.com/Detail/Detail?PublicationID=P20171213283</v>
      </c>
      <c r="K2026" s="13" t="str">
        <f>HYPERLINK("https://ntsu.idm.oclc.org/login?url=https://www.airitibooks.com/Detail/Detail?PublicationID=P20171213283", "https://ntsu.idm.oclc.org/login?url=https://www.airitibooks.com/Detail/Detail?PublicationID=P20171213283")</f>
        <v>https://ntsu.idm.oclc.org/login?url=https://www.airitibooks.com/Detail/Detail?PublicationID=P20171213283</v>
      </c>
    </row>
    <row r="2027" spans="1:11" ht="51" x14ac:dyDescent="0.4">
      <c r="A2027" s="10" t="s">
        <v>8102</v>
      </c>
      <c r="B2027" s="10" t="s">
        <v>8103</v>
      </c>
      <c r="C2027" s="10" t="s">
        <v>8079</v>
      </c>
      <c r="D2027" s="10" t="s">
        <v>8104</v>
      </c>
      <c r="E2027" s="10" t="s">
        <v>6182</v>
      </c>
      <c r="F2027" s="10" t="s">
        <v>982</v>
      </c>
      <c r="G2027" s="10" t="s">
        <v>237</v>
      </c>
      <c r="H2027" s="7" t="s">
        <v>24</v>
      </c>
      <c r="I2027" s="7" t="s">
        <v>25</v>
      </c>
      <c r="J2027" s="13" t="str">
        <f>HYPERLINK("https://www.airitibooks.com/Detail/Detail?PublicationID=P20171213289", "https://www.airitibooks.com/Detail/Detail?PublicationID=P20171213289")</f>
        <v>https://www.airitibooks.com/Detail/Detail?PublicationID=P20171213289</v>
      </c>
      <c r="K2027" s="13" t="str">
        <f>HYPERLINK("https://ntsu.idm.oclc.org/login?url=https://www.airitibooks.com/Detail/Detail?PublicationID=P20171213289", "https://ntsu.idm.oclc.org/login?url=https://www.airitibooks.com/Detail/Detail?PublicationID=P20171213289")</f>
        <v>https://ntsu.idm.oclc.org/login?url=https://www.airitibooks.com/Detail/Detail?PublicationID=P20171213289</v>
      </c>
    </row>
    <row r="2028" spans="1:11" ht="51" x14ac:dyDescent="0.4">
      <c r="A2028" s="10" t="s">
        <v>8105</v>
      </c>
      <c r="B2028" s="10" t="s">
        <v>8106</v>
      </c>
      <c r="C2028" s="10" t="s">
        <v>8079</v>
      </c>
      <c r="D2028" s="10" t="s">
        <v>8086</v>
      </c>
      <c r="E2028" s="10" t="s">
        <v>6182</v>
      </c>
      <c r="F2028" s="10" t="s">
        <v>982</v>
      </c>
      <c r="G2028" s="10" t="s">
        <v>237</v>
      </c>
      <c r="H2028" s="7" t="s">
        <v>24</v>
      </c>
      <c r="I2028" s="7" t="s">
        <v>25</v>
      </c>
      <c r="J2028" s="13" t="str">
        <f>HYPERLINK("https://www.airitibooks.com/Detail/Detail?PublicationID=P20171213292", "https://www.airitibooks.com/Detail/Detail?PublicationID=P20171213292")</f>
        <v>https://www.airitibooks.com/Detail/Detail?PublicationID=P20171213292</v>
      </c>
      <c r="K2028" s="13" t="str">
        <f>HYPERLINK("https://ntsu.idm.oclc.org/login?url=https://www.airitibooks.com/Detail/Detail?PublicationID=P20171213292", "https://ntsu.idm.oclc.org/login?url=https://www.airitibooks.com/Detail/Detail?PublicationID=P20171213292")</f>
        <v>https://ntsu.idm.oclc.org/login?url=https://www.airitibooks.com/Detail/Detail?PublicationID=P20171213292</v>
      </c>
    </row>
    <row r="2029" spans="1:11" ht="68" x14ac:dyDescent="0.4">
      <c r="A2029" s="10" t="s">
        <v>8165</v>
      </c>
      <c r="B2029" s="10" t="s">
        <v>8166</v>
      </c>
      <c r="C2029" s="10" t="s">
        <v>791</v>
      </c>
      <c r="D2029" s="10" t="s">
        <v>8167</v>
      </c>
      <c r="E2029" s="10" t="s">
        <v>6182</v>
      </c>
      <c r="F2029" s="10" t="s">
        <v>1539</v>
      </c>
      <c r="G2029" s="10" t="s">
        <v>237</v>
      </c>
      <c r="H2029" s="7" t="s">
        <v>24</v>
      </c>
      <c r="I2029" s="7" t="s">
        <v>25</v>
      </c>
      <c r="J2029" s="13" t="str">
        <f>HYPERLINK("https://www.airitibooks.com/Detail/Detail?PublicationID=P20171228439", "https://www.airitibooks.com/Detail/Detail?PublicationID=P20171228439")</f>
        <v>https://www.airitibooks.com/Detail/Detail?PublicationID=P20171228439</v>
      </c>
      <c r="K2029" s="13" t="str">
        <f>HYPERLINK("https://ntsu.idm.oclc.org/login?url=https://www.airitibooks.com/Detail/Detail?PublicationID=P20171228439", "https://ntsu.idm.oclc.org/login?url=https://www.airitibooks.com/Detail/Detail?PublicationID=P20171228439")</f>
        <v>https://ntsu.idm.oclc.org/login?url=https://www.airitibooks.com/Detail/Detail?PublicationID=P20171228439</v>
      </c>
    </row>
    <row r="2030" spans="1:11" ht="51" x14ac:dyDescent="0.4">
      <c r="A2030" s="10" t="s">
        <v>8396</v>
      </c>
      <c r="B2030" s="10" t="s">
        <v>8397</v>
      </c>
      <c r="C2030" s="10" t="s">
        <v>7020</v>
      </c>
      <c r="D2030" s="10" t="s">
        <v>7021</v>
      </c>
      <c r="E2030" s="10" t="s">
        <v>6182</v>
      </c>
      <c r="F2030" s="10" t="s">
        <v>6069</v>
      </c>
      <c r="G2030" s="10" t="s">
        <v>237</v>
      </c>
      <c r="H2030" s="7" t="s">
        <v>24</v>
      </c>
      <c r="I2030" s="7" t="s">
        <v>25</v>
      </c>
      <c r="J2030" s="13" t="str">
        <f>HYPERLINK("https://www.airitibooks.com/Detail/Detail?PublicationID=P20180205106", "https://www.airitibooks.com/Detail/Detail?PublicationID=P20180205106")</f>
        <v>https://www.airitibooks.com/Detail/Detail?PublicationID=P20180205106</v>
      </c>
      <c r="K2030" s="13" t="str">
        <f>HYPERLINK("https://ntsu.idm.oclc.org/login?url=https://www.airitibooks.com/Detail/Detail?PublicationID=P20180205106", "https://ntsu.idm.oclc.org/login?url=https://www.airitibooks.com/Detail/Detail?PublicationID=P20180205106")</f>
        <v>https://ntsu.idm.oclc.org/login?url=https://www.airitibooks.com/Detail/Detail?PublicationID=P20180205106</v>
      </c>
    </row>
    <row r="2031" spans="1:11" ht="51" x14ac:dyDescent="0.4">
      <c r="A2031" s="10" t="s">
        <v>8692</v>
      </c>
      <c r="B2031" s="10" t="s">
        <v>8693</v>
      </c>
      <c r="C2031" s="10" t="s">
        <v>1727</v>
      </c>
      <c r="D2031" s="10" t="s">
        <v>8694</v>
      </c>
      <c r="E2031" s="10" t="s">
        <v>6182</v>
      </c>
      <c r="F2031" s="10" t="s">
        <v>8695</v>
      </c>
      <c r="G2031" s="10" t="s">
        <v>237</v>
      </c>
      <c r="H2031" s="7" t="s">
        <v>24</v>
      </c>
      <c r="I2031" s="7" t="s">
        <v>25</v>
      </c>
      <c r="J2031" s="13" t="str">
        <f>HYPERLINK("https://www.airitibooks.com/Detail/Detail?PublicationID=P20180301021", "https://www.airitibooks.com/Detail/Detail?PublicationID=P20180301021")</f>
        <v>https://www.airitibooks.com/Detail/Detail?PublicationID=P20180301021</v>
      </c>
      <c r="K2031" s="13" t="str">
        <f>HYPERLINK("https://ntsu.idm.oclc.org/login?url=https://www.airitibooks.com/Detail/Detail?PublicationID=P20180301021", "https://ntsu.idm.oclc.org/login?url=https://www.airitibooks.com/Detail/Detail?PublicationID=P20180301021")</f>
        <v>https://ntsu.idm.oclc.org/login?url=https://www.airitibooks.com/Detail/Detail?PublicationID=P20180301021</v>
      </c>
    </row>
    <row r="2032" spans="1:11" ht="51" x14ac:dyDescent="0.4">
      <c r="A2032" s="10" t="s">
        <v>8836</v>
      </c>
      <c r="B2032" s="10" t="s">
        <v>8837</v>
      </c>
      <c r="C2032" s="10" t="s">
        <v>544</v>
      </c>
      <c r="D2032" s="10" t="s">
        <v>8838</v>
      </c>
      <c r="E2032" s="10" t="s">
        <v>6182</v>
      </c>
      <c r="F2032" s="10" t="s">
        <v>8839</v>
      </c>
      <c r="G2032" s="10" t="s">
        <v>237</v>
      </c>
      <c r="H2032" s="7" t="s">
        <v>24</v>
      </c>
      <c r="I2032" s="7" t="s">
        <v>25</v>
      </c>
      <c r="J2032" s="13" t="str">
        <f>HYPERLINK("https://www.airitibooks.com/Detail/Detail?PublicationID=P20180330041", "https://www.airitibooks.com/Detail/Detail?PublicationID=P20180330041")</f>
        <v>https://www.airitibooks.com/Detail/Detail?PublicationID=P20180330041</v>
      </c>
      <c r="K2032" s="13" t="str">
        <f>HYPERLINK("https://ntsu.idm.oclc.org/login?url=https://www.airitibooks.com/Detail/Detail?PublicationID=P20180330041", "https://ntsu.idm.oclc.org/login?url=https://www.airitibooks.com/Detail/Detail?PublicationID=P20180330041")</f>
        <v>https://ntsu.idm.oclc.org/login?url=https://www.airitibooks.com/Detail/Detail?PublicationID=P20180330041</v>
      </c>
    </row>
    <row r="2033" spans="1:11" ht="51" x14ac:dyDescent="0.4">
      <c r="A2033" s="10" t="s">
        <v>8840</v>
      </c>
      <c r="B2033" s="10" t="s">
        <v>8841</v>
      </c>
      <c r="C2033" s="10" t="s">
        <v>544</v>
      </c>
      <c r="D2033" s="10" t="s">
        <v>8842</v>
      </c>
      <c r="E2033" s="10" t="s">
        <v>6182</v>
      </c>
      <c r="F2033" s="10" t="s">
        <v>840</v>
      </c>
      <c r="G2033" s="10" t="s">
        <v>237</v>
      </c>
      <c r="H2033" s="7" t="s">
        <v>24</v>
      </c>
      <c r="I2033" s="7" t="s">
        <v>25</v>
      </c>
      <c r="J2033" s="13" t="str">
        <f>HYPERLINK("https://www.airitibooks.com/Detail/Detail?PublicationID=P20180330043", "https://www.airitibooks.com/Detail/Detail?PublicationID=P20180330043")</f>
        <v>https://www.airitibooks.com/Detail/Detail?PublicationID=P20180330043</v>
      </c>
      <c r="K2033" s="13" t="str">
        <f>HYPERLINK("https://ntsu.idm.oclc.org/login?url=https://www.airitibooks.com/Detail/Detail?PublicationID=P20180330043", "https://ntsu.idm.oclc.org/login?url=https://www.airitibooks.com/Detail/Detail?PublicationID=P20180330043")</f>
        <v>https://ntsu.idm.oclc.org/login?url=https://www.airitibooks.com/Detail/Detail?PublicationID=P20180330043</v>
      </c>
    </row>
    <row r="2034" spans="1:11" ht="51" x14ac:dyDescent="0.4">
      <c r="A2034" s="10" t="s">
        <v>8972</v>
      </c>
      <c r="B2034" s="10" t="s">
        <v>8973</v>
      </c>
      <c r="C2034" s="10" t="s">
        <v>791</v>
      </c>
      <c r="D2034" s="10" t="s">
        <v>8974</v>
      </c>
      <c r="E2034" s="10" t="s">
        <v>6182</v>
      </c>
      <c r="F2034" s="10" t="s">
        <v>8975</v>
      </c>
      <c r="G2034" s="10" t="s">
        <v>237</v>
      </c>
      <c r="H2034" s="7" t="s">
        <v>24</v>
      </c>
      <c r="I2034" s="7" t="s">
        <v>25</v>
      </c>
      <c r="J2034" s="13" t="str">
        <f>HYPERLINK("https://www.airitibooks.com/Detail/Detail?PublicationID=P20180413081", "https://www.airitibooks.com/Detail/Detail?PublicationID=P20180413081")</f>
        <v>https://www.airitibooks.com/Detail/Detail?PublicationID=P20180413081</v>
      </c>
      <c r="K2034" s="13" t="str">
        <f>HYPERLINK("https://ntsu.idm.oclc.org/login?url=https://www.airitibooks.com/Detail/Detail?PublicationID=P20180413081", "https://ntsu.idm.oclc.org/login?url=https://www.airitibooks.com/Detail/Detail?PublicationID=P20180413081")</f>
        <v>https://ntsu.idm.oclc.org/login?url=https://www.airitibooks.com/Detail/Detail?PublicationID=P20180413081</v>
      </c>
    </row>
    <row r="2035" spans="1:11" ht="51" x14ac:dyDescent="0.4">
      <c r="A2035" s="10" t="s">
        <v>9165</v>
      </c>
      <c r="B2035" s="10" t="s">
        <v>9166</v>
      </c>
      <c r="C2035" s="10" t="s">
        <v>9145</v>
      </c>
      <c r="D2035" s="10" t="s">
        <v>9167</v>
      </c>
      <c r="E2035" s="10" t="s">
        <v>6182</v>
      </c>
      <c r="F2035" s="10" t="s">
        <v>9168</v>
      </c>
      <c r="G2035" s="10" t="s">
        <v>237</v>
      </c>
      <c r="H2035" s="7" t="s">
        <v>24</v>
      </c>
      <c r="I2035" s="7" t="s">
        <v>25</v>
      </c>
      <c r="J2035" s="13" t="str">
        <f>HYPERLINK("https://www.airitibooks.com/Detail/Detail?PublicationID=P20180511034", "https://www.airitibooks.com/Detail/Detail?PublicationID=P20180511034")</f>
        <v>https://www.airitibooks.com/Detail/Detail?PublicationID=P20180511034</v>
      </c>
      <c r="K2035" s="13" t="str">
        <f>HYPERLINK("https://ntsu.idm.oclc.org/login?url=https://www.airitibooks.com/Detail/Detail?PublicationID=P20180511034", "https://ntsu.idm.oclc.org/login?url=https://www.airitibooks.com/Detail/Detail?PublicationID=P20180511034")</f>
        <v>https://ntsu.idm.oclc.org/login?url=https://www.airitibooks.com/Detail/Detail?PublicationID=P20180511034</v>
      </c>
    </row>
    <row r="2036" spans="1:11" ht="51" x14ac:dyDescent="0.4">
      <c r="A2036" s="10" t="s">
        <v>10179</v>
      </c>
      <c r="B2036" s="10" t="s">
        <v>10180</v>
      </c>
      <c r="C2036" s="10" t="s">
        <v>9828</v>
      </c>
      <c r="D2036" s="10" t="s">
        <v>10181</v>
      </c>
      <c r="E2036" s="10" t="s">
        <v>6182</v>
      </c>
      <c r="F2036" s="10" t="s">
        <v>3210</v>
      </c>
      <c r="G2036" s="10" t="s">
        <v>237</v>
      </c>
      <c r="H2036" s="7" t="s">
        <v>1031</v>
      </c>
      <c r="I2036" s="7" t="s">
        <v>25</v>
      </c>
      <c r="J2036" s="13" t="str">
        <f>HYPERLINK("https://www.airitibooks.com/Detail/Detail?PublicationID=P20181127115", "https://www.airitibooks.com/Detail/Detail?PublicationID=P20181127115")</f>
        <v>https://www.airitibooks.com/Detail/Detail?PublicationID=P20181127115</v>
      </c>
      <c r="K2036" s="13" t="str">
        <f>HYPERLINK("https://ntsu.idm.oclc.org/login?url=https://www.airitibooks.com/Detail/Detail?PublicationID=P20181127115", "https://ntsu.idm.oclc.org/login?url=https://www.airitibooks.com/Detail/Detail?PublicationID=P20181127115")</f>
        <v>https://ntsu.idm.oclc.org/login?url=https://www.airitibooks.com/Detail/Detail?PublicationID=P20181127115</v>
      </c>
    </row>
    <row r="2037" spans="1:11" ht="51" x14ac:dyDescent="0.4">
      <c r="A2037" s="10" t="s">
        <v>10185</v>
      </c>
      <c r="B2037" s="10" t="s">
        <v>10186</v>
      </c>
      <c r="C2037" s="10" t="s">
        <v>9828</v>
      </c>
      <c r="D2037" s="10" t="s">
        <v>10187</v>
      </c>
      <c r="E2037" s="10" t="s">
        <v>6182</v>
      </c>
      <c r="F2037" s="10" t="s">
        <v>3210</v>
      </c>
      <c r="G2037" s="10" t="s">
        <v>237</v>
      </c>
      <c r="H2037" s="7" t="s">
        <v>1031</v>
      </c>
      <c r="I2037" s="7" t="s">
        <v>25</v>
      </c>
      <c r="J2037" s="13" t="str">
        <f>HYPERLINK("https://www.airitibooks.com/Detail/Detail?PublicationID=P20181128055", "https://www.airitibooks.com/Detail/Detail?PublicationID=P20181128055")</f>
        <v>https://www.airitibooks.com/Detail/Detail?PublicationID=P20181128055</v>
      </c>
      <c r="K2037" s="13" t="str">
        <f>HYPERLINK("https://ntsu.idm.oclc.org/login?url=https://www.airitibooks.com/Detail/Detail?PublicationID=P20181128055", "https://ntsu.idm.oclc.org/login?url=https://www.airitibooks.com/Detail/Detail?PublicationID=P20181128055")</f>
        <v>https://ntsu.idm.oclc.org/login?url=https://www.airitibooks.com/Detail/Detail?PublicationID=P20181128055</v>
      </c>
    </row>
    <row r="2038" spans="1:11" ht="51" x14ac:dyDescent="0.4">
      <c r="A2038" s="10" t="s">
        <v>10188</v>
      </c>
      <c r="B2038" s="10" t="s">
        <v>10189</v>
      </c>
      <c r="C2038" s="10" t="s">
        <v>9828</v>
      </c>
      <c r="D2038" s="10" t="s">
        <v>10190</v>
      </c>
      <c r="E2038" s="10" t="s">
        <v>6182</v>
      </c>
      <c r="F2038" s="10" t="s">
        <v>10191</v>
      </c>
      <c r="G2038" s="10" t="s">
        <v>237</v>
      </c>
      <c r="H2038" s="7" t="s">
        <v>1031</v>
      </c>
      <c r="I2038" s="7" t="s">
        <v>25</v>
      </c>
      <c r="J2038" s="13" t="str">
        <f>HYPERLINK("https://www.airitibooks.com/Detail/Detail?PublicationID=P20181128065", "https://www.airitibooks.com/Detail/Detail?PublicationID=P20181128065")</f>
        <v>https://www.airitibooks.com/Detail/Detail?PublicationID=P20181128065</v>
      </c>
      <c r="K2038" s="13" t="str">
        <f>HYPERLINK("https://ntsu.idm.oclc.org/login?url=https://www.airitibooks.com/Detail/Detail?PublicationID=P20181128065", "https://ntsu.idm.oclc.org/login?url=https://www.airitibooks.com/Detail/Detail?PublicationID=P20181128065")</f>
        <v>https://ntsu.idm.oclc.org/login?url=https://www.airitibooks.com/Detail/Detail?PublicationID=P20181128065</v>
      </c>
    </row>
    <row r="2039" spans="1:11" ht="51" x14ac:dyDescent="0.4">
      <c r="A2039" s="10" t="s">
        <v>10204</v>
      </c>
      <c r="B2039" s="10" t="s">
        <v>10205</v>
      </c>
      <c r="C2039" s="10" t="s">
        <v>9828</v>
      </c>
      <c r="D2039" s="10" t="s">
        <v>10206</v>
      </c>
      <c r="E2039" s="10" t="s">
        <v>6182</v>
      </c>
      <c r="F2039" s="10" t="s">
        <v>7852</v>
      </c>
      <c r="G2039" s="10" t="s">
        <v>237</v>
      </c>
      <c r="H2039" s="7" t="s">
        <v>24</v>
      </c>
      <c r="I2039" s="7" t="s">
        <v>25</v>
      </c>
      <c r="J2039" s="13" t="str">
        <f>HYPERLINK("https://www.airitibooks.com/Detail/Detail?PublicationID=P20181129059", "https://www.airitibooks.com/Detail/Detail?PublicationID=P20181129059")</f>
        <v>https://www.airitibooks.com/Detail/Detail?PublicationID=P20181129059</v>
      </c>
      <c r="K2039" s="13" t="str">
        <f>HYPERLINK("https://ntsu.idm.oclc.org/login?url=https://www.airitibooks.com/Detail/Detail?PublicationID=P20181129059", "https://ntsu.idm.oclc.org/login?url=https://www.airitibooks.com/Detail/Detail?PublicationID=P20181129059")</f>
        <v>https://ntsu.idm.oclc.org/login?url=https://www.airitibooks.com/Detail/Detail?PublicationID=P20181129059</v>
      </c>
    </row>
    <row r="2040" spans="1:11" ht="51" x14ac:dyDescent="0.4">
      <c r="A2040" s="10" t="s">
        <v>10211</v>
      </c>
      <c r="B2040" s="10" t="s">
        <v>10212</v>
      </c>
      <c r="C2040" s="10" t="s">
        <v>9828</v>
      </c>
      <c r="D2040" s="10" t="s">
        <v>10213</v>
      </c>
      <c r="E2040" s="10" t="s">
        <v>6182</v>
      </c>
      <c r="F2040" s="10" t="s">
        <v>10214</v>
      </c>
      <c r="G2040" s="10" t="s">
        <v>237</v>
      </c>
      <c r="H2040" s="7" t="s">
        <v>1031</v>
      </c>
      <c r="I2040" s="7" t="s">
        <v>25</v>
      </c>
      <c r="J2040" s="13" t="str">
        <f>HYPERLINK("https://www.airitibooks.com/Detail/Detail?PublicationID=P20181129098", "https://www.airitibooks.com/Detail/Detail?PublicationID=P20181129098")</f>
        <v>https://www.airitibooks.com/Detail/Detail?PublicationID=P20181129098</v>
      </c>
      <c r="K2040" s="13" t="str">
        <f>HYPERLINK("https://ntsu.idm.oclc.org/login?url=https://www.airitibooks.com/Detail/Detail?PublicationID=P20181129098", "https://ntsu.idm.oclc.org/login?url=https://www.airitibooks.com/Detail/Detail?PublicationID=P20181129098")</f>
        <v>https://ntsu.idm.oclc.org/login?url=https://www.airitibooks.com/Detail/Detail?PublicationID=P20181129098</v>
      </c>
    </row>
    <row r="2041" spans="1:11" ht="51" x14ac:dyDescent="0.4">
      <c r="A2041" s="10" t="s">
        <v>10225</v>
      </c>
      <c r="B2041" s="10" t="s">
        <v>10226</v>
      </c>
      <c r="C2041" s="10" t="s">
        <v>9828</v>
      </c>
      <c r="D2041" s="10" t="s">
        <v>10227</v>
      </c>
      <c r="E2041" s="10" t="s">
        <v>6182</v>
      </c>
      <c r="F2041" s="10" t="s">
        <v>10228</v>
      </c>
      <c r="G2041" s="10" t="s">
        <v>237</v>
      </c>
      <c r="H2041" s="7" t="s">
        <v>1031</v>
      </c>
      <c r="I2041" s="7" t="s">
        <v>25</v>
      </c>
      <c r="J2041" s="13" t="str">
        <f>HYPERLINK("https://www.airitibooks.com/Detail/Detail?PublicationID=P20181130062", "https://www.airitibooks.com/Detail/Detail?PublicationID=P20181130062")</f>
        <v>https://www.airitibooks.com/Detail/Detail?PublicationID=P20181130062</v>
      </c>
      <c r="K2041" s="13" t="str">
        <f>HYPERLINK("https://ntsu.idm.oclc.org/login?url=https://www.airitibooks.com/Detail/Detail?PublicationID=P20181130062", "https://ntsu.idm.oclc.org/login?url=https://www.airitibooks.com/Detail/Detail?PublicationID=P20181130062")</f>
        <v>https://ntsu.idm.oclc.org/login?url=https://www.airitibooks.com/Detail/Detail?PublicationID=P20181130062</v>
      </c>
    </row>
    <row r="2042" spans="1:11" ht="51" x14ac:dyDescent="0.4">
      <c r="A2042" s="10" t="s">
        <v>10245</v>
      </c>
      <c r="B2042" s="10" t="s">
        <v>10246</v>
      </c>
      <c r="C2042" s="10" t="s">
        <v>9828</v>
      </c>
      <c r="D2042" s="10" t="s">
        <v>10247</v>
      </c>
      <c r="E2042" s="10" t="s">
        <v>6182</v>
      </c>
      <c r="F2042" s="10" t="s">
        <v>10191</v>
      </c>
      <c r="G2042" s="10" t="s">
        <v>237</v>
      </c>
      <c r="H2042" s="7" t="s">
        <v>1031</v>
      </c>
      <c r="I2042" s="7" t="s">
        <v>25</v>
      </c>
      <c r="J2042" s="13" t="str">
        <f>HYPERLINK("https://www.airitibooks.com/Detail/Detail?PublicationID=P20181203066", "https://www.airitibooks.com/Detail/Detail?PublicationID=P20181203066")</f>
        <v>https://www.airitibooks.com/Detail/Detail?PublicationID=P20181203066</v>
      </c>
      <c r="K2042" s="13" t="str">
        <f>HYPERLINK("https://ntsu.idm.oclc.org/login?url=https://www.airitibooks.com/Detail/Detail?PublicationID=P20181203066", "https://ntsu.idm.oclc.org/login?url=https://www.airitibooks.com/Detail/Detail?PublicationID=P20181203066")</f>
        <v>https://ntsu.idm.oclc.org/login?url=https://www.airitibooks.com/Detail/Detail?PublicationID=P20181203066</v>
      </c>
    </row>
    <row r="2043" spans="1:11" ht="51" x14ac:dyDescent="0.4">
      <c r="A2043" s="10" t="s">
        <v>10248</v>
      </c>
      <c r="B2043" s="10" t="s">
        <v>10249</v>
      </c>
      <c r="C2043" s="10" t="s">
        <v>9828</v>
      </c>
      <c r="D2043" s="10" t="s">
        <v>10247</v>
      </c>
      <c r="E2043" s="10" t="s">
        <v>6182</v>
      </c>
      <c r="F2043" s="10" t="s">
        <v>10191</v>
      </c>
      <c r="G2043" s="10" t="s">
        <v>237</v>
      </c>
      <c r="H2043" s="7" t="s">
        <v>1031</v>
      </c>
      <c r="I2043" s="7" t="s">
        <v>25</v>
      </c>
      <c r="J2043" s="13" t="str">
        <f>HYPERLINK("https://www.airitibooks.com/Detail/Detail?PublicationID=P20181203067", "https://www.airitibooks.com/Detail/Detail?PublicationID=P20181203067")</f>
        <v>https://www.airitibooks.com/Detail/Detail?PublicationID=P20181203067</v>
      </c>
      <c r="K2043" s="13" t="str">
        <f>HYPERLINK("https://ntsu.idm.oclc.org/login?url=https://www.airitibooks.com/Detail/Detail?PublicationID=P20181203067", "https://ntsu.idm.oclc.org/login?url=https://www.airitibooks.com/Detail/Detail?PublicationID=P20181203067")</f>
        <v>https://ntsu.idm.oclc.org/login?url=https://www.airitibooks.com/Detail/Detail?PublicationID=P20181203067</v>
      </c>
    </row>
    <row r="2044" spans="1:11" ht="68" x14ac:dyDescent="0.4">
      <c r="A2044" s="10" t="s">
        <v>10253</v>
      </c>
      <c r="B2044" s="10" t="s">
        <v>10254</v>
      </c>
      <c r="C2044" s="10" t="s">
        <v>9828</v>
      </c>
      <c r="D2044" s="10" t="s">
        <v>10255</v>
      </c>
      <c r="E2044" s="10" t="s">
        <v>6182</v>
      </c>
      <c r="F2044" s="10" t="s">
        <v>1313</v>
      </c>
      <c r="G2044" s="10" t="s">
        <v>237</v>
      </c>
      <c r="H2044" s="7" t="s">
        <v>1031</v>
      </c>
      <c r="I2044" s="7" t="s">
        <v>25</v>
      </c>
      <c r="J2044" s="13" t="str">
        <f>HYPERLINK("https://www.airitibooks.com/Detail/Detail?PublicationID=P20181203079", "https://www.airitibooks.com/Detail/Detail?PublicationID=P20181203079")</f>
        <v>https://www.airitibooks.com/Detail/Detail?PublicationID=P20181203079</v>
      </c>
      <c r="K2044" s="13" t="str">
        <f>HYPERLINK("https://ntsu.idm.oclc.org/login?url=https://www.airitibooks.com/Detail/Detail?PublicationID=P20181203079", "https://ntsu.idm.oclc.org/login?url=https://www.airitibooks.com/Detail/Detail?PublicationID=P20181203079")</f>
        <v>https://ntsu.idm.oclc.org/login?url=https://www.airitibooks.com/Detail/Detail?PublicationID=P20181203079</v>
      </c>
    </row>
    <row r="2045" spans="1:11" ht="51" x14ac:dyDescent="0.4">
      <c r="A2045" s="10" t="s">
        <v>10284</v>
      </c>
      <c r="B2045" s="10" t="s">
        <v>10285</v>
      </c>
      <c r="C2045" s="10" t="s">
        <v>9828</v>
      </c>
      <c r="D2045" s="10" t="s">
        <v>10286</v>
      </c>
      <c r="E2045" s="10" t="s">
        <v>6182</v>
      </c>
      <c r="F2045" s="10" t="s">
        <v>5183</v>
      </c>
      <c r="G2045" s="10" t="s">
        <v>237</v>
      </c>
      <c r="H2045" s="7" t="s">
        <v>1031</v>
      </c>
      <c r="I2045" s="7" t="s">
        <v>25</v>
      </c>
      <c r="J2045" s="13" t="str">
        <f>HYPERLINK("https://www.airitibooks.com/Detail/Detail?PublicationID=P20181204012", "https://www.airitibooks.com/Detail/Detail?PublicationID=P20181204012")</f>
        <v>https://www.airitibooks.com/Detail/Detail?PublicationID=P20181204012</v>
      </c>
      <c r="K2045" s="13" t="str">
        <f>HYPERLINK("https://ntsu.idm.oclc.org/login?url=https://www.airitibooks.com/Detail/Detail?PublicationID=P20181204012", "https://ntsu.idm.oclc.org/login?url=https://www.airitibooks.com/Detail/Detail?PublicationID=P20181204012")</f>
        <v>https://ntsu.idm.oclc.org/login?url=https://www.airitibooks.com/Detail/Detail?PublicationID=P20181204012</v>
      </c>
    </row>
    <row r="2046" spans="1:11" ht="51" x14ac:dyDescent="0.4">
      <c r="A2046" s="10" t="s">
        <v>10313</v>
      </c>
      <c r="B2046" s="10" t="s">
        <v>10314</v>
      </c>
      <c r="C2046" s="10" t="s">
        <v>9828</v>
      </c>
      <c r="D2046" s="10" t="s">
        <v>10315</v>
      </c>
      <c r="E2046" s="10" t="s">
        <v>6182</v>
      </c>
      <c r="F2046" s="10" t="s">
        <v>960</v>
      </c>
      <c r="G2046" s="10" t="s">
        <v>237</v>
      </c>
      <c r="H2046" s="7" t="s">
        <v>1031</v>
      </c>
      <c r="I2046" s="7" t="s">
        <v>25</v>
      </c>
      <c r="J2046" s="13" t="str">
        <f>HYPERLINK("https://www.airitibooks.com/Detail/Detail?PublicationID=P20181204056", "https://www.airitibooks.com/Detail/Detail?PublicationID=P20181204056")</f>
        <v>https://www.airitibooks.com/Detail/Detail?PublicationID=P20181204056</v>
      </c>
      <c r="K2046" s="13" t="str">
        <f>HYPERLINK("https://ntsu.idm.oclc.org/login?url=https://www.airitibooks.com/Detail/Detail?PublicationID=P20181204056", "https://ntsu.idm.oclc.org/login?url=https://www.airitibooks.com/Detail/Detail?PublicationID=P20181204056")</f>
        <v>https://ntsu.idm.oclc.org/login?url=https://www.airitibooks.com/Detail/Detail?PublicationID=P20181204056</v>
      </c>
    </row>
    <row r="2047" spans="1:11" ht="68" x14ac:dyDescent="0.4">
      <c r="A2047" s="10" t="s">
        <v>10670</v>
      </c>
      <c r="B2047" s="10" t="s">
        <v>10671</v>
      </c>
      <c r="C2047" s="10" t="s">
        <v>457</v>
      </c>
      <c r="D2047" s="10" t="s">
        <v>10672</v>
      </c>
      <c r="E2047" s="10" t="s">
        <v>6182</v>
      </c>
      <c r="F2047" s="10" t="s">
        <v>10673</v>
      </c>
      <c r="G2047" s="10" t="s">
        <v>237</v>
      </c>
      <c r="H2047" s="7" t="s">
        <v>24</v>
      </c>
      <c r="I2047" s="7" t="s">
        <v>25</v>
      </c>
      <c r="J2047" s="13" t="str">
        <f>HYPERLINK("https://www.airitibooks.com/Detail/Detail?PublicationID=P20190214050", "https://www.airitibooks.com/Detail/Detail?PublicationID=P20190214050")</f>
        <v>https://www.airitibooks.com/Detail/Detail?PublicationID=P20190214050</v>
      </c>
      <c r="K2047" s="13" t="str">
        <f>HYPERLINK("https://ntsu.idm.oclc.org/login?url=https://www.airitibooks.com/Detail/Detail?PublicationID=P20190214050", "https://ntsu.idm.oclc.org/login?url=https://www.airitibooks.com/Detail/Detail?PublicationID=P20190214050")</f>
        <v>https://ntsu.idm.oclc.org/login?url=https://www.airitibooks.com/Detail/Detail?PublicationID=P20190214050</v>
      </c>
    </row>
    <row r="2048" spans="1:11" ht="51" x14ac:dyDescent="0.4">
      <c r="A2048" s="10" t="s">
        <v>10678</v>
      </c>
      <c r="B2048" s="10" t="s">
        <v>10679</v>
      </c>
      <c r="C2048" s="10" t="s">
        <v>462</v>
      </c>
      <c r="D2048" s="10" t="s">
        <v>10680</v>
      </c>
      <c r="E2048" s="10" t="s">
        <v>6182</v>
      </c>
      <c r="F2048" s="10" t="s">
        <v>5598</v>
      </c>
      <c r="G2048" s="10" t="s">
        <v>237</v>
      </c>
      <c r="H2048" s="7" t="s">
        <v>24</v>
      </c>
      <c r="I2048" s="7" t="s">
        <v>25</v>
      </c>
      <c r="J2048" s="13" t="str">
        <f>HYPERLINK("https://www.airitibooks.com/Detail/Detail?PublicationID=P20190214066", "https://www.airitibooks.com/Detail/Detail?PublicationID=P20190214066")</f>
        <v>https://www.airitibooks.com/Detail/Detail?PublicationID=P20190214066</v>
      </c>
      <c r="K2048" s="13" t="str">
        <f>HYPERLINK("https://ntsu.idm.oclc.org/login?url=https://www.airitibooks.com/Detail/Detail?PublicationID=P20190214066", "https://ntsu.idm.oclc.org/login?url=https://www.airitibooks.com/Detail/Detail?PublicationID=P20190214066")</f>
        <v>https://ntsu.idm.oclc.org/login?url=https://www.airitibooks.com/Detail/Detail?PublicationID=P20190214066</v>
      </c>
    </row>
    <row r="2049" spans="1:11" ht="51" x14ac:dyDescent="0.4">
      <c r="A2049" s="10" t="s">
        <v>10877</v>
      </c>
      <c r="B2049" s="10" t="s">
        <v>10878</v>
      </c>
      <c r="C2049" s="10" t="s">
        <v>462</v>
      </c>
      <c r="D2049" s="10" t="s">
        <v>10879</v>
      </c>
      <c r="E2049" s="10" t="s">
        <v>6182</v>
      </c>
      <c r="F2049" s="10" t="s">
        <v>1435</v>
      </c>
      <c r="G2049" s="10" t="s">
        <v>237</v>
      </c>
      <c r="H2049" s="7" t="s">
        <v>24</v>
      </c>
      <c r="I2049" s="7" t="s">
        <v>25</v>
      </c>
      <c r="J2049" s="13" t="str">
        <f>HYPERLINK("https://www.airitibooks.com/Detail/Detail?PublicationID=P20190222052", "https://www.airitibooks.com/Detail/Detail?PublicationID=P20190222052")</f>
        <v>https://www.airitibooks.com/Detail/Detail?PublicationID=P20190222052</v>
      </c>
      <c r="K2049" s="13" t="str">
        <f>HYPERLINK("https://ntsu.idm.oclc.org/login?url=https://www.airitibooks.com/Detail/Detail?PublicationID=P20190222052", "https://ntsu.idm.oclc.org/login?url=https://www.airitibooks.com/Detail/Detail?PublicationID=P20190222052")</f>
        <v>https://ntsu.idm.oclc.org/login?url=https://www.airitibooks.com/Detail/Detail?PublicationID=P20190222052</v>
      </c>
    </row>
    <row r="2050" spans="1:11" ht="51" x14ac:dyDescent="0.4">
      <c r="A2050" s="10" t="s">
        <v>11664</v>
      </c>
      <c r="B2050" s="10" t="s">
        <v>11665</v>
      </c>
      <c r="C2050" s="10" t="s">
        <v>4120</v>
      </c>
      <c r="D2050" s="10" t="s">
        <v>11666</v>
      </c>
      <c r="E2050" s="10" t="s">
        <v>6182</v>
      </c>
      <c r="F2050" s="10" t="s">
        <v>11667</v>
      </c>
      <c r="G2050" s="10" t="s">
        <v>237</v>
      </c>
      <c r="H2050" s="7" t="s">
        <v>24</v>
      </c>
      <c r="I2050" s="7" t="s">
        <v>25</v>
      </c>
      <c r="J2050" s="13" t="str">
        <f>HYPERLINK("https://www.airitibooks.com/Detail/Detail?PublicationID=P20190614031", "https://www.airitibooks.com/Detail/Detail?PublicationID=P20190614031")</f>
        <v>https://www.airitibooks.com/Detail/Detail?PublicationID=P20190614031</v>
      </c>
      <c r="K2050" s="13" t="str">
        <f>HYPERLINK("https://ntsu.idm.oclc.org/login?url=https://www.airitibooks.com/Detail/Detail?PublicationID=P20190614031", "https://ntsu.idm.oclc.org/login?url=https://www.airitibooks.com/Detail/Detail?PublicationID=P20190614031")</f>
        <v>https://ntsu.idm.oclc.org/login?url=https://www.airitibooks.com/Detail/Detail?PublicationID=P20190614031</v>
      </c>
    </row>
    <row r="2051" spans="1:11" ht="68" x14ac:dyDescent="0.4">
      <c r="A2051" s="10" t="s">
        <v>11674</v>
      </c>
      <c r="B2051" s="10" t="s">
        <v>11675</v>
      </c>
      <c r="C2051" s="10" t="s">
        <v>5050</v>
      </c>
      <c r="D2051" s="10" t="s">
        <v>11676</v>
      </c>
      <c r="E2051" s="10" t="s">
        <v>6182</v>
      </c>
      <c r="F2051" s="10" t="s">
        <v>11677</v>
      </c>
      <c r="G2051" s="10" t="s">
        <v>237</v>
      </c>
      <c r="H2051" s="7" t="s">
        <v>24</v>
      </c>
      <c r="I2051" s="7" t="s">
        <v>25</v>
      </c>
      <c r="J2051" s="13" t="str">
        <f>HYPERLINK("https://www.airitibooks.com/Detail/Detail?PublicationID=P20190614072", "https://www.airitibooks.com/Detail/Detail?PublicationID=P20190614072")</f>
        <v>https://www.airitibooks.com/Detail/Detail?PublicationID=P20190614072</v>
      </c>
      <c r="K2051" s="13" t="str">
        <f>HYPERLINK("https://ntsu.idm.oclc.org/login?url=https://www.airitibooks.com/Detail/Detail?PublicationID=P20190614072", "https://ntsu.idm.oclc.org/login?url=https://www.airitibooks.com/Detail/Detail?PublicationID=P20190614072")</f>
        <v>https://ntsu.idm.oclc.org/login?url=https://www.airitibooks.com/Detail/Detail?PublicationID=P20190614072</v>
      </c>
    </row>
    <row r="2052" spans="1:11" ht="51" x14ac:dyDescent="0.4">
      <c r="A2052" s="10" t="s">
        <v>11678</v>
      </c>
      <c r="B2052" s="10" t="s">
        <v>11679</v>
      </c>
      <c r="C2052" s="10" t="s">
        <v>5050</v>
      </c>
      <c r="D2052" s="10" t="s">
        <v>11680</v>
      </c>
      <c r="E2052" s="10" t="s">
        <v>6182</v>
      </c>
      <c r="F2052" s="10" t="s">
        <v>9511</v>
      </c>
      <c r="G2052" s="10" t="s">
        <v>237</v>
      </c>
      <c r="H2052" s="7" t="s">
        <v>24</v>
      </c>
      <c r="I2052" s="7" t="s">
        <v>25</v>
      </c>
      <c r="J2052" s="13" t="str">
        <f>HYPERLINK("https://www.airitibooks.com/Detail/Detail?PublicationID=P20190614074", "https://www.airitibooks.com/Detail/Detail?PublicationID=P20190614074")</f>
        <v>https://www.airitibooks.com/Detail/Detail?PublicationID=P20190614074</v>
      </c>
      <c r="K2052" s="13" t="str">
        <f>HYPERLINK("https://ntsu.idm.oclc.org/login?url=https://www.airitibooks.com/Detail/Detail?PublicationID=P20190614074", "https://ntsu.idm.oclc.org/login?url=https://www.airitibooks.com/Detail/Detail?PublicationID=P20190614074")</f>
        <v>https://ntsu.idm.oclc.org/login?url=https://www.airitibooks.com/Detail/Detail?PublicationID=P20190614074</v>
      </c>
    </row>
    <row r="2053" spans="1:11" ht="51" x14ac:dyDescent="0.4">
      <c r="A2053" s="10" t="s">
        <v>12856</v>
      </c>
      <c r="B2053" s="10" t="s">
        <v>12857</v>
      </c>
      <c r="C2053" s="10" t="s">
        <v>9828</v>
      </c>
      <c r="D2053" s="10" t="s">
        <v>12858</v>
      </c>
      <c r="E2053" s="10" t="s">
        <v>6182</v>
      </c>
      <c r="F2053" s="10" t="s">
        <v>5183</v>
      </c>
      <c r="G2053" s="10" t="s">
        <v>237</v>
      </c>
      <c r="H2053" s="7" t="s">
        <v>1031</v>
      </c>
      <c r="I2053" s="7" t="s">
        <v>25</v>
      </c>
      <c r="J2053" s="13" t="str">
        <f>HYPERLINK("https://www.airitibooks.com/Detail/Detail?PublicationID=P20191104039", "https://www.airitibooks.com/Detail/Detail?PublicationID=P20191104039")</f>
        <v>https://www.airitibooks.com/Detail/Detail?PublicationID=P20191104039</v>
      </c>
      <c r="K2053" s="13" t="str">
        <f>HYPERLINK("https://ntsu.idm.oclc.org/login?url=https://www.airitibooks.com/Detail/Detail?PublicationID=P20191104039", "https://ntsu.idm.oclc.org/login?url=https://www.airitibooks.com/Detail/Detail?PublicationID=P20191104039")</f>
        <v>https://ntsu.idm.oclc.org/login?url=https://www.airitibooks.com/Detail/Detail?PublicationID=P20191104039</v>
      </c>
    </row>
    <row r="2054" spans="1:11" ht="51" x14ac:dyDescent="0.4">
      <c r="A2054" s="10" t="s">
        <v>6530</v>
      </c>
      <c r="B2054" s="10" t="s">
        <v>6531</v>
      </c>
      <c r="C2054" s="10" t="s">
        <v>2367</v>
      </c>
      <c r="D2054" s="10" t="s">
        <v>6532</v>
      </c>
      <c r="E2054" s="10" t="s">
        <v>6182</v>
      </c>
      <c r="F2054" s="10" t="s">
        <v>6533</v>
      </c>
      <c r="G2054" s="10" t="s">
        <v>209</v>
      </c>
      <c r="H2054" s="7" t="s">
        <v>24</v>
      </c>
      <c r="I2054" s="7" t="s">
        <v>25</v>
      </c>
      <c r="J2054" s="13" t="str">
        <f>HYPERLINK("https://www.airitibooks.com/Detail/Detail?PublicationID=P20170502069", "https://www.airitibooks.com/Detail/Detail?PublicationID=P20170502069")</f>
        <v>https://www.airitibooks.com/Detail/Detail?PublicationID=P20170502069</v>
      </c>
      <c r="K2054" s="13" t="str">
        <f>HYPERLINK("https://ntsu.idm.oclc.org/login?url=https://www.airitibooks.com/Detail/Detail?PublicationID=P20170502069", "https://ntsu.idm.oclc.org/login?url=https://www.airitibooks.com/Detail/Detail?PublicationID=P20170502069")</f>
        <v>https://ntsu.idm.oclc.org/login?url=https://www.airitibooks.com/Detail/Detail?PublicationID=P20170502069</v>
      </c>
    </row>
    <row r="2055" spans="1:11" ht="51" x14ac:dyDescent="0.4">
      <c r="A2055" s="10" t="s">
        <v>7046</v>
      </c>
      <c r="B2055" s="10" t="s">
        <v>7047</v>
      </c>
      <c r="C2055" s="10" t="s">
        <v>2367</v>
      </c>
      <c r="D2055" s="10" t="s">
        <v>4870</v>
      </c>
      <c r="E2055" s="10" t="s">
        <v>6182</v>
      </c>
      <c r="F2055" s="10" t="s">
        <v>7048</v>
      </c>
      <c r="G2055" s="10" t="s">
        <v>209</v>
      </c>
      <c r="H2055" s="7" t="s">
        <v>24</v>
      </c>
      <c r="I2055" s="7" t="s">
        <v>25</v>
      </c>
      <c r="J2055" s="13" t="str">
        <f>HYPERLINK("https://www.airitibooks.com/Detail/Detail?PublicationID=P20170907170", "https://www.airitibooks.com/Detail/Detail?PublicationID=P20170907170")</f>
        <v>https://www.airitibooks.com/Detail/Detail?PublicationID=P20170907170</v>
      </c>
      <c r="K2055" s="13" t="str">
        <f>HYPERLINK("https://ntsu.idm.oclc.org/login?url=https://www.airitibooks.com/Detail/Detail?PublicationID=P20170907170", "https://ntsu.idm.oclc.org/login?url=https://www.airitibooks.com/Detail/Detail?PublicationID=P20170907170")</f>
        <v>https://ntsu.idm.oclc.org/login?url=https://www.airitibooks.com/Detail/Detail?PublicationID=P20170907170</v>
      </c>
    </row>
    <row r="2056" spans="1:11" ht="102" x14ac:dyDescent="0.4">
      <c r="A2056" s="10" t="s">
        <v>7130</v>
      </c>
      <c r="B2056" s="10" t="s">
        <v>7131</v>
      </c>
      <c r="C2056" s="10" t="s">
        <v>1484</v>
      </c>
      <c r="D2056" s="10" t="s">
        <v>7132</v>
      </c>
      <c r="E2056" s="10" t="s">
        <v>6182</v>
      </c>
      <c r="F2056" s="10" t="s">
        <v>517</v>
      </c>
      <c r="G2056" s="10" t="s">
        <v>209</v>
      </c>
      <c r="H2056" s="7" t="s">
        <v>24</v>
      </c>
      <c r="I2056" s="7" t="s">
        <v>25</v>
      </c>
      <c r="J2056" s="13" t="str">
        <f>HYPERLINK("https://www.airitibooks.com/Detail/Detail?PublicationID=P20170929102", "https://www.airitibooks.com/Detail/Detail?PublicationID=P20170929102")</f>
        <v>https://www.airitibooks.com/Detail/Detail?PublicationID=P20170929102</v>
      </c>
      <c r="K2056" s="13" t="str">
        <f>HYPERLINK("https://ntsu.idm.oclc.org/login?url=https://www.airitibooks.com/Detail/Detail?PublicationID=P20170929102", "https://ntsu.idm.oclc.org/login?url=https://www.airitibooks.com/Detail/Detail?PublicationID=P20170929102")</f>
        <v>https://ntsu.idm.oclc.org/login?url=https://www.airitibooks.com/Detail/Detail?PublicationID=P20170929102</v>
      </c>
    </row>
    <row r="2057" spans="1:11" ht="51" x14ac:dyDescent="0.4">
      <c r="A2057" s="10" t="s">
        <v>7760</v>
      </c>
      <c r="B2057" s="10" t="s">
        <v>7761</v>
      </c>
      <c r="C2057" s="10" t="s">
        <v>6289</v>
      </c>
      <c r="D2057" s="10" t="s">
        <v>6294</v>
      </c>
      <c r="E2057" s="10" t="s">
        <v>6182</v>
      </c>
      <c r="F2057" s="10" t="s">
        <v>6295</v>
      </c>
      <c r="G2057" s="10" t="s">
        <v>209</v>
      </c>
      <c r="H2057" s="7" t="s">
        <v>24</v>
      </c>
      <c r="I2057" s="7" t="s">
        <v>25</v>
      </c>
      <c r="J2057" s="13" t="str">
        <f>HYPERLINK("https://www.airitibooks.com/Detail/Detail?PublicationID=P20171118382", "https://www.airitibooks.com/Detail/Detail?PublicationID=P20171118382")</f>
        <v>https://www.airitibooks.com/Detail/Detail?PublicationID=P20171118382</v>
      </c>
      <c r="K2057" s="13" t="str">
        <f>HYPERLINK("https://ntsu.idm.oclc.org/login?url=https://www.airitibooks.com/Detail/Detail?PublicationID=P20171118382", "https://ntsu.idm.oclc.org/login?url=https://www.airitibooks.com/Detail/Detail?PublicationID=P20171118382")</f>
        <v>https://ntsu.idm.oclc.org/login?url=https://www.airitibooks.com/Detail/Detail?PublicationID=P20171118382</v>
      </c>
    </row>
    <row r="2058" spans="1:11" ht="51" x14ac:dyDescent="0.4">
      <c r="A2058" s="10" t="s">
        <v>7777</v>
      </c>
      <c r="B2058" s="10" t="s">
        <v>7778</v>
      </c>
      <c r="C2058" s="10" t="s">
        <v>428</v>
      </c>
      <c r="D2058" s="10" t="s">
        <v>7779</v>
      </c>
      <c r="E2058" s="10" t="s">
        <v>6182</v>
      </c>
      <c r="F2058" s="10" t="s">
        <v>208</v>
      </c>
      <c r="G2058" s="10" t="s">
        <v>209</v>
      </c>
      <c r="H2058" s="7" t="s">
        <v>24</v>
      </c>
      <c r="I2058" s="7" t="s">
        <v>25</v>
      </c>
      <c r="J2058" s="13" t="str">
        <f>HYPERLINK("https://www.airitibooks.com/Detail/Detail?PublicationID=P20171127053", "https://www.airitibooks.com/Detail/Detail?PublicationID=P20171127053")</f>
        <v>https://www.airitibooks.com/Detail/Detail?PublicationID=P20171127053</v>
      </c>
      <c r="K2058" s="13" t="str">
        <f>HYPERLINK("https://ntsu.idm.oclc.org/login?url=https://www.airitibooks.com/Detail/Detail?PublicationID=P20171127053", "https://ntsu.idm.oclc.org/login?url=https://www.airitibooks.com/Detail/Detail?PublicationID=P20171127053")</f>
        <v>https://ntsu.idm.oclc.org/login?url=https://www.airitibooks.com/Detail/Detail?PublicationID=P20171127053</v>
      </c>
    </row>
    <row r="2059" spans="1:11" ht="85" x14ac:dyDescent="0.4">
      <c r="A2059" s="10" t="s">
        <v>8051</v>
      </c>
      <c r="B2059" s="10" t="s">
        <v>8052</v>
      </c>
      <c r="C2059" s="10" t="s">
        <v>108</v>
      </c>
      <c r="D2059" s="10" t="s">
        <v>8053</v>
      </c>
      <c r="E2059" s="10" t="s">
        <v>6182</v>
      </c>
      <c r="F2059" s="10" t="s">
        <v>8054</v>
      </c>
      <c r="G2059" s="10" t="s">
        <v>209</v>
      </c>
      <c r="H2059" s="7" t="s">
        <v>24</v>
      </c>
      <c r="I2059" s="7" t="s">
        <v>25</v>
      </c>
      <c r="J2059" s="13" t="str">
        <f>HYPERLINK("https://www.airitibooks.com/Detail/Detail?PublicationID=P20171130146", "https://www.airitibooks.com/Detail/Detail?PublicationID=P20171130146")</f>
        <v>https://www.airitibooks.com/Detail/Detail?PublicationID=P20171130146</v>
      </c>
      <c r="K2059" s="13" t="str">
        <f>HYPERLINK("https://ntsu.idm.oclc.org/login?url=https://www.airitibooks.com/Detail/Detail?PublicationID=P20171130146", "https://ntsu.idm.oclc.org/login?url=https://www.airitibooks.com/Detail/Detail?PublicationID=P20171130146")</f>
        <v>https://ntsu.idm.oclc.org/login?url=https://www.airitibooks.com/Detail/Detail?PublicationID=P20171130146</v>
      </c>
    </row>
    <row r="2060" spans="1:11" ht="51" x14ac:dyDescent="0.4">
      <c r="A2060" s="10" t="s">
        <v>8133</v>
      </c>
      <c r="B2060" s="10" t="s">
        <v>8134</v>
      </c>
      <c r="C2060" s="10" t="s">
        <v>3863</v>
      </c>
      <c r="D2060" s="10" t="s">
        <v>8135</v>
      </c>
      <c r="E2060" s="10" t="s">
        <v>6182</v>
      </c>
      <c r="F2060" s="10" t="s">
        <v>208</v>
      </c>
      <c r="G2060" s="10" t="s">
        <v>209</v>
      </c>
      <c r="H2060" s="7" t="s">
        <v>24</v>
      </c>
      <c r="I2060" s="7" t="s">
        <v>25</v>
      </c>
      <c r="J2060" s="13" t="str">
        <f>HYPERLINK("https://www.airitibooks.com/Detail/Detail?PublicationID=P20171225011", "https://www.airitibooks.com/Detail/Detail?PublicationID=P20171225011")</f>
        <v>https://www.airitibooks.com/Detail/Detail?PublicationID=P20171225011</v>
      </c>
      <c r="K2060" s="13" t="str">
        <f>HYPERLINK("https://ntsu.idm.oclc.org/login?url=https://www.airitibooks.com/Detail/Detail?PublicationID=P20171225011", "https://ntsu.idm.oclc.org/login?url=https://www.airitibooks.com/Detail/Detail?PublicationID=P20171225011")</f>
        <v>https://ntsu.idm.oclc.org/login?url=https://www.airitibooks.com/Detail/Detail?PublicationID=P20171225011</v>
      </c>
    </row>
    <row r="2061" spans="1:11" ht="51" x14ac:dyDescent="0.4">
      <c r="A2061" s="10" t="s">
        <v>8722</v>
      </c>
      <c r="B2061" s="10" t="s">
        <v>8723</v>
      </c>
      <c r="C2061" s="10" t="s">
        <v>1484</v>
      </c>
      <c r="D2061" s="10" t="s">
        <v>8724</v>
      </c>
      <c r="E2061" s="10" t="s">
        <v>6182</v>
      </c>
      <c r="F2061" s="10" t="s">
        <v>8725</v>
      </c>
      <c r="G2061" s="10" t="s">
        <v>209</v>
      </c>
      <c r="H2061" s="7" t="s">
        <v>24</v>
      </c>
      <c r="I2061" s="7" t="s">
        <v>25</v>
      </c>
      <c r="J2061" s="13" t="str">
        <f>HYPERLINK("https://www.airitibooks.com/Detail/Detail?PublicationID=P20180309071", "https://www.airitibooks.com/Detail/Detail?PublicationID=P20180309071")</f>
        <v>https://www.airitibooks.com/Detail/Detail?PublicationID=P20180309071</v>
      </c>
      <c r="K2061" s="13" t="str">
        <f>HYPERLINK("https://ntsu.idm.oclc.org/login?url=https://www.airitibooks.com/Detail/Detail?PublicationID=P20180309071", "https://ntsu.idm.oclc.org/login?url=https://www.airitibooks.com/Detail/Detail?PublicationID=P20180309071")</f>
        <v>https://ntsu.idm.oclc.org/login?url=https://www.airitibooks.com/Detail/Detail?PublicationID=P20180309071</v>
      </c>
    </row>
    <row r="2062" spans="1:11" ht="51" x14ac:dyDescent="0.4">
      <c r="A2062" s="10" t="s">
        <v>8766</v>
      </c>
      <c r="B2062" s="10" t="s">
        <v>8767</v>
      </c>
      <c r="C2062" s="10" t="s">
        <v>240</v>
      </c>
      <c r="D2062" s="10" t="s">
        <v>8768</v>
      </c>
      <c r="E2062" s="10" t="s">
        <v>6182</v>
      </c>
      <c r="F2062" s="10" t="s">
        <v>8769</v>
      </c>
      <c r="G2062" s="10" t="s">
        <v>209</v>
      </c>
      <c r="H2062" s="7" t="s">
        <v>24</v>
      </c>
      <c r="I2062" s="7" t="s">
        <v>25</v>
      </c>
      <c r="J2062" s="13" t="str">
        <f>HYPERLINK("https://www.airitibooks.com/Detail/Detail?PublicationID=P20180323028", "https://www.airitibooks.com/Detail/Detail?PublicationID=P20180323028")</f>
        <v>https://www.airitibooks.com/Detail/Detail?PublicationID=P20180323028</v>
      </c>
      <c r="K2062" s="13" t="str">
        <f>HYPERLINK("https://ntsu.idm.oclc.org/login?url=https://www.airitibooks.com/Detail/Detail?PublicationID=P20180323028", "https://ntsu.idm.oclc.org/login?url=https://www.airitibooks.com/Detail/Detail?PublicationID=P20180323028")</f>
        <v>https://ntsu.idm.oclc.org/login?url=https://www.airitibooks.com/Detail/Detail?PublicationID=P20180323028</v>
      </c>
    </row>
    <row r="2063" spans="1:11" ht="51" x14ac:dyDescent="0.4">
      <c r="A2063" s="10" t="s">
        <v>12681</v>
      </c>
      <c r="B2063" s="10" t="s">
        <v>12682</v>
      </c>
      <c r="C2063" s="10" t="s">
        <v>4873</v>
      </c>
      <c r="D2063" s="10" t="s">
        <v>1329</v>
      </c>
      <c r="E2063" s="10" t="s">
        <v>6182</v>
      </c>
      <c r="F2063" s="10" t="s">
        <v>12683</v>
      </c>
      <c r="G2063" s="10" t="s">
        <v>209</v>
      </c>
      <c r="H2063" s="7" t="s">
        <v>24</v>
      </c>
      <c r="I2063" s="7" t="s">
        <v>25</v>
      </c>
      <c r="J2063" s="13" t="str">
        <f>HYPERLINK("https://www.airitibooks.com/Detail/Detail?PublicationID=P20191023034", "https://www.airitibooks.com/Detail/Detail?PublicationID=P20191023034")</f>
        <v>https://www.airitibooks.com/Detail/Detail?PublicationID=P20191023034</v>
      </c>
      <c r="K2063" s="13" t="str">
        <f>HYPERLINK("https://ntsu.idm.oclc.org/login?url=https://www.airitibooks.com/Detail/Detail?PublicationID=P20191023034", "https://ntsu.idm.oclc.org/login?url=https://www.airitibooks.com/Detail/Detail?PublicationID=P20191023034")</f>
        <v>https://ntsu.idm.oclc.org/login?url=https://www.airitibooks.com/Detail/Detail?PublicationID=P20191023034</v>
      </c>
    </row>
    <row r="2064" spans="1:11" ht="51" x14ac:dyDescent="0.4">
      <c r="A2064" s="10" t="s">
        <v>13311</v>
      </c>
      <c r="B2064" s="10" t="s">
        <v>13312</v>
      </c>
      <c r="C2064" s="10" t="s">
        <v>10220</v>
      </c>
      <c r="D2064" s="10" t="s">
        <v>13313</v>
      </c>
      <c r="E2064" s="10" t="s">
        <v>6182</v>
      </c>
      <c r="F2064" s="10" t="s">
        <v>13314</v>
      </c>
      <c r="G2064" s="10" t="s">
        <v>209</v>
      </c>
      <c r="H2064" s="7" t="s">
        <v>24</v>
      </c>
      <c r="I2064" s="7" t="s">
        <v>25</v>
      </c>
      <c r="J2064" s="13" t="str">
        <f>HYPERLINK("https://www.airitibooks.com/Detail/Detail?PublicationID=P20200110172", "https://www.airitibooks.com/Detail/Detail?PublicationID=P20200110172")</f>
        <v>https://www.airitibooks.com/Detail/Detail?PublicationID=P20200110172</v>
      </c>
      <c r="K2064" s="13" t="str">
        <f>HYPERLINK("https://ntsu.idm.oclc.org/login?url=https://www.airitibooks.com/Detail/Detail?PublicationID=P20200110172", "https://ntsu.idm.oclc.org/login?url=https://www.airitibooks.com/Detail/Detail?PublicationID=P20200110172")</f>
        <v>https://ntsu.idm.oclc.org/login?url=https://www.airitibooks.com/Detail/Detail?PublicationID=P20200110172</v>
      </c>
    </row>
    <row r="2065" spans="1:11" ht="51" x14ac:dyDescent="0.4">
      <c r="A2065" s="10" t="s">
        <v>6179</v>
      </c>
      <c r="B2065" s="10" t="s">
        <v>6180</v>
      </c>
      <c r="C2065" s="10" t="s">
        <v>1109</v>
      </c>
      <c r="D2065" s="10" t="s">
        <v>6181</v>
      </c>
      <c r="E2065" s="10" t="s">
        <v>6182</v>
      </c>
      <c r="F2065" s="10" t="s">
        <v>1458</v>
      </c>
      <c r="G2065" s="10" t="s">
        <v>76</v>
      </c>
      <c r="H2065" s="7" t="s">
        <v>24</v>
      </c>
      <c r="I2065" s="7" t="s">
        <v>25</v>
      </c>
      <c r="J2065" s="13" t="str">
        <f>HYPERLINK("https://www.airitibooks.com/Detail/Detail?PublicationID=P20170203329", "https://www.airitibooks.com/Detail/Detail?PublicationID=P20170203329")</f>
        <v>https://www.airitibooks.com/Detail/Detail?PublicationID=P20170203329</v>
      </c>
      <c r="K2065" s="13" t="str">
        <f>HYPERLINK("https://ntsu.idm.oclc.org/login?url=https://www.airitibooks.com/Detail/Detail?PublicationID=P20170203329", "https://ntsu.idm.oclc.org/login?url=https://www.airitibooks.com/Detail/Detail?PublicationID=P20170203329")</f>
        <v>https://ntsu.idm.oclc.org/login?url=https://www.airitibooks.com/Detail/Detail?PublicationID=P20170203329</v>
      </c>
    </row>
    <row r="2066" spans="1:11" ht="85" x14ac:dyDescent="0.4">
      <c r="A2066" s="10" t="s">
        <v>6222</v>
      </c>
      <c r="B2066" s="10" t="s">
        <v>6223</v>
      </c>
      <c r="C2066" s="10" t="s">
        <v>4616</v>
      </c>
      <c r="D2066" s="10" t="s">
        <v>6224</v>
      </c>
      <c r="E2066" s="10" t="s">
        <v>6182</v>
      </c>
      <c r="F2066" s="10" t="s">
        <v>6226</v>
      </c>
      <c r="G2066" s="10" t="s">
        <v>76</v>
      </c>
      <c r="H2066" s="7" t="s">
        <v>24</v>
      </c>
      <c r="I2066" s="7" t="s">
        <v>25</v>
      </c>
      <c r="J2066" s="13" t="str">
        <f>HYPERLINK("https://www.airitibooks.com/Detail/Detail?PublicationID=P20170221002", "https://www.airitibooks.com/Detail/Detail?PublicationID=P20170221002")</f>
        <v>https://www.airitibooks.com/Detail/Detail?PublicationID=P20170221002</v>
      </c>
      <c r="K2066" s="13" t="str">
        <f>HYPERLINK("https://ntsu.idm.oclc.org/login?url=https://www.airitibooks.com/Detail/Detail?PublicationID=P20170221002", "https://ntsu.idm.oclc.org/login?url=https://www.airitibooks.com/Detail/Detail?PublicationID=P20170221002")</f>
        <v>https://ntsu.idm.oclc.org/login?url=https://www.airitibooks.com/Detail/Detail?PublicationID=P20170221002</v>
      </c>
    </row>
    <row r="2067" spans="1:11" ht="51" x14ac:dyDescent="0.4">
      <c r="A2067" s="10" t="s">
        <v>6356</v>
      </c>
      <c r="B2067" s="10" t="s">
        <v>6357</v>
      </c>
      <c r="C2067" s="10" t="s">
        <v>428</v>
      </c>
      <c r="D2067" s="10" t="s">
        <v>6358</v>
      </c>
      <c r="E2067" s="10" t="s">
        <v>6182</v>
      </c>
      <c r="F2067" s="10" t="s">
        <v>6359</v>
      </c>
      <c r="G2067" s="10" t="s">
        <v>76</v>
      </c>
      <c r="H2067" s="7" t="s">
        <v>24</v>
      </c>
      <c r="I2067" s="7" t="s">
        <v>25</v>
      </c>
      <c r="J2067" s="13" t="str">
        <f>HYPERLINK("https://www.airitibooks.com/Detail/Detail?PublicationID=P20170328075", "https://www.airitibooks.com/Detail/Detail?PublicationID=P20170328075")</f>
        <v>https://www.airitibooks.com/Detail/Detail?PublicationID=P20170328075</v>
      </c>
      <c r="K2067" s="13" t="str">
        <f>HYPERLINK("https://ntsu.idm.oclc.org/login?url=https://www.airitibooks.com/Detail/Detail?PublicationID=P20170328075", "https://ntsu.idm.oclc.org/login?url=https://www.airitibooks.com/Detail/Detail?PublicationID=P20170328075")</f>
        <v>https://ntsu.idm.oclc.org/login?url=https://www.airitibooks.com/Detail/Detail?PublicationID=P20170328075</v>
      </c>
    </row>
    <row r="2068" spans="1:11" ht="51" x14ac:dyDescent="0.4">
      <c r="A2068" s="10" t="s">
        <v>6363</v>
      </c>
      <c r="B2068" s="10" t="s">
        <v>6364</v>
      </c>
      <c r="C2068" s="10" t="s">
        <v>428</v>
      </c>
      <c r="D2068" s="10" t="s">
        <v>6358</v>
      </c>
      <c r="E2068" s="10" t="s">
        <v>6182</v>
      </c>
      <c r="F2068" s="10" t="s">
        <v>6359</v>
      </c>
      <c r="G2068" s="10" t="s">
        <v>76</v>
      </c>
      <c r="H2068" s="7" t="s">
        <v>24</v>
      </c>
      <c r="I2068" s="7" t="s">
        <v>25</v>
      </c>
      <c r="J2068" s="13" t="str">
        <f>HYPERLINK("https://www.airitibooks.com/Detail/Detail?PublicationID=P20170328077", "https://www.airitibooks.com/Detail/Detail?PublicationID=P20170328077")</f>
        <v>https://www.airitibooks.com/Detail/Detail?PublicationID=P20170328077</v>
      </c>
      <c r="K2068" s="13" t="str">
        <f>HYPERLINK("https://ntsu.idm.oclc.org/login?url=https://www.airitibooks.com/Detail/Detail?PublicationID=P20170328077", "https://ntsu.idm.oclc.org/login?url=https://www.airitibooks.com/Detail/Detail?PublicationID=P20170328077")</f>
        <v>https://ntsu.idm.oclc.org/login?url=https://www.airitibooks.com/Detail/Detail?PublicationID=P20170328077</v>
      </c>
    </row>
    <row r="2069" spans="1:11" ht="51" x14ac:dyDescent="0.4">
      <c r="A2069" s="10" t="s">
        <v>6388</v>
      </c>
      <c r="B2069" s="10" t="s">
        <v>6389</v>
      </c>
      <c r="C2069" s="10" t="s">
        <v>212</v>
      </c>
      <c r="D2069" s="10" t="s">
        <v>5157</v>
      </c>
      <c r="E2069" s="10" t="s">
        <v>6182</v>
      </c>
      <c r="F2069" s="10" t="s">
        <v>6390</v>
      </c>
      <c r="G2069" s="10" t="s">
        <v>76</v>
      </c>
      <c r="H2069" s="7" t="s">
        <v>24</v>
      </c>
      <c r="I2069" s="7" t="s">
        <v>25</v>
      </c>
      <c r="J2069" s="13" t="str">
        <f>HYPERLINK("https://www.airitibooks.com/Detail/Detail?PublicationID=P20170328090", "https://www.airitibooks.com/Detail/Detail?PublicationID=P20170328090")</f>
        <v>https://www.airitibooks.com/Detail/Detail?PublicationID=P20170328090</v>
      </c>
      <c r="K2069" s="13" t="str">
        <f>HYPERLINK("https://ntsu.idm.oclc.org/login?url=https://www.airitibooks.com/Detail/Detail?PublicationID=P20170328090", "https://ntsu.idm.oclc.org/login?url=https://www.airitibooks.com/Detail/Detail?PublicationID=P20170328090")</f>
        <v>https://ntsu.idm.oclc.org/login?url=https://www.airitibooks.com/Detail/Detail?PublicationID=P20170328090</v>
      </c>
    </row>
    <row r="2070" spans="1:11" ht="51" x14ac:dyDescent="0.4">
      <c r="A2070" s="10" t="s">
        <v>6549</v>
      </c>
      <c r="B2070" s="10" t="s">
        <v>6550</v>
      </c>
      <c r="C2070" s="10" t="s">
        <v>1920</v>
      </c>
      <c r="D2070" s="10" t="s">
        <v>1920</v>
      </c>
      <c r="E2070" s="10" t="s">
        <v>6182</v>
      </c>
      <c r="F2070" s="10" t="s">
        <v>1078</v>
      </c>
      <c r="G2070" s="10" t="s">
        <v>76</v>
      </c>
      <c r="H2070" s="7" t="s">
        <v>24</v>
      </c>
      <c r="I2070" s="7" t="s">
        <v>25</v>
      </c>
      <c r="J2070" s="13" t="str">
        <f>HYPERLINK("https://www.airitibooks.com/Detail/Detail?PublicationID=P20170503005", "https://www.airitibooks.com/Detail/Detail?PublicationID=P20170503005")</f>
        <v>https://www.airitibooks.com/Detail/Detail?PublicationID=P20170503005</v>
      </c>
      <c r="K2070" s="13" t="str">
        <f>HYPERLINK("https://ntsu.idm.oclc.org/login?url=https://www.airitibooks.com/Detail/Detail?PublicationID=P20170503005", "https://ntsu.idm.oclc.org/login?url=https://www.airitibooks.com/Detail/Detail?PublicationID=P20170503005")</f>
        <v>https://ntsu.idm.oclc.org/login?url=https://www.airitibooks.com/Detail/Detail?PublicationID=P20170503005</v>
      </c>
    </row>
    <row r="2071" spans="1:11" ht="51" x14ac:dyDescent="0.4">
      <c r="A2071" s="10" t="s">
        <v>6568</v>
      </c>
      <c r="B2071" s="10" t="s">
        <v>6569</v>
      </c>
      <c r="C2071" s="10" t="s">
        <v>938</v>
      </c>
      <c r="D2071" s="10" t="s">
        <v>5357</v>
      </c>
      <c r="E2071" s="10" t="s">
        <v>6182</v>
      </c>
      <c r="F2071" s="10" t="s">
        <v>6570</v>
      </c>
      <c r="G2071" s="10" t="s">
        <v>76</v>
      </c>
      <c r="H2071" s="7" t="s">
        <v>24</v>
      </c>
      <c r="I2071" s="7" t="s">
        <v>25</v>
      </c>
      <c r="J2071" s="13" t="str">
        <f>HYPERLINK("https://www.airitibooks.com/Detail/Detail?PublicationID=P20170517009", "https://www.airitibooks.com/Detail/Detail?PublicationID=P20170517009")</f>
        <v>https://www.airitibooks.com/Detail/Detail?PublicationID=P20170517009</v>
      </c>
      <c r="K2071" s="13" t="str">
        <f>HYPERLINK("https://ntsu.idm.oclc.org/login?url=https://www.airitibooks.com/Detail/Detail?PublicationID=P20170517009", "https://ntsu.idm.oclc.org/login?url=https://www.airitibooks.com/Detail/Detail?PublicationID=P20170517009")</f>
        <v>https://ntsu.idm.oclc.org/login?url=https://www.airitibooks.com/Detail/Detail?PublicationID=P20170517009</v>
      </c>
    </row>
    <row r="2072" spans="1:11" ht="51" x14ac:dyDescent="0.4">
      <c r="A2072" s="10" t="s">
        <v>6576</v>
      </c>
      <c r="B2072" s="10" t="s">
        <v>6577</v>
      </c>
      <c r="C2072" s="10" t="s">
        <v>938</v>
      </c>
      <c r="D2072" s="10" t="s">
        <v>5266</v>
      </c>
      <c r="E2072" s="10" t="s">
        <v>6182</v>
      </c>
      <c r="F2072" s="10" t="s">
        <v>5255</v>
      </c>
      <c r="G2072" s="10" t="s">
        <v>76</v>
      </c>
      <c r="H2072" s="7" t="s">
        <v>24</v>
      </c>
      <c r="I2072" s="7" t="s">
        <v>25</v>
      </c>
      <c r="J2072" s="13" t="str">
        <f>HYPERLINK("https://www.airitibooks.com/Detail/Detail?PublicationID=P20170517020", "https://www.airitibooks.com/Detail/Detail?PublicationID=P20170517020")</f>
        <v>https://www.airitibooks.com/Detail/Detail?PublicationID=P20170517020</v>
      </c>
      <c r="K2072" s="13" t="str">
        <f>HYPERLINK("https://ntsu.idm.oclc.org/login?url=https://www.airitibooks.com/Detail/Detail?PublicationID=P20170517020", "https://ntsu.idm.oclc.org/login?url=https://www.airitibooks.com/Detail/Detail?PublicationID=P20170517020")</f>
        <v>https://ntsu.idm.oclc.org/login?url=https://www.airitibooks.com/Detail/Detail?PublicationID=P20170517020</v>
      </c>
    </row>
    <row r="2073" spans="1:11" ht="51" x14ac:dyDescent="0.4">
      <c r="A2073" s="10" t="s">
        <v>6578</v>
      </c>
      <c r="B2073" s="10" t="s">
        <v>6579</v>
      </c>
      <c r="C2073" s="10" t="s">
        <v>938</v>
      </c>
      <c r="D2073" s="10" t="s">
        <v>5263</v>
      </c>
      <c r="E2073" s="10" t="s">
        <v>6182</v>
      </c>
      <c r="F2073" s="10" t="s">
        <v>5255</v>
      </c>
      <c r="G2073" s="10" t="s">
        <v>76</v>
      </c>
      <c r="H2073" s="7" t="s">
        <v>24</v>
      </c>
      <c r="I2073" s="7" t="s">
        <v>25</v>
      </c>
      <c r="J2073" s="13" t="str">
        <f>HYPERLINK("https://www.airitibooks.com/Detail/Detail?PublicationID=P20170517021", "https://www.airitibooks.com/Detail/Detail?PublicationID=P20170517021")</f>
        <v>https://www.airitibooks.com/Detail/Detail?PublicationID=P20170517021</v>
      </c>
      <c r="K2073" s="13" t="str">
        <f>HYPERLINK("https://ntsu.idm.oclc.org/login?url=https://www.airitibooks.com/Detail/Detail?PublicationID=P20170517021", "https://ntsu.idm.oclc.org/login?url=https://www.airitibooks.com/Detail/Detail?PublicationID=P20170517021")</f>
        <v>https://ntsu.idm.oclc.org/login?url=https://www.airitibooks.com/Detail/Detail?PublicationID=P20170517021</v>
      </c>
    </row>
    <row r="2074" spans="1:11" ht="51" x14ac:dyDescent="0.4">
      <c r="A2074" s="10" t="s">
        <v>6583</v>
      </c>
      <c r="B2074" s="10" t="s">
        <v>6584</v>
      </c>
      <c r="C2074" s="10" t="s">
        <v>938</v>
      </c>
      <c r="D2074" s="10" t="s">
        <v>6043</v>
      </c>
      <c r="E2074" s="10" t="s">
        <v>6182</v>
      </c>
      <c r="F2074" s="10" t="s">
        <v>6585</v>
      </c>
      <c r="G2074" s="10" t="s">
        <v>76</v>
      </c>
      <c r="H2074" s="7" t="s">
        <v>24</v>
      </c>
      <c r="I2074" s="7" t="s">
        <v>25</v>
      </c>
      <c r="J2074" s="13" t="str">
        <f>HYPERLINK("https://www.airitibooks.com/Detail/Detail?PublicationID=P20170517023", "https://www.airitibooks.com/Detail/Detail?PublicationID=P20170517023")</f>
        <v>https://www.airitibooks.com/Detail/Detail?PublicationID=P20170517023</v>
      </c>
      <c r="K2074" s="13" t="str">
        <f>HYPERLINK("https://ntsu.idm.oclc.org/login?url=https://www.airitibooks.com/Detail/Detail?PublicationID=P20170517023", "https://ntsu.idm.oclc.org/login?url=https://www.airitibooks.com/Detail/Detail?PublicationID=P20170517023")</f>
        <v>https://ntsu.idm.oclc.org/login?url=https://www.airitibooks.com/Detail/Detail?PublicationID=P20170517023</v>
      </c>
    </row>
    <row r="2075" spans="1:11" ht="51" x14ac:dyDescent="0.4">
      <c r="A2075" s="10" t="s">
        <v>6596</v>
      </c>
      <c r="B2075" s="10" t="s">
        <v>6597</v>
      </c>
      <c r="C2075" s="10" t="s">
        <v>938</v>
      </c>
      <c r="D2075" s="10" t="s">
        <v>6598</v>
      </c>
      <c r="E2075" s="10" t="s">
        <v>6182</v>
      </c>
      <c r="F2075" s="10" t="s">
        <v>6599</v>
      </c>
      <c r="G2075" s="10" t="s">
        <v>76</v>
      </c>
      <c r="H2075" s="7" t="s">
        <v>24</v>
      </c>
      <c r="I2075" s="7" t="s">
        <v>25</v>
      </c>
      <c r="J2075" s="13" t="str">
        <f>HYPERLINK("https://www.airitibooks.com/Detail/Detail?PublicationID=P20170517033", "https://www.airitibooks.com/Detail/Detail?PublicationID=P20170517033")</f>
        <v>https://www.airitibooks.com/Detail/Detail?PublicationID=P20170517033</v>
      </c>
      <c r="K2075" s="13" t="str">
        <f>HYPERLINK("https://ntsu.idm.oclc.org/login?url=https://www.airitibooks.com/Detail/Detail?PublicationID=P20170517033", "https://ntsu.idm.oclc.org/login?url=https://www.airitibooks.com/Detail/Detail?PublicationID=P20170517033")</f>
        <v>https://ntsu.idm.oclc.org/login?url=https://www.airitibooks.com/Detail/Detail?PublicationID=P20170517033</v>
      </c>
    </row>
    <row r="2076" spans="1:11" ht="51" x14ac:dyDescent="0.4">
      <c r="A2076" s="10" t="s">
        <v>6600</v>
      </c>
      <c r="B2076" s="10" t="s">
        <v>6601</v>
      </c>
      <c r="C2076" s="10" t="s">
        <v>938</v>
      </c>
      <c r="D2076" s="10" t="s">
        <v>4460</v>
      </c>
      <c r="E2076" s="10" t="s">
        <v>6182</v>
      </c>
      <c r="F2076" s="10" t="s">
        <v>105</v>
      </c>
      <c r="G2076" s="10" t="s">
        <v>76</v>
      </c>
      <c r="H2076" s="7" t="s">
        <v>24</v>
      </c>
      <c r="I2076" s="7" t="s">
        <v>25</v>
      </c>
      <c r="J2076" s="13" t="str">
        <f>HYPERLINK("https://www.airitibooks.com/Detail/Detail?PublicationID=P20170517034", "https://www.airitibooks.com/Detail/Detail?PublicationID=P20170517034")</f>
        <v>https://www.airitibooks.com/Detail/Detail?PublicationID=P20170517034</v>
      </c>
      <c r="K2076" s="13" t="str">
        <f>HYPERLINK("https://ntsu.idm.oclc.org/login?url=https://www.airitibooks.com/Detail/Detail?PublicationID=P20170517034", "https://ntsu.idm.oclc.org/login?url=https://www.airitibooks.com/Detail/Detail?PublicationID=P20170517034")</f>
        <v>https://ntsu.idm.oclc.org/login?url=https://www.airitibooks.com/Detail/Detail?PublicationID=P20170517034</v>
      </c>
    </row>
    <row r="2077" spans="1:11" ht="51" x14ac:dyDescent="0.4">
      <c r="A2077" s="10" t="s">
        <v>6639</v>
      </c>
      <c r="B2077" s="10" t="s">
        <v>6640</v>
      </c>
      <c r="C2077" s="10" t="s">
        <v>544</v>
      </c>
      <c r="D2077" s="10" t="s">
        <v>6641</v>
      </c>
      <c r="E2077" s="10" t="s">
        <v>6182</v>
      </c>
      <c r="F2077" s="10" t="s">
        <v>4625</v>
      </c>
      <c r="G2077" s="10" t="s">
        <v>76</v>
      </c>
      <c r="H2077" s="7" t="s">
        <v>24</v>
      </c>
      <c r="I2077" s="7" t="s">
        <v>25</v>
      </c>
      <c r="J2077" s="13" t="str">
        <f>HYPERLINK("https://www.airitibooks.com/Detail/Detail?PublicationID=P20170517142", "https://www.airitibooks.com/Detail/Detail?PublicationID=P20170517142")</f>
        <v>https://www.airitibooks.com/Detail/Detail?PublicationID=P20170517142</v>
      </c>
      <c r="K2077" s="13" t="str">
        <f>HYPERLINK("https://ntsu.idm.oclc.org/login?url=https://www.airitibooks.com/Detail/Detail?PublicationID=P20170517142", "https://ntsu.idm.oclc.org/login?url=https://www.airitibooks.com/Detail/Detail?PublicationID=P20170517142")</f>
        <v>https://ntsu.idm.oclc.org/login?url=https://www.airitibooks.com/Detail/Detail?PublicationID=P20170517142</v>
      </c>
    </row>
    <row r="2078" spans="1:11" ht="51" x14ac:dyDescent="0.4">
      <c r="A2078" s="10" t="s">
        <v>6642</v>
      </c>
      <c r="B2078" s="10" t="s">
        <v>6643</v>
      </c>
      <c r="C2078" s="10" t="s">
        <v>544</v>
      </c>
      <c r="D2078" s="10" t="s">
        <v>6644</v>
      </c>
      <c r="E2078" s="10" t="s">
        <v>6182</v>
      </c>
      <c r="F2078" s="10" t="s">
        <v>6645</v>
      </c>
      <c r="G2078" s="10" t="s">
        <v>76</v>
      </c>
      <c r="H2078" s="7" t="s">
        <v>24</v>
      </c>
      <c r="I2078" s="7" t="s">
        <v>25</v>
      </c>
      <c r="J2078" s="13" t="str">
        <f>HYPERLINK("https://www.airitibooks.com/Detail/Detail?PublicationID=P20170517143", "https://www.airitibooks.com/Detail/Detail?PublicationID=P20170517143")</f>
        <v>https://www.airitibooks.com/Detail/Detail?PublicationID=P20170517143</v>
      </c>
      <c r="K2078" s="13" t="str">
        <f>HYPERLINK("https://ntsu.idm.oclc.org/login?url=https://www.airitibooks.com/Detail/Detail?PublicationID=P20170517143", "https://ntsu.idm.oclc.org/login?url=https://www.airitibooks.com/Detail/Detail?PublicationID=P20170517143")</f>
        <v>https://ntsu.idm.oclc.org/login?url=https://www.airitibooks.com/Detail/Detail?PublicationID=P20170517143</v>
      </c>
    </row>
    <row r="2079" spans="1:11" ht="51" x14ac:dyDescent="0.4">
      <c r="A2079" s="10" t="s">
        <v>6650</v>
      </c>
      <c r="B2079" s="10" t="s">
        <v>6651</v>
      </c>
      <c r="C2079" s="10" t="s">
        <v>544</v>
      </c>
      <c r="D2079" s="10" t="s">
        <v>6644</v>
      </c>
      <c r="E2079" s="10" t="s">
        <v>6182</v>
      </c>
      <c r="F2079" s="10" t="s">
        <v>1884</v>
      </c>
      <c r="G2079" s="10" t="s">
        <v>76</v>
      </c>
      <c r="H2079" s="7" t="s">
        <v>24</v>
      </c>
      <c r="I2079" s="7" t="s">
        <v>25</v>
      </c>
      <c r="J2079" s="13" t="str">
        <f>HYPERLINK("https://www.airitibooks.com/Detail/Detail?PublicationID=P20170517145", "https://www.airitibooks.com/Detail/Detail?PublicationID=P20170517145")</f>
        <v>https://www.airitibooks.com/Detail/Detail?PublicationID=P20170517145</v>
      </c>
      <c r="K2079" s="13" t="str">
        <f>HYPERLINK("https://ntsu.idm.oclc.org/login?url=https://www.airitibooks.com/Detail/Detail?PublicationID=P20170517145", "https://ntsu.idm.oclc.org/login?url=https://www.airitibooks.com/Detail/Detail?PublicationID=P20170517145")</f>
        <v>https://ntsu.idm.oclc.org/login?url=https://www.airitibooks.com/Detail/Detail?PublicationID=P20170517145</v>
      </c>
    </row>
    <row r="2080" spans="1:11" ht="51" x14ac:dyDescent="0.4">
      <c r="A2080" s="10" t="s">
        <v>6836</v>
      </c>
      <c r="B2080" s="10" t="s">
        <v>6837</v>
      </c>
      <c r="C2080" s="10" t="s">
        <v>1504</v>
      </c>
      <c r="D2080" s="10" t="s">
        <v>6838</v>
      </c>
      <c r="E2080" s="10" t="s">
        <v>6182</v>
      </c>
      <c r="F2080" s="10" t="s">
        <v>6839</v>
      </c>
      <c r="G2080" s="10" t="s">
        <v>76</v>
      </c>
      <c r="H2080" s="7" t="s">
        <v>24</v>
      </c>
      <c r="I2080" s="7" t="s">
        <v>25</v>
      </c>
      <c r="J2080" s="13" t="str">
        <f>HYPERLINK("https://www.airitibooks.com/Detail/Detail?PublicationID=P20170706017", "https://www.airitibooks.com/Detail/Detail?PublicationID=P20170706017")</f>
        <v>https://www.airitibooks.com/Detail/Detail?PublicationID=P20170706017</v>
      </c>
      <c r="K2080" s="13" t="str">
        <f>HYPERLINK("https://ntsu.idm.oclc.org/login?url=https://www.airitibooks.com/Detail/Detail?PublicationID=P20170706017", "https://ntsu.idm.oclc.org/login?url=https://www.airitibooks.com/Detail/Detail?PublicationID=P20170706017")</f>
        <v>https://ntsu.idm.oclc.org/login?url=https://www.airitibooks.com/Detail/Detail?PublicationID=P20170706017</v>
      </c>
    </row>
    <row r="2081" spans="1:11" ht="68" x14ac:dyDescent="0.4">
      <c r="A2081" s="10" t="s">
        <v>7032</v>
      </c>
      <c r="B2081" s="10" t="s">
        <v>7033</v>
      </c>
      <c r="C2081" s="10" t="s">
        <v>938</v>
      </c>
      <c r="D2081" s="10" t="s">
        <v>7034</v>
      </c>
      <c r="E2081" s="10" t="s">
        <v>6182</v>
      </c>
      <c r="F2081" s="10" t="s">
        <v>5277</v>
      </c>
      <c r="G2081" s="10" t="s">
        <v>76</v>
      </c>
      <c r="H2081" s="7" t="s">
        <v>24</v>
      </c>
      <c r="I2081" s="7" t="s">
        <v>25</v>
      </c>
      <c r="J2081" s="13" t="str">
        <f>HYPERLINK("https://www.airitibooks.com/Detail/Detail?PublicationID=P20170907126", "https://www.airitibooks.com/Detail/Detail?PublicationID=P20170907126")</f>
        <v>https://www.airitibooks.com/Detail/Detail?PublicationID=P20170907126</v>
      </c>
      <c r="K2081" s="13" t="str">
        <f>HYPERLINK("https://ntsu.idm.oclc.org/login?url=https://www.airitibooks.com/Detail/Detail?PublicationID=P20170907126", "https://ntsu.idm.oclc.org/login?url=https://www.airitibooks.com/Detail/Detail?PublicationID=P20170907126")</f>
        <v>https://ntsu.idm.oclc.org/login?url=https://www.airitibooks.com/Detail/Detail?PublicationID=P20170907126</v>
      </c>
    </row>
    <row r="2082" spans="1:11" ht="51" x14ac:dyDescent="0.4">
      <c r="A2082" s="10" t="s">
        <v>7044</v>
      </c>
      <c r="B2082" s="10" t="s">
        <v>7045</v>
      </c>
      <c r="C2082" s="10" t="s">
        <v>938</v>
      </c>
      <c r="D2082" s="10" t="s">
        <v>971</v>
      </c>
      <c r="E2082" s="10" t="s">
        <v>6182</v>
      </c>
      <c r="F2082" s="10" t="s">
        <v>5887</v>
      </c>
      <c r="G2082" s="10" t="s">
        <v>76</v>
      </c>
      <c r="H2082" s="7" t="s">
        <v>24</v>
      </c>
      <c r="I2082" s="7" t="s">
        <v>25</v>
      </c>
      <c r="J2082" s="13" t="str">
        <f>HYPERLINK("https://www.airitibooks.com/Detail/Detail?PublicationID=P20170907164", "https://www.airitibooks.com/Detail/Detail?PublicationID=P20170907164")</f>
        <v>https://www.airitibooks.com/Detail/Detail?PublicationID=P20170907164</v>
      </c>
      <c r="K2082" s="13" t="str">
        <f>HYPERLINK("https://ntsu.idm.oclc.org/login?url=https://www.airitibooks.com/Detail/Detail?PublicationID=P20170907164", "https://ntsu.idm.oclc.org/login?url=https://www.airitibooks.com/Detail/Detail?PublicationID=P20170907164")</f>
        <v>https://ntsu.idm.oclc.org/login?url=https://www.airitibooks.com/Detail/Detail?PublicationID=P20170907164</v>
      </c>
    </row>
    <row r="2083" spans="1:11" ht="51" x14ac:dyDescent="0.4">
      <c r="A2083" s="10" t="s">
        <v>7076</v>
      </c>
      <c r="B2083" s="10" t="s">
        <v>7077</v>
      </c>
      <c r="C2083" s="10" t="s">
        <v>222</v>
      </c>
      <c r="D2083" s="10" t="s">
        <v>7078</v>
      </c>
      <c r="E2083" s="10" t="s">
        <v>6182</v>
      </c>
      <c r="F2083" s="10" t="s">
        <v>7079</v>
      </c>
      <c r="G2083" s="10" t="s">
        <v>76</v>
      </c>
      <c r="H2083" s="7" t="s">
        <v>24</v>
      </c>
      <c r="I2083" s="7" t="s">
        <v>25</v>
      </c>
      <c r="J2083" s="13" t="str">
        <f>HYPERLINK("https://www.airitibooks.com/Detail/Detail?PublicationID=P20170929021", "https://www.airitibooks.com/Detail/Detail?PublicationID=P20170929021")</f>
        <v>https://www.airitibooks.com/Detail/Detail?PublicationID=P20170929021</v>
      </c>
      <c r="K2083" s="13" t="str">
        <f>HYPERLINK("https://ntsu.idm.oclc.org/login?url=https://www.airitibooks.com/Detail/Detail?PublicationID=P20170929021", "https://ntsu.idm.oclc.org/login?url=https://www.airitibooks.com/Detail/Detail?PublicationID=P20170929021")</f>
        <v>https://ntsu.idm.oclc.org/login?url=https://www.airitibooks.com/Detail/Detail?PublicationID=P20170929021</v>
      </c>
    </row>
    <row r="2084" spans="1:11" ht="68" x14ac:dyDescent="0.4">
      <c r="A2084" s="10" t="s">
        <v>7103</v>
      </c>
      <c r="B2084" s="10" t="s">
        <v>7104</v>
      </c>
      <c r="C2084" s="10" t="s">
        <v>7085</v>
      </c>
      <c r="D2084" s="10" t="s">
        <v>7105</v>
      </c>
      <c r="E2084" s="10" t="s">
        <v>6182</v>
      </c>
      <c r="F2084" s="10" t="s">
        <v>7106</v>
      </c>
      <c r="G2084" s="10" t="s">
        <v>76</v>
      </c>
      <c r="H2084" s="7" t="s">
        <v>24</v>
      </c>
      <c r="I2084" s="7" t="s">
        <v>25</v>
      </c>
      <c r="J2084" s="13" t="str">
        <f>HYPERLINK("https://www.airitibooks.com/Detail/Detail?PublicationID=P20170929082", "https://www.airitibooks.com/Detail/Detail?PublicationID=P20170929082")</f>
        <v>https://www.airitibooks.com/Detail/Detail?PublicationID=P20170929082</v>
      </c>
      <c r="K2084" s="13" t="str">
        <f>HYPERLINK("https://ntsu.idm.oclc.org/login?url=https://www.airitibooks.com/Detail/Detail?PublicationID=P20170929082", "https://ntsu.idm.oclc.org/login?url=https://www.airitibooks.com/Detail/Detail?PublicationID=P20170929082")</f>
        <v>https://ntsu.idm.oclc.org/login?url=https://www.airitibooks.com/Detail/Detail?PublicationID=P20170929082</v>
      </c>
    </row>
    <row r="2085" spans="1:11" ht="136" x14ac:dyDescent="0.4">
      <c r="A2085" s="10" t="s">
        <v>7154</v>
      </c>
      <c r="B2085" s="10" t="s">
        <v>7155</v>
      </c>
      <c r="C2085" s="10" t="s">
        <v>7085</v>
      </c>
      <c r="D2085" s="10" t="s">
        <v>7156</v>
      </c>
      <c r="E2085" s="10" t="s">
        <v>6182</v>
      </c>
      <c r="F2085" s="10" t="s">
        <v>3680</v>
      </c>
      <c r="G2085" s="10" t="s">
        <v>76</v>
      </c>
      <c r="H2085" s="7" t="s">
        <v>24</v>
      </c>
      <c r="I2085" s="7" t="s">
        <v>25</v>
      </c>
      <c r="J2085" s="13" t="str">
        <f>HYPERLINK("https://www.airitibooks.com/Detail/Detail?PublicationID=P20170929152", "https://www.airitibooks.com/Detail/Detail?PublicationID=P20170929152")</f>
        <v>https://www.airitibooks.com/Detail/Detail?PublicationID=P20170929152</v>
      </c>
      <c r="K2085" s="13" t="str">
        <f>HYPERLINK("https://ntsu.idm.oclc.org/login?url=https://www.airitibooks.com/Detail/Detail?PublicationID=P20170929152", "https://ntsu.idm.oclc.org/login?url=https://www.airitibooks.com/Detail/Detail?PublicationID=P20170929152")</f>
        <v>https://ntsu.idm.oclc.org/login?url=https://www.airitibooks.com/Detail/Detail?PublicationID=P20170929152</v>
      </c>
    </row>
    <row r="2086" spans="1:11" ht="51" x14ac:dyDescent="0.4">
      <c r="A2086" s="10" t="s">
        <v>7160</v>
      </c>
      <c r="B2086" s="10" t="s">
        <v>7161</v>
      </c>
      <c r="C2086" s="10" t="s">
        <v>812</v>
      </c>
      <c r="D2086" s="10" t="s">
        <v>816</v>
      </c>
      <c r="E2086" s="10" t="s">
        <v>6182</v>
      </c>
      <c r="F2086" s="10" t="s">
        <v>538</v>
      </c>
      <c r="G2086" s="10" t="s">
        <v>76</v>
      </c>
      <c r="H2086" s="7" t="s">
        <v>24</v>
      </c>
      <c r="I2086" s="7" t="s">
        <v>25</v>
      </c>
      <c r="J2086" s="13" t="str">
        <f>HYPERLINK("https://www.airitibooks.com/Detail/Detail?PublicationID=P20170929170", "https://www.airitibooks.com/Detail/Detail?PublicationID=P20170929170")</f>
        <v>https://www.airitibooks.com/Detail/Detail?PublicationID=P20170929170</v>
      </c>
      <c r="K2086" s="13" t="str">
        <f>HYPERLINK("https://ntsu.idm.oclc.org/login?url=https://www.airitibooks.com/Detail/Detail?PublicationID=P20170929170", "https://ntsu.idm.oclc.org/login?url=https://www.airitibooks.com/Detail/Detail?PublicationID=P20170929170")</f>
        <v>https://ntsu.idm.oclc.org/login?url=https://www.airitibooks.com/Detail/Detail?PublicationID=P20170929170</v>
      </c>
    </row>
    <row r="2087" spans="1:11" ht="51" x14ac:dyDescent="0.4">
      <c r="A2087" s="10" t="s">
        <v>7190</v>
      </c>
      <c r="B2087" s="10" t="s">
        <v>7191</v>
      </c>
      <c r="C2087" s="10" t="s">
        <v>7164</v>
      </c>
      <c r="D2087" s="10" t="s">
        <v>7192</v>
      </c>
      <c r="E2087" s="10" t="s">
        <v>6182</v>
      </c>
      <c r="F2087" s="10" t="s">
        <v>4602</v>
      </c>
      <c r="G2087" s="10" t="s">
        <v>76</v>
      </c>
      <c r="H2087" s="7" t="s">
        <v>24</v>
      </c>
      <c r="I2087" s="7" t="s">
        <v>25</v>
      </c>
      <c r="J2087" s="13" t="str">
        <f>HYPERLINK("https://www.airitibooks.com/Detail/Detail?PublicationID=P20170929200", "https://www.airitibooks.com/Detail/Detail?PublicationID=P20170929200")</f>
        <v>https://www.airitibooks.com/Detail/Detail?PublicationID=P20170929200</v>
      </c>
      <c r="K2087" s="13" t="str">
        <f>HYPERLINK("https://ntsu.idm.oclc.org/login?url=https://www.airitibooks.com/Detail/Detail?PublicationID=P20170929200", "https://ntsu.idm.oclc.org/login?url=https://www.airitibooks.com/Detail/Detail?PublicationID=P20170929200")</f>
        <v>https://ntsu.idm.oclc.org/login?url=https://www.airitibooks.com/Detail/Detail?PublicationID=P20170929200</v>
      </c>
    </row>
    <row r="2088" spans="1:11" ht="51" x14ac:dyDescent="0.4">
      <c r="A2088" s="10" t="s">
        <v>7204</v>
      </c>
      <c r="B2088" s="10" t="s">
        <v>7205</v>
      </c>
      <c r="C2088" s="10" t="s">
        <v>7164</v>
      </c>
      <c r="D2088" s="10" t="s">
        <v>7206</v>
      </c>
      <c r="E2088" s="10" t="s">
        <v>6182</v>
      </c>
      <c r="F2088" s="10" t="s">
        <v>104</v>
      </c>
      <c r="G2088" s="10" t="s">
        <v>76</v>
      </c>
      <c r="H2088" s="7" t="s">
        <v>24</v>
      </c>
      <c r="I2088" s="7" t="s">
        <v>25</v>
      </c>
      <c r="J2088" s="13" t="str">
        <f>HYPERLINK("https://www.airitibooks.com/Detail/Detail?PublicationID=P20170929209", "https://www.airitibooks.com/Detail/Detail?PublicationID=P20170929209")</f>
        <v>https://www.airitibooks.com/Detail/Detail?PublicationID=P20170929209</v>
      </c>
      <c r="K2088" s="13" t="str">
        <f>HYPERLINK("https://ntsu.idm.oclc.org/login?url=https://www.airitibooks.com/Detail/Detail?PublicationID=P20170929209", "https://ntsu.idm.oclc.org/login?url=https://www.airitibooks.com/Detail/Detail?PublicationID=P20170929209")</f>
        <v>https://ntsu.idm.oclc.org/login?url=https://www.airitibooks.com/Detail/Detail?PublicationID=P20170929209</v>
      </c>
    </row>
    <row r="2089" spans="1:11" ht="51" x14ac:dyDescent="0.4">
      <c r="A2089" s="10" t="s">
        <v>7213</v>
      </c>
      <c r="B2089" s="10" t="s">
        <v>7214</v>
      </c>
      <c r="C2089" s="10" t="s">
        <v>7164</v>
      </c>
      <c r="D2089" s="10" t="s">
        <v>7215</v>
      </c>
      <c r="E2089" s="10" t="s">
        <v>6182</v>
      </c>
      <c r="F2089" s="10" t="s">
        <v>104</v>
      </c>
      <c r="G2089" s="10" t="s">
        <v>76</v>
      </c>
      <c r="H2089" s="7" t="s">
        <v>24</v>
      </c>
      <c r="I2089" s="7" t="s">
        <v>25</v>
      </c>
      <c r="J2089" s="13" t="str">
        <f>HYPERLINK("https://www.airitibooks.com/Detail/Detail?PublicationID=P20170929223", "https://www.airitibooks.com/Detail/Detail?PublicationID=P20170929223")</f>
        <v>https://www.airitibooks.com/Detail/Detail?PublicationID=P20170929223</v>
      </c>
      <c r="K2089" s="13" t="str">
        <f>HYPERLINK("https://ntsu.idm.oclc.org/login?url=https://www.airitibooks.com/Detail/Detail?PublicationID=P20170929223", "https://ntsu.idm.oclc.org/login?url=https://www.airitibooks.com/Detail/Detail?PublicationID=P20170929223")</f>
        <v>https://ntsu.idm.oclc.org/login?url=https://www.airitibooks.com/Detail/Detail?PublicationID=P20170929223</v>
      </c>
    </row>
    <row r="2090" spans="1:11" ht="51" x14ac:dyDescent="0.4">
      <c r="A2090" s="10" t="s">
        <v>7222</v>
      </c>
      <c r="B2090" s="10" t="s">
        <v>7223</v>
      </c>
      <c r="C2090" s="10" t="s">
        <v>7164</v>
      </c>
      <c r="D2090" s="10" t="s">
        <v>7224</v>
      </c>
      <c r="E2090" s="10" t="s">
        <v>6182</v>
      </c>
      <c r="F2090" s="10" t="s">
        <v>2332</v>
      </c>
      <c r="G2090" s="10" t="s">
        <v>76</v>
      </c>
      <c r="H2090" s="7" t="s">
        <v>24</v>
      </c>
      <c r="I2090" s="7" t="s">
        <v>25</v>
      </c>
      <c r="J2090" s="13" t="str">
        <f>HYPERLINK("https://www.airitibooks.com/Detail/Detail?PublicationID=P20170929250", "https://www.airitibooks.com/Detail/Detail?PublicationID=P20170929250")</f>
        <v>https://www.airitibooks.com/Detail/Detail?PublicationID=P20170929250</v>
      </c>
      <c r="K2090" s="13" t="str">
        <f>HYPERLINK("https://ntsu.idm.oclc.org/login?url=https://www.airitibooks.com/Detail/Detail?PublicationID=P20170929250", "https://ntsu.idm.oclc.org/login?url=https://www.airitibooks.com/Detail/Detail?PublicationID=P20170929250")</f>
        <v>https://ntsu.idm.oclc.org/login?url=https://www.airitibooks.com/Detail/Detail?PublicationID=P20170929250</v>
      </c>
    </row>
    <row r="2091" spans="1:11" ht="51" x14ac:dyDescent="0.4">
      <c r="A2091" s="10" t="s">
        <v>7225</v>
      </c>
      <c r="B2091" s="10" t="s">
        <v>7226</v>
      </c>
      <c r="C2091" s="10" t="s">
        <v>7164</v>
      </c>
      <c r="D2091" s="10" t="s">
        <v>7227</v>
      </c>
      <c r="E2091" s="10" t="s">
        <v>6182</v>
      </c>
      <c r="F2091" s="10" t="s">
        <v>4602</v>
      </c>
      <c r="G2091" s="10" t="s">
        <v>76</v>
      </c>
      <c r="H2091" s="7" t="s">
        <v>24</v>
      </c>
      <c r="I2091" s="7" t="s">
        <v>25</v>
      </c>
      <c r="J2091" s="13" t="str">
        <f>HYPERLINK("https://www.airitibooks.com/Detail/Detail?PublicationID=P20170929251", "https://www.airitibooks.com/Detail/Detail?PublicationID=P20170929251")</f>
        <v>https://www.airitibooks.com/Detail/Detail?PublicationID=P20170929251</v>
      </c>
      <c r="K2091" s="13" t="str">
        <f>HYPERLINK("https://ntsu.idm.oclc.org/login?url=https://www.airitibooks.com/Detail/Detail?PublicationID=P20170929251", "https://ntsu.idm.oclc.org/login?url=https://www.airitibooks.com/Detail/Detail?PublicationID=P20170929251")</f>
        <v>https://ntsu.idm.oclc.org/login?url=https://www.airitibooks.com/Detail/Detail?PublicationID=P20170929251</v>
      </c>
    </row>
    <row r="2092" spans="1:11" ht="51" x14ac:dyDescent="0.4">
      <c r="A2092" s="10" t="s">
        <v>7235</v>
      </c>
      <c r="B2092" s="10" t="s">
        <v>7236</v>
      </c>
      <c r="C2092" s="10" t="s">
        <v>1109</v>
      </c>
      <c r="D2092" s="10" t="s">
        <v>7237</v>
      </c>
      <c r="E2092" s="10" t="s">
        <v>6182</v>
      </c>
      <c r="F2092" s="10" t="s">
        <v>5277</v>
      </c>
      <c r="G2092" s="10" t="s">
        <v>76</v>
      </c>
      <c r="H2092" s="7" t="s">
        <v>24</v>
      </c>
      <c r="I2092" s="7" t="s">
        <v>25</v>
      </c>
      <c r="J2092" s="13" t="str">
        <f>HYPERLINK("https://www.airitibooks.com/Detail/Detail?PublicationID=P20170929383", "https://www.airitibooks.com/Detail/Detail?PublicationID=P20170929383")</f>
        <v>https://www.airitibooks.com/Detail/Detail?PublicationID=P20170929383</v>
      </c>
      <c r="K2092" s="13" t="str">
        <f>HYPERLINK("https://ntsu.idm.oclc.org/login?url=https://www.airitibooks.com/Detail/Detail?PublicationID=P20170929383", "https://ntsu.idm.oclc.org/login?url=https://www.airitibooks.com/Detail/Detail?PublicationID=P20170929383")</f>
        <v>https://ntsu.idm.oclc.org/login?url=https://www.airitibooks.com/Detail/Detail?PublicationID=P20170929383</v>
      </c>
    </row>
    <row r="2093" spans="1:11" ht="187" x14ac:dyDescent="0.4">
      <c r="A2093" s="10" t="s">
        <v>7275</v>
      </c>
      <c r="B2093" s="10" t="s">
        <v>7276</v>
      </c>
      <c r="C2093" s="10" t="s">
        <v>1484</v>
      </c>
      <c r="D2093" s="10" t="s">
        <v>7277</v>
      </c>
      <c r="E2093" s="10" t="s">
        <v>6182</v>
      </c>
      <c r="F2093" s="10" t="s">
        <v>7278</v>
      </c>
      <c r="G2093" s="10" t="s">
        <v>76</v>
      </c>
      <c r="H2093" s="7" t="s">
        <v>24</v>
      </c>
      <c r="I2093" s="7" t="s">
        <v>25</v>
      </c>
      <c r="J2093" s="13" t="str">
        <f>HYPERLINK("https://www.airitibooks.com/Detail/Detail?PublicationID=P20170929402", "https://www.airitibooks.com/Detail/Detail?PublicationID=P20170929402")</f>
        <v>https://www.airitibooks.com/Detail/Detail?PublicationID=P20170929402</v>
      </c>
      <c r="K2093" s="13" t="str">
        <f>HYPERLINK("https://ntsu.idm.oclc.org/login?url=https://www.airitibooks.com/Detail/Detail?PublicationID=P20170929402", "https://ntsu.idm.oclc.org/login?url=https://www.airitibooks.com/Detail/Detail?PublicationID=P20170929402")</f>
        <v>https://ntsu.idm.oclc.org/login?url=https://www.airitibooks.com/Detail/Detail?PublicationID=P20170929402</v>
      </c>
    </row>
    <row r="2094" spans="1:11" ht="51" x14ac:dyDescent="0.4">
      <c r="A2094" s="10" t="s">
        <v>7320</v>
      </c>
      <c r="B2094" s="10" t="s">
        <v>7321</v>
      </c>
      <c r="C2094" s="10" t="s">
        <v>7164</v>
      </c>
      <c r="D2094" s="10" t="s">
        <v>7322</v>
      </c>
      <c r="E2094" s="10" t="s">
        <v>6182</v>
      </c>
      <c r="F2094" s="10" t="s">
        <v>7323</v>
      </c>
      <c r="G2094" s="10" t="s">
        <v>76</v>
      </c>
      <c r="H2094" s="7" t="s">
        <v>24</v>
      </c>
      <c r="I2094" s="7" t="s">
        <v>25</v>
      </c>
      <c r="J2094" s="13" t="str">
        <f>HYPERLINK("https://www.airitibooks.com/Detail/Detail?PublicationID=P20171103099", "https://www.airitibooks.com/Detail/Detail?PublicationID=P20171103099")</f>
        <v>https://www.airitibooks.com/Detail/Detail?PublicationID=P20171103099</v>
      </c>
      <c r="K2094" s="13" t="str">
        <f>HYPERLINK("https://ntsu.idm.oclc.org/login?url=https://www.airitibooks.com/Detail/Detail?PublicationID=P20171103099", "https://ntsu.idm.oclc.org/login?url=https://www.airitibooks.com/Detail/Detail?PublicationID=P20171103099")</f>
        <v>https://ntsu.idm.oclc.org/login?url=https://www.airitibooks.com/Detail/Detail?PublicationID=P20171103099</v>
      </c>
    </row>
    <row r="2095" spans="1:11" ht="51" x14ac:dyDescent="0.4">
      <c r="A2095" s="10" t="s">
        <v>7328</v>
      </c>
      <c r="B2095" s="10" t="s">
        <v>7329</v>
      </c>
      <c r="C2095" s="10" t="s">
        <v>7326</v>
      </c>
      <c r="D2095" s="10" t="s">
        <v>7330</v>
      </c>
      <c r="E2095" s="10" t="s">
        <v>6182</v>
      </c>
      <c r="F2095" s="10" t="s">
        <v>7331</v>
      </c>
      <c r="G2095" s="10" t="s">
        <v>76</v>
      </c>
      <c r="H2095" s="7" t="s">
        <v>24</v>
      </c>
      <c r="I2095" s="7" t="s">
        <v>25</v>
      </c>
      <c r="J2095" s="13" t="str">
        <f>HYPERLINK("https://www.airitibooks.com/Detail/Detail?PublicationID=P20171103107", "https://www.airitibooks.com/Detail/Detail?PublicationID=P20171103107")</f>
        <v>https://www.airitibooks.com/Detail/Detail?PublicationID=P20171103107</v>
      </c>
      <c r="K2095" s="13" t="str">
        <f>HYPERLINK("https://ntsu.idm.oclc.org/login?url=https://www.airitibooks.com/Detail/Detail?PublicationID=P20171103107", "https://ntsu.idm.oclc.org/login?url=https://www.airitibooks.com/Detail/Detail?PublicationID=P20171103107")</f>
        <v>https://ntsu.idm.oclc.org/login?url=https://www.airitibooks.com/Detail/Detail?PublicationID=P20171103107</v>
      </c>
    </row>
    <row r="2096" spans="1:11" ht="51" x14ac:dyDescent="0.4">
      <c r="A2096" s="10" t="s">
        <v>7353</v>
      </c>
      <c r="B2096" s="10" t="s">
        <v>7354</v>
      </c>
      <c r="C2096" s="10" t="s">
        <v>7326</v>
      </c>
      <c r="D2096" s="10" t="s">
        <v>7355</v>
      </c>
      <c r="E2096" s="10" t="s">
        <v>6182</v>
      </c>
      <c r="F2096" s="10" t="s">
        <v>7331</v>
      </c>
      <c r="G2096" s="10" t="s">
        <v>76</v>
      </c>
      <c r="H2096" s="7" t="s">
        <v>24</v>
      </c>
      <c r="I2096" s="7" t="s">
        <v>25</v>
      </c>
      <c r="J2096" s="13" t="str">
        <f>HYPERLINK("https://www.airitibooks.com/Detail/Detail?PublicationID=P20171103125", "https://www.airitibooks.com/Detail/Detail?PublicationID=P20171103125")</f>
        <v>https://www.airitibooks.com/Detail/Detail?PublicationID=P20171103125</v>
      </c>
      <c r="K2096" s="13" t="str">
        <f>HYPERLINK("https://ntsu.idm.oclc.org/login?url=https://www.airitibooks.com/Detail/Detail?PublicationID=P20171103125", "https://ntsu.idm.oclc.org/login?url=https://www.airitibooks.com/Detail/Detail?PublicationID=P20171103125")</f>
        <v>https://ntsu.idm.oclc.org/login?url=https://www.airitibooks.com/Detail/Detail?PublicationID=P20171103125</v>
      </c>
    </row>
    <row r="2097" spans="1:11" ht="51" x14ac:dyDescent="0.4">
      <c r="A2097" s="10" t="s">
        <v>7419</v>
      </c>
      <c r="B2097" s="10" t="s">
        <v>7420</v>
      </c>
      <c r="C2097" s="10" t="s">
        <v>7164</v>
      </c>
      <c r="D2097" s="10" t="s">
        <v>7421</v>
      </c>
      <c r="E2097" s="10" t="s">
        <v>6182</v>
      </c>
      <c r="F2097" s="10" t="s">
        <v>7422</v>
      </c>
      <c r="G2097" s="10" t="s">
        <v>76</v>
      </c>
      <c r="H2097" s="7" t="s">
        <v>24</v>
      </c>
      <c r="I2097" s="7" t="s">
        <v>25</v>
      </c>
      <c r="J2097" s="13" t="str">
        <f>HYPERLINK("https://www.airitibooks.com/Detail/Detail?PublicationID=P20171103184", "https://www.airitibooks.com/Detail/Detail?PublicationID=P20171103184")</f>
        <v>https://www.airitibooks.com/Detail/Detail?PublicationID=P20171103184</v>
      </c>
      <c r="K2097" s="13" t="str">
        <f>HYPERLINK("https://ntsu.idm.oclc.org/login?url=https://www.airitibooks.com/Detail/Detail?PublicationID=P20171103184", "https://ntsu.idm.oclc.org/login?url=https://www.airitibooks.com/Detail/Detail?PublicationID=P20171103184")</f>
        <v>https://ntsu.idm.oclc.org/login?url=https://www.airitibooks.com/Detail/Detail?PublicationID=P20171103184</v>
      </c>
    </row>
    <row r="2098" spans="1:11" ht="51" x14ac:dyDescent="0.4">
      <c r="A2098" s="10" t="s">
        <v>7431</v>
      </c>
      <c r="B2098" s="10" t="s">
        <v>7432</v>
      </c>
      <c r="C2098" s="10" t="s">
        <v>7164</v>
      </c>
      <c r="D2098" s="10" t="s">
        <v>7433</v>
      </c>
      <c r="E2098" s="10" t="s">
        <v>6182</v>
      </c>
      <c r="F2098" s="10" t="s">
        <v>2871</v>
      </c>
      <c r="G2098" s="10" t="s">
        <v>76</v>
      </c>
      <c r="H2098" s="7" t="s">
        <v>24</v>
      </c>
      <c r="I2098" s="7" t="s">
        <v>25</v>
      </c>
      <c r="J2098" s="13" t="str">
        <f>HYPERLINK("https://www.airitibooks.com/Detail/Detail?PublicationID=P20171103238", "https://www.airitibooks.com/Detail/Detail?PublicationID=P20171103238")</f>
        <v>https://www.airitibooks.com/Detail/Detail?PublicationID=P20171103238</v>
      </c>
      <c r="K2098" s="13" t="str">
        <f>HYPERLINK("https://ntsu.idm.oclc.org/login?url=https://www.airitibooks.com/Detail/Detail?PublicationID=P20171103238", "https://ntsu.idm.oclc.org/login?url=https://www.airitibooks.com/Detail/Detail?PublicationID=P20171103238")</f>
        <v>https://ntsu.idm.oclc.org/login?url=https://www.airitibooks.com/Detail/Detail?PublicationID=P20171103238</v>
      </c>
    </row>
    <row r="2099" spans="1:11" ht="51" x14ac:dyDescent="0.4">
      <c r="A2099" s="10" t="s">
        <v>7437</v>
      </c>
      <c r="B2099" s="10" t="s">
        <v>7438</v>
      </c>
      <c r="C2099" s="10" t="s">
        <v>7164</v>
      </c>
      <c r="D2099" s="10" t="s">
        <v>7439</v>
      </c>
      <c r="E2099" s="10" t="s">
        <v>6182</v>
      </c>
      <c r="F2099" s="10" t="s">
        <v>65</v>
      </c>
      <c r="G2099" s="10" t="s">
        <v>76</v>
      </c>
      <c r="H2099" s="7" t="s">
        <v>24</v>
      </c>
      <c r="I2099" s="7" t="s">
        <v>25</v>
      </c>
      <c r="J2099" s="13" t="str">
        <f>HYPERLINK("https://www.airitibooks.com/Detail/Detail?PublicationID=P20171103242", "https://www.airitibooks.com/Detail/Detail?PublicationID=P20171103242")</f>
        <v>https://www.airitibooks.com/Detail/Detail?PublicationID=P20171103242</v>
      </c>
      <c r="K2099" s="13" t="str">
        <f>HYPERLINK("https://ntsu.idm.oclc.org/login?url=https://www.airitibooks.com/Detail/Detail?PublicationID=P20171103242", "https://ntsu.idm.oclc.org/login?url=https://www.airitibooks.com/Detail/Detail?PublicationID=P20171103242")</f>
        <v>https://ntsu.idm.oclc.org/login?url=https://www.airitibooks.com/Detail/Detail?PublicationID=P20171103242</v>
      </c>
    </row>
    <row r="2100" spans="1:11" ht="51" x14ac:dyDescent="0.4">
      <c r="A2100" s="10" t="s">
        <v>7451</v>
      </c>
      <c r="B2100" s="10" t="s">
        <v>7452</v>
      </c>
      <c r="C2100" s="10" t="s">
        <v>7164</v>
      </c>
      <c r="D2100" s="10" t="s">
        <v>7453</v>
      </c>
      <c r="E2100" s="10" t="s">
        <v>6182</v>
      </c>
      <c r="F2100" s="10" t="s">
        <v>2871</v>
      </c>
      <c r="G2100" s="10" t="s">
        <v>76</v>
      </c>
      <c r="H2100" s="7" t="s">
        <v>24</v>
      </c>
      <c r="I2100" s="7" t="s">
        <v>25</v>
      </c>
      <c r="J2100" s="13" t="str">
        <f>HYPERLINK("https://www.airitibooks.com/Detail/Detail?PublicationID=P20171103250", "https://www.airitibooks.com/Detail/Detail?PublicationID=P20171103250")</f>
        <v>https://www.airitibooks.com/Detail/Detail?PublicationID=P20171103250</v>
      </c>
      <c r="K2100" s="13" t="str">
        <f>HYPERLINK("https://ntsu.idm.oclc.org/login?url=https://www.airitibooks.com/Detail/Detail?PublicationID=P20171103250", "https://ntsu.idm.oclc.org/login?url=https://www.airitibooks.com/Detail/Detail?PublicationID=P20171103250")</f>
        <v>https://ntsu.idm.oclc.org/login?url=https://www.airitibooks.com/Detail/Detail?PublicationID=P20171103250</v>
      </c>
    </row>
    <row r="2101" spans="1:11" ht="51" x14ac:dyDescent="0.4">
      <c r="A2101" s="10" t="s">
        <v>7539</v>
      </c>
      <c r="B2101" s="10" t="s">
        <v>7540</v>
      </c>
      <c r="C2101" s="10" t="s">
        <v>7164</v>
      </c>
      <c r="D2101" s="10" t="s">
        <v>7541</v>
      </c>
      <c r="E2101" s="10" t="s">
        <v>6182</v>
      </c>
      <c r="F2101" s="10" t="s">
        <v>2313</v>
      </c>
      <c r="G2101" s="10" t="s">
        <v>76</v>
      </c>
      <c r="H2101" s="7" t="s">
        <v>24</v>
      </c>
      <c r="I2101" s="7" t="s">
        <v>25</v>
      </c>
      <c r="J2101" s="13" t="str">
        <f>HYPERLINK("https://www.airitibooks.com/Detail/Detail?PublicationID=P20171103474", "https://www.airitibooks.com/Detail/Detail?PublicationID=P20171103474")</f>
        <v>https://www.airitibooks.com/Detail/Detail?PublicationID=P20171103474</v>
      </c>
      <c r="K2101" s="13" t="str">
        <f>HYPERLINK("https://ntsu.idm.oclc.org/login?url=https://www.airitibooks.com/Detail/Detail?PublicationID=P20171103474", "https://ntsu.idm.oclc.org/login?url=https://www.airitibooks.com/Detail/Detail?PublicationID=P20171103474")</f>
        <v>https://ntsu.idm.oclc.org/login?url=https://www.airitibooks.com/Detail/Detail?PublicationID=P20171103474</v>
      </c>
    </row>
    <row r="2102" spans="1:11" ht="51" x14ac:dyDescent="0.4">
      <c r="A2102" s="10" t="s">
        <v>7549</v>
      </c>
      <c r="B2102" s="10" t="s">
        <v>7550</v>
      </c>
      <c r="C2102" s="10" t="s">
        <v>7164</v>
      </c>
      <c r="D2102" s="10" t="s">
        <v>7529</v>
      </c>
      <c r="E2102" s="10" t="s">
        <v>6182</v>
      </c>
      <c r="F2102" s="10" t="s">
        <v>7551</v>
      </c>
      <c r="G2102" s="10" t="s">
        <v>76</v>
      </c>
      <c r="H2102" s="7" t="s">
        <v>24</v>
      </c>
      <c r="I2102" s="7" t="s">
        <v>25</v>
      </c>
      <c r="J2102" s="13" t="str">
        <f>HYPERLINK("https://www.airitibooks.com/Detail/Detail?PublicationID=P20171103484", "https://www.airitibooks.com/Detail/Detail?PublicationID=P20171103484")</f>
        <v>https://www.airitibooks.com/Detail/Detail?PublicationID=P20171103484</v>
      </c>
      <c r="K2102" s="13" t="str">
        <f>HYPERLINK("https://ntsu.idm.oclc.org/login?url=https://www.airitibooks.com/Detail/Detail?PublicationID=P20171103484", "https://ntsu.idm.oclc.org/login?url=https://www.airitibooks.com/Detail/Detail?PublicationID=P20171103484")</f>
        <v>https://ntsu.idm.oclc.org/login?url=https://www.airitibooks.com/Detail/Detail?PublicationID=P20171103484</v>
      </c>
    </row>
    <row r="2103" spans="1:11" ht="51" x14ac:dyDescent="0.4">
      <c r="A2103" s="10" t="s">
        <v>7552</v>
      </c>
      <c r="B2103" s="10" t="s">
        <v>7553</v>
      </c>
      <c r="C2103" s="10" t="s">
        <v>7164</v>
      </c>
      <c r="D2103" s="10" t="s">
        <v>7554</v>
      </c>
      <c r="E2103" s="10" t="s">
        <v>6182</v>
      </c>
      <c r="F2103" s="10" t="s">
        <v>2313</v>
      </c>
      <c r="G2103" s="10" t="s">
        <v>76</v>
      </c>
      <c r="H2103" s="7" t="s">
        <v>24</v>
      </c>
      <c r="I2103" s="7" t="s">
        <v>25</v>
      </c>
      <c r="J2103" s="13" t="str">
        <f>HYPERLINK("https://www.airitibooks.com/Detail/Detail?PublicationID=P20171103488", "https://www.airitibooks.com/Detail/Detail?PublicationID=P20171103488")</f>
        <v>https://www.airitibooks.com/Detail/Detail?PublicationID=P20171103488</v>
      </c>
      <c r="K2103" s="13" t="str">
        <f>HYPERLINK("https://ntsu.idm.oclc.org/login?url=https://www.airitibooks.com/Detail/Detail?PublicationID=P20171103488", "https://ntsu.idm.oclc.org/login?url=https://www.airitibooks.com/Detail/Detail?PublicationID=P20171103488")</f>
        <v>https://ntsu.idm.oclc.org/login?url=https://www.airitibooks.com/Detail/Detail?PublicationID=P20171103488</v>
      </c>
    </row>
    <row r="2104" spans="1:11" ht="51" x14ac:dyDescent="0.4">
      <c r="A2104" s="10" t="s">
        <v>7566</v>
      </c>
      <c r="B2104" s="10" t="s">
        <v>7567</v>
      </c>
      <c r="C2104" s="10" t="s">
        <v>7164</v>
      </c>
      <c r="D2104" s="10" t="s">
        <v>7568</v>
      </c>
      <c r="E2104" s="10" t="s">
        <v>6182</v>
      </c>
      <c r="F2104" s="10" t="s">
        <v>104</v>
      </c>
      <c r="G2104" s="10" t="s">
        <v>76</v>
      </c>
      <c r="H2104" s="7" t="s">
        <v>24</v>
      </c>
      <c r="I2104" s="7" t="s">
        <v>25</v>
      </c>
      <c r="J2104" s="13" t="str">
        <f>HYPERLINK("https://www.airitibooks.com/Detail/Detail?PublicationID=P20171103516", "https://www.airitibooks.com/Detail/Detail?PublicationID=P20171103516")</f>
        <v>https://www.airitibooks.com/Detail/Detail?PublicationID=P20171103516</v>
      </c>
      <c r="K2104" s="13" t="str">
        <f>HYPERLINK("https://ntsu.idm.oclc.org/login?url=https://www.airitibooks.com/Detail/Detail?PublicationID=P20171103516", "https://ntsu.idm.oclc.org/login?url=https://www.airitibooks.com/Detail/Detail?PublicationID=P20171103516")</f>
        <v>https://ntsu.idm.oclc.org/login?url=https://www.airitibooks.com/Detail/Detail?PublicationID=P20171103516</v>
      </c>
    </row>
    <row r="2105" spans="1:11" ht="51" x14ac:dyDescent="0.4">
      <c r="A2105" s="10" t="s">
        <v>7665</v>
      </c>
      <c r="B2105" s="10" t="s">
        <v>7666</v>
      </c>
      <c r="C2105" s="10" t="s">
        <v>7164</v>
      </c>
      <c r="D2105" s="10" t="s">
        <v>7667</v>
      </c>
      <c r="E2105" s="10" t="s">
        <v>6182</v>
      </c>
      <c r="F2105" s="10" t="s">
        <v>7331</v>
      </c>
      <c r="G2105" s="10" t="s">
        <v>76</v>
      </c>
      <c r="H2105" s="7" t="s">
        <v>24</v>
      </c>
      <c r="I2105" s="7" t="s">
        <v>25</v>
      </c>
      <c r="J2105" s="13" t="str">
        <f>HYPERLINK("https://www.airitibooks.com/Detail/Detail?PublicationID=P20171103820", "https://www.airitibooks.com/Detail/Detail?PublicationID=P20171103820")</f>
        <v>https://www.airitibooks.com/Detail/Detail?PublicationID=P20171103820</v>
      </c>
      <c r="K2105" s="13" t="str">
        <f>HYPERLINK("https://ntsu.idm.oclc.org/login?url=https://www.airitibooks.com/Detail/Detail?PublicationID=P20171103820", "https://ntsu.idm.oclc.org/login?url=https://www.airitibooks.com/Detail/Detail?PublicationID=P20171103820")</f>
        <v>https://ntsu.idm.oclc.org/login?url=https://www.airitibooks.com/Detail/Detail?PublicationID=P20171103820</v>
      </c>
    </row>
    <row r="2106" spans="1:11" ht="51" x14ac:dyDescent="0.4">
      <c r="A2106" s="10" t="s">
        <v>7701</v>
      </c>
      <c r="B2106" s="10" t="s">
        <v>7702</v>
      </c>
      <c r="C2106" s="10" t="s">
        <v>7164</v>
      </c>
      <c r="D2106" s="10" t="s">
        <v>7703</v>
      </c>
      <c r="E2106" s="10" t="s">
        <v>6182</v>
      </c>
      <c r="F2106" s="10" t="s">
        <v>3731</v>
      </c>
      <c r="G2106" s="10" t="s">
        <v>76</v>
      </c>
      <c r="H2106" s="7" t="s">
        <v>24</v>
      </c>
      <c r="I2106" s="7" t="s">
        <v>25</v>
      </c>
      <c r="J2106" s="13" t="str">
        <f>HYPERLINK("https://www.airitibooks.com/Detail/Detail?PublicationID=P20171103877", "https://www.airitibooks.com/Detail/Detail?PublicationID=P20171103877")</f>
        <v>https://www.airitibooks.com/Detail/Detail?PublicationID=P20171103877</v>
      </c>
      <c r="K2106" s="13" t="str">
        <f>HYPERLINK("https://ntsu.idm.oclc.org/login?url=https://www.airitibooks.com/Detail/Detail?PublicationID=P20171103877", "https://ntsu.idm.oclc.org/login?url=https://www.airitibooks.com/Detail/Detail?PublicationID=P20171103877")</f>
        <v>https://ntsu.idm.oclc.org/login?url=https://www.airitibooks.com/Detail/Detail?PublicationID=P20171103877</v>
      </c>
    </row>
    <row r="2107" spans="1:11" ht="51" x14ac:dyDescent="0.4">
      <c r="A2107" s="10" t="s">
        <v>7704</v>
      </c>
      <c r="B2107" s="10" t="s">
        <v>7705</v>
      </c>
      <c r="C2107" s="10" t="s">
        <v>7164</v>
      </c>
      <c r="D2107" s="10" t="s">
        <v>7706</v>
      </c>
      <c r="E2107" s="10" t="s">
        <v>6182</v>
      </c>
      <c r="F2107" s="10" t="s">
        <v>1998</v>
      </c>
      <c r="G2107" s="10" t="s">
        <v>76</v>
      </c>
      <c r="H2107" s="7" t="s">
        <v>24</v>
      </c>
      <c r="I2107" s="7" t="s">
        <v>25</v>
      </c>
      <c r="J2107" s="13" t="str">
        <f>HYPERLINK("https://www.airitibooks.com/Detail/Detail?PublicationID=P20171103882", "https://www.airitibooks.com/Detail/Detail?PublicationID=P20171103882")</f>
        <v>https://www.airitibooks.com/Detail/Detail?PublicationID=P20171103882</v>
      </c>
      <c r="K2107" s="13" t="str">
        <f>HYPERLINK("https://ntsu.idm.oclc.org/login?url=https://www.airitibooks.com/Detail/Detail?PublicationID=P20171103882", "https://ntsu.idm.oclc.org/login?url=https://www.airitibooks.com/Detail/Detail?PublicationID=P20171103882")</f>
        <v>https://ntsu.idm.oclc.org/login?url=https://www.airitibooks.com/Detail/Detail?PublicationID=P20171103882</v>
      </c>
    </row>
    <row r="2108" spans="1:11" ht="51" x14ac:dyDescent="0.4">
      <c r="A2108" s="10" t="s">
        <v>7710</v>
      </c>
      <c r="B2108" s="10" t="s">
        <v>7711</v>
      </c>
      <c r="C2108" s="10" t="s">
        <v>7164</v>
      </c>
      <c r="D2108" s="10" t="s">
        <v>7712</v>
      </c>
      <c r="E2108" s="10" t="s">
        <v>6182</v>
      </c>
      <c r="F2108" s="10" t="s">
        <v>6225</v>
      </c>
      <c r="G2108" s="10" t="s">
        <v>76</v>
      </c>
      <c r="H2108" s="7" t="s">
        <v>24</v>
      </c>
      <c r="I2108" s="7" t="s">
        <v>25</v>
      </c>
      <c r="J2108" s="13" t="str">
        <f>HYPERLINK("https://www.airitibooks.com/Detail/Detail?PublicationID=P20171103886", "https://www.airitibooks.com/Detail/Detail?PublicationID=P20171103886")</f>
        <v>https://www.airitibooks.com/Detail/Detail?PublicationID=P20171103886</v>
      </c>
      <c r="K2108" s="13" t="str">
        <f>HYPERLINK("https://ntsu.idm.oclc.org/login?url=https://www.airitibooks.com/Detail/Detail?PublicationID=P20171103886", "https://ntsu.idm.oclc.org/login?url=https://www.airitibooks.com/Detail/Detail?PublicationID=P20171103886")</f>
        <v>https://ntsu.idm.oclc.org/login?url=https://www.airitibooks.com/Detail/Detail?PublicationID=P20171103886</v>
      </c>
    </row>
    <row r="2109" spans="1:11" ht="51" x14ac:dyDescent="0.4">
      <c r="A2109" s="10" t="s">
        <v>7718</v>
      </c>
      <c r="B2109" s="10" t="s">
        <v>7719</v>
      </c>
      <c r="C2109" s="10" t="s">
        <v>7164</v>
      </c>
      <c r="D2109" s="10" t="s">
        <v>7720</v>
      </c>
      <c r="E2109" s="10" t="s">
        <v>6182</v>
      </c>
      <c r="F2109" s="10" t="s">
        <v>2313</v>
      </c>
      <c r="G2109" s="10" t="s">
        <v>76</v>
      </c>
      <c r="H2109" s="7" t="s">
        <v>24</v>
      </c>
      <c r="I2109" s="7" t="s">
        <v>25</v>
      </c>
      <c r="J2109" s="13" t="str">
        <f>HYPERLINK("https://www.airitibooks.com/Detail/Detail?PublicationID=P20171103897", "https://www.airitibooks.com/Detail/Detail?PublicationID=P20171103897")</f>
        <v>https://www.airitibooks.com/Detail/Detail?PublicationID=P20171103897</v>
      </c>
      <c r="K2109" s="13" t="str">
        <f>HYPERLINK("https://ntsu.idm.oclc.org/login?url=https://www.airitibooks.com/Detail/Detail?PublicationID=P20171103897", "https://ntsu.idm.oclc.org/login?url=https://www.airitibooks.com/Detail/Detail?PublicationID=P20171103897")</f>
        <v>https://ntsu.idm.oclc.org/login?url=https://www.airitibooks.com/Detail/Detail?PublicationID=P20171103897</v>
      </c>
    </row>
    <row r="2110" spans="1:11" ht="51" x14ac:dyDescent="0.4">
      <c r="A2110" s="10" t="s">
        <v>7741</v>
      </c>
      <c r="B2110" s="10" t="s">
        <v>7742</v>
      </c>
      <c r="C2110" s="10" t="s">
        <v>6289</v>
      </c>
      <c r="D2110" s="10" t="s">
        <v>7743</v>
      </c>
      <c r="E2110" s="10" t="s">
        <v>6182</v>
      </c>
      <c r="F2110" s="10" t="s">
        <v>7744</v>
      </c>
      <c r="G2110" s="10" t="s">
        <v>76</v>
      </c>
      <c r="H2110" s="7" t="s">
        <v>24</v>
      </c>
      <c r="I2110" s="7" t="s">
        <v>25</v>
      </c>
      <c r="J2110" s="13" t="str">
        <f>HYPERLINK("https://www.airitibooks.com/Detail/Detail?PublicationID=P20171118176", "https://www.airitibooks.com/Detail/Detail?PublicationID=P20171118176")</f>
        <v>https://www.airitibooks.com/Detail/Detail?PublicationID=P20171118176</v>
      </c>
      <c r="K2110" s="13" t="str">
        <f>HYPERLINK("https://ntsu.idm.oclc.org/login?url=https://www.airitibooks.com/Detail/Detail?PublicationID=P20171118176", "https://ntsu.idm.oclc.org/login?url=https://www.airitibooks.com/Detail/Detail?PublicationID=P20171118176")</f>
        <v>https://ntsu.idm.oclc.org/login?url=https://www.airitibooks.com/Detail/Detail?PublicationID=P20171118176</v>
      </c>
    </row>
    <row r="2111" spans="1:11" ht="51" x14ac:dyDescent="0.4">
      <c r="A2111" s="10" t="s">
        <v>7832</v>
      </c>
      <c r="B2111" s="10" t="s">
        <v>7833</v>
      </c>
      <c r="C2111" s="10" t="s">
        <v>7822</v>
      </c>
      <c r="D2111" s="10" t="s">
        <v>7834</v>
      </c>
      <c r="E2111" s="10" t="s">
        <v>6182</v>
      </c>
      <c r="F2111" s="10" t="s">
        <v>7835</v>
      </c>
      <c r="G2111" s="10" t="s">
        <v>76</v>
      </c>
      <c r="H2111" s="7" t="s">
        <v>24</v>
      </c>
      <c r="I2111" s="7" t="s">
        <v>25</v>
      </c>
      <c r="J2111" s="13" t="str">
        <f>HYPERLINK("https://www.airitibooks.com/Detail/Detail?PublicationID=P20171127199", "https://www.airitibooks.com/Detail/Detail?PublicationID=P20171127199")</f>
        <v>https://www.airitibooks.com/Detail/Detail?PublicationID=P20171127199</v>
      </c>
      <c r="K2111" s="13" t="str">
        <f>HYPERLINK("https://ntsu.idm.oclc.org/login?url=https://www.airitibooks.com/Detail/Detail?PublicationID=P20171127199", "https://ntsu.idm.oclc.org/login?url=https://www.airitibooks.com/Detail/Detail?PublicationID=P20171127199")</f>
        <v>https://ntsu.idm.oclc.org/login?url=https://www.airitibooks.com/Detail/Detail?PublicationID=P20171127199</v>
      </c>
    </row>
    <row r="2112" spans="1:11" ht="68" x14ac:dyDescent="0.4">
      <c r="A2112" s="10" t="s">
        <v>8016</v>
      </c>
      <c r="B2112" s="10" t="s">
        <v>8017</v>
      </c>
      <c r="C2112" s="10" t="s">
        <v>791</v>
      </c>
      <c r="D2112" s="10" t="s">
        <v>3197</v>
      </c>
      <c r="E2112" s="10" t="s">
        <v>6182</v>
      </c>
      <c r="F2112" s="10" t="s">
        <v>774</v>
      </c>
      <c r="G2112" s="10" t="s">
        <v>76</v>
      </c>
      <c r="H2112" s="7" t="s">
        <v>24</v>
      </c>
      <c r="I2112" s="7" t="s">
        <v>25</v>
      </c>
      <c r="J2112" s="13" t="str">
        <f>HYPERLINK("https://www.airitibooks.com/Detail/Detail?PublicationID=P20171130037", "https://www.airitibooks.com/Detail/Detail?PublicationID=P20171130037")</f>
        <v>https://www.airitibooks.com/Detail/Detail?PublicationID=P20171130037</v>
      </c>
      <c r="K2112" s="13" t="str">
        <f>HYPERLINK("https://ntsu.idm.oclc.org/login?url=https://www.airitibooks.com/Detail/Detail?PublicationID=P20171130037", "https://ntsu.idm.oclc.org/login?url=https://www.airitibooks.com/Detail/Detail?PublicationID=P20171130037")</f>
        <v>https://ntsu.idm.oclc.org/login?url=https://www.airitibooks.com/Detail/Detail?PublicationID=P20171130037</v>
      </c>
    </row>
    <row r="2113" spans="1:11" ht="187" x14ac:dyDescent="0.4">
      <c r="A2113" s="10" t="s">
        <v>8041</v>
      </c>
      <c r="B2113" s="10" t="s">
        <v>8042</v>
      </c>
      <c r="C2113" s="10" t="s">
        <v>791</v>
      </c>
      <c r="D2113" s="10" t="s">
        <v>8043</v>
      </c>
      <c r="E2113" s="10" t="s">
        <v>6182</v>
      </c>
      <c r="F2113" s="10" t="s">
        <v>6390</v>
      </c>
      <c r="G2113" s="10" t="s">
        <v>76</v>
      </c>
      <c r="H2113" s="7" t="s">
        <v>24</v>
      </c>
      <c r="I2113" s="7" t="s">
        <v>25</v>
      </c>
      <c r="J2113" s="13" t="str">
        <f>HYPERLINK("https://www.airitibooks.com/Detail/Detail?PublicationID=P20171130134", "https://www.airitibooks.com/Detail/Detail?PublicationID=P20171130134")</f>
        <v>https://www.airitibooks.com/Detail/Detail?PublicationID=P20171130134</v>
      </c>
      <c r="K2113" s="13" t="str">
        <f>HYPERLINK("https://ntsu.idm.oclc.org/login?url=https://www.airitibooks.com/Detail/Detail?PublicationID=P20171130134", "https://ntsu.idm.oclc.org/login?url=https://www.airitibooks.com/Detail/Detail?PublicationID=P20171130134")</f>
        <v>https://ntsu.idm.oclc.org/login?url=https://www.airitibooks.com/Detail/Detail?PublicationID=P20171130134</v>
      </c>
    </row>
    <row r="2114" spans="1:11" ht="102" x14ac:dyDescent="0.4">
      <c r="A2114" s="10" t="s">
        <v>8144</v>
      </c>
      <c r="B2114" s="10" t="s">
        <v>8145</v>
      </c>
      <c r="C2114" s="10" t="s">
        <v>791</v>
      </c>
      <c r="D2114" s="10" t="s">
        <v>8146</v>
      </c>
      <c r="E2114" s="10" t="s">
        <v>6182</v>
      </c>
      <c r="F2114" s="10" t="s">
        <v>294</v>
      </c>
      <c r="G2114" s="10" t="s">
        <v>76</v>
      </c>
      <c r="H2114" s="7" t="s">
        <v>24</v>
      </c>
      <c r="I2114" s="7" t="s">
        <v>25</v>
      </c>
      <c r="J2114" s="13" t="str">
        <f>HYPERLINK("https://www.airitibooks.com/Detail/Detail?PublicationID=P20171228007", "https://www.airitibooks.com/Detail/Detail?PublicationID=P20171228007")</f>
        <v>https://www.airitibooks.com/Detail/Detail?PublicationID=P20171228007</v>
      </c>
      <c r="K2114" s="13" t="str">
        <f>HYPERLINK("https://ntsu.idm.oclc.org/login?url=https://www.airitibooks.com/Detail/Detail?PublicationID=P20171228007", "https://ntsu.idm.oclc.org/login?url=https://www.airitibooks.com/Detail/Detail?PublicationID=P20171228007")</f>
        <v>https://ntsu.idm.oclc.org/login?url=https://www.airitibooks.com/Detail/Detail?PublicationID=P20171228007</v>
      </c>
    </row>
    <row r="2115" spans="1:11" ht="238" x14ac:dyDescent="0.4">
      <c r="A2115" s="10" t="s">
        <v>8147</v>
      </c>
      <c r="B2115" s="10" t="s">
        <v>8148</v>
      </c>
      <c r="C2115" s="10" t="s">
        <v>791</v>
      </c>
      <c r="D2115" s="10" t="s">
        <v>8149</v>
      </c>
      <c r="E2115" s="10" t="s">
        <v>6182</v>
      </c>
      <c r="F2115" s="10" t="s">
        <v>294</v>
      </c>
      <c r="G2115" s="10" t="s">
        <v>76</v>
      </c>
      <c r="H2115" s="7" t="s">
        <v>24</v>
      </c>
      <c r="I2115" s="7" t="s">
        <v>25</v>
      </c>
      <c r="J2115" s="13" t="str">
        <f>HYPERLINK("https://www.airitibooks.com/Detail/Detail?PublicationID=P20171228008", "https://www.airitibooks.com/Detail/Detail?PublicationID=P20171228008")</f>
        <v>https://www.airitibooks.com/Detail/Detail?PublicationID=P20171228008</v>
      </c>
      <c r="K2115" s="13" t="str">
        <f>HYPERLINK("https://ntsu.idm.oclc.org/login?url=https://www.airitibooks.com/Detail/Detail?PublicationID=P20171228008", "https://ntsu.idm.oclc.org/login?url=https://www.airitibooks.com/Detail/Detail?PublicationID=P20171228008")</f>
        <v>https://ntsu.idm.oclc.org/login?url=https://www.airitibooks.com/Detail/Detail?PublicationID=P20171228008</v>
      </c>
    </row>
    <row r="2116" spans="1:11" ht="51" x14ac:dyDescent="0.4">
      <c r="A2116" s="10" t="s">
        <v>8171</v>
      </c>
      <c r="B2116" s="10" t="s">
        <v>8172</v>
      </c>
      <c r="C2116" s="10" t="s">
        <v>568</v>
      </c>
      <c r="D2116" s="10" t="s">
        <v>3355</v>
      </c>
      <c r="E2116" s="10" t="s">
        <v>6182</v>
      </c>
      <c r="F2116" s="10" t="s">
        <v>294</v>
      </c>
      <c r="G2116" s="10" t="s">
        <v>76</v>
      </c>
      <c r="H2116" s="7" t="s">
        <v>24</v>
      </c>
      <c r="I2116" s="7" t="s">
        <v>25</v>
      </c>
      <c r="J2116" s="13" t="str">
        <f>HYPERLINK("https://www.airitibooks.com/Detail/Detail?PublicationID=P20180104006", "https://www.airitibooks.com/Detail/Detail?PublicationID=P20180104006")</f>
        <v>https://www.airitibooks.com/Detail/Detail?PublicationID=P20180104006</v>
      </c>
      <c r="K2116" s="13" t="str">
        <f>HYPERLINK("https://ntsu.idm.oclc.org/login?url=https://www.airitibooks.com/Detail/Detail?PublicationID=P20180104006", "https://ntsu.idm.oclc.org/login?url=https://www.airitibooks.com/Detail/Detail?PublicationID=P20180104006")</f>
        <v>https://ntsu.idm.oclc.org/login?url=https://www.airitibooks.com/Detail/Detail?PublicationID=P20180104006</v>
      </c>
    </row>
    <row r="2117" spans="1:11" ht="51" x14ac:dyDescent="0.4">
      <c r="A2117" s="10" t="s">
        <v>8250</v>
      </c>
      <c r="B2117" s="10" t="s">
        <v>8251</v>
      </c>
      <c r="C2117" s="10" t="s">
        <v>7164</v>
      </c>
      <c r="D2117" s="10" t="s">
        <v>8252</v>
      </c>
      <c r="E2117" s="10" t="s">
        <v>6182</v>
      </c>
      <c r="F2117" s="10" t="s">
        <v>7331</v>
      </c>
      <c r="G2117" s="10" t="s">
        <v>76</v>
      </c>
      <c r="H2117" s="7" t="s">
        <v>24</v>
      </c>
      <c r="I2117" s="7" t="s">
        <v>25</v>
      </c>
      <c r="J2117" s="13" t="str">
        <f>HYPERLINK("https://www.airitibooks.com/Detail/Detail?PublicationID=P20180119102", "https://www.airitibooks.com/Detail/Detail?PublicationID=P20180119102")</f>
        <v>https://www.airitibooks.com/Detail/Detail?PublicationID=P20180119102</v>
      </c>
      <c r="K2117" s="13" t="str">
        <f>HYPERLINK("https://ntsu.idm.oclc.org/login?url=https://www.airitibooks.com/Detail/Detail?PublicationID=P20180119102", "https://ntsu.idm.oclc.org/login?url=https://www.airitibooks.com/Detail/Detail?PublicationID=P20180119102")</f>
        <v>https://ntsu.idm.oclc.org/login?url=https://www.airitibooks.com/Detail/Detail?PublicationID=P20180119102</v>
      </c>
    </row>
    <row r="2118" spans="1:11" ht="51" x14ac:dyDescent="0.4">
      <c r="A2118" s="10" t="s">
        <v>8253</v>
      </c>
      <c r="B2118" s="10" t="s">
        <v>8254</v>
      </c>
      <c r="C2118" s="10" t="s">
        <v>7164</v>
      </c>
      <c r="D2118" s="10" t="s">
        <v>8255</v>
      </c>
      <c r="E2118" s="10" t="s">
        <v>6182</v>
      </c>
      <c r="F2118" s="10" t="s">
        <v>8256</v>
      </c>
      <c r="G2118" s="10" t="s">
        <v>76</v>
      </c>
      <c r="H2118" s="7" t="s">
        <v>24</v>
      </c>
      <c r="I2118" s="7" t="s">
        <v>25</v>
      </c>
      <c r="J2118" s="13" t="str">
        <f>HYPERLINK("https://www.airitibooks.com/Detail/Detail?PublicationID=P20180119103", "https://www.airitibooks.com/Detail/Detail?PublicationID=P20180119103")</f>
        <v>https://www.airitibooks.com/Detail/Detail?PublicationID=P20180119103</v>
      </c>
      <c r="K2118" s="13" t="str">
        <f>HYPERLINK("https://ntsu.idm.oclc.org/login?url=https://www.airitibooks.com/Detail/Detail?PublicationID=P20180119103", "https://ntsu.idm.oclc.org/login?url=https://www.airitibooks.com/Detail/Detail?PublicationID=P20180119103")</f>
        <v>https://ntsu.idm.oclc.org/login?url=https://www.airitibooks.com/Detail/Detail?PublicationID=P20180119103</v>
      </c>
    </row>
    <row r="2119" spans="1:11" ht="68" x14ac:dyDescent="0.4">
      <c r="A2119" s="10" t="s">
        <v>8409</v>
      </c>
      <c r="B2119" s="10" t="s">
        <v>8410</v>
      </c>
      <c r="C2119" s="10" t="s">
        <v>938</v>
      </c>
      <c r="D2119" s="10" t="s">
        <v>8411</v>
      </c>
      <c r="E2119" s="10" t="s">
        <v>6182</v>
      </c>
      <c r="F2119" s="10" t="s">
        <v>8412</v>
      </c>
      <c r="G2119" s="10" t="s">
        <v>76</v>
      </c>
      <c r="H2119" s="7" t="s">
        <v>24</v>
      </c>
      <c r="I2119" s="7" t="s">
        <v>25</v>
      </c>
      <c r="J2119" s="13" t="str">
        <f>HYPERLINK("https://www.airitibooks.com/Detail/Detail?PublicationID=P20180208027", "https://www.airitibooks.com/Detail/Detail?PublicationID=P20180208027")</f>
        <v>https://www.airitibooks.com/Detail/Detail?PublicationID=P20180208027</v>
      </c>
      <c r="K2119" s="13" t="str">
        <f>HYPERLINK("https://ntsu.idm.oclc.org/login?url=https://www.airitibooks.com/Detail/Detail?PublicationID=P20180208027", "https://ntsu.idm.oclc.org/login?url=https://www.airitibooks.com/Detail/Detail?PublicationID=P20180208027")</f>
        <v>https://ntsu.idm.oclc.org/login?url=https://www.airitibooks.com/Detail/Detail?PublicationID=P20180208027</v>
      </c>
    </row>
    <row r="2120" spans="1:11" ht="51" x14ac:dyDescent="0.4">
      <c r="A2120" s="10" t="s">
        <v>8413</v>
      </c>
      <c r="B2120" s="10" t="s">
        <v>8414</v>
      </c>
      <c r="C2120" s="10" t="s">
        <v>938</v>
      </c>
      <c r="D2120" s="10" t="s">
        <v>8415</v>
      </c>
      <c r="E2120" s="10" t="s">
        <v>6182</v>
      </c>
      <c r="F2120" s="10" t="s">
        <v>5887</v>
      </c>
      <c r="G2120" s="10" t="s">
        <v>76</v>
      </c>
      <c r="H2120" s="7" t="s">
        <v>24</v>
      </c>
      <c r="I2120" s="7" t="s">
        <v>25</v>
      </c>
      <c r="J2120" s="13" t="str">
        <f>HYPERLINK("https://www.airitibooks.com/Detail/Detail?PublicationID=P20180208038", "https://www.airitibooks.com/Detail/Detail?PublicationID=P20180208038")</f>
        <v>https://www.airitibooks.com/Detail/Detail?PublicationID=P20180208038</v>
      </c>
      <c r="K2120" s="13" t="str">
        <f>HYPERLINK("https://ntsu.idm.oclc.org/login?url=https://www.airitibooks.com/Detail/Detail?PublicationID=P20180208038", "https://ntsu.idm.oclc.org/login?url=https://www.airitibooks.com/Detail/Detail?PublicationID=P20180208038")</f>
        <v>https://ntsu.idm.oclc.org/login?url=https://www.airitibooks.com/Detail/Detail?PublicationID=P20180208038</v>
      </c>
    </row>
    <row r="2121" spans="1:11" ht="51" x14ac:dyDescent="0.4">
      <c r="A2121" s="10" t="s">
        <v>8730</v>
      </c>
      <c r="B2121" s="10" t="s">
        <v>8731</v>
      </c>
      <c r="C2121" s="10" t="s">
        <v>8732</v>
      </c>
      <c r="D2121" s="10" t="s">
        <v>313</v>
      </c>
      <c r="E2121" s="10" t="s">
        <v>6182</v>
      </c>
      <c r="F2121" s="10" t="s">
        <v>8733</v>
      </c>
      <c r="G2121" s="10" t="s">
        <v>76</v>
      </c>
      <c r="H2121" s="7" t="s">
        <v>24</v>
      </c>
      <c r="I2121" s="7" t="s">
        <v>25</v>
      </c>
      <c r="J2121" s="13" t="str">
        <f>HYPERLINK("https://www.airitibooks.com/Detail/Detail?PublicationID=P20180309092", "https://www.airitibooks.com/Detail/Detail?PublicationID=P20180309092")</f>
        <v>https://www.airitibooks.com/Detail/Detail?PublicationID=P20180309092</v>
      </c>
      <c r="K2121" s="13" t="str">
        <f>HYPERLINK("https://ntsu.idm.oclc.org/login?url=https://www.airitibooks.com/Detail/Detail?PublicationID=P20180309092", "https://ntsu.idm.oclc.org/login?url=https://www.airitibooks.com/Detail/Detail?PublicationID=P20180309092")</f>
        <v>https://ntsu.idm.oclc.org/login?url=https://www.airitibooks.com/Detail/Detail?PublicationID=P20180309092</v>
      </c>
    </row>
    <row r="2122" spans="1:11" ht="68" x14ac:dyDescent="0.4">
      <c r="A2122" s="10" t="s">
        <v>8759</v>
      </c>
      <c r="B2122" s="10" t="s">
        <v>8760</v>
      </c>
      <c r="C2122" s="10" t="s">
        <v>240</v>
      </c>
      <c r="D2122" s="10" t="s">
        <v>8761</v>
      </c>
      <c r="E2122" s="10" t="s">
        <v>6182</v>
      </c>
      <c r="F2122" s="10" t="s">
        <v>8762</v>
      </c>
      <c r="G2122" s="10" t="s">
        <v>76</v>
      </c>
      <c r="H2122" s="7" t="s">
        <v>24</v>
      </c>
      <c r="I2122" s="7" t="s">
        <v>25</v>
      </c>
      <c r="J2122" s="13" t="str">
        <f>HYPERLINK("https://www.airitibooks.com/Detail/Detail?PublicationID=P20180323023", "https://www.airitibooks.com/Detail/Detail?PublicationID=P20180323023")</f>
        <v>https://www.airitibooks.com/Detail/Detail?PublicationID=P20180323023</v>
      </c>
      <c r="K2122" s="13" t="str">
        <f>HYPERLINK("https://ntsu.idm.oclc.org/login?url=https://www.airitibooks.com/Detail/Detail?PublicationID=P20180323023", "https://ntsu.idm.oclc.org/login?url=https://www.airitibooks.com/Detail/Detail?PublicationID=P20180323023")</f>
        <v>https://ntsu.idm.oclc.org/login?url=https://www.airitibooks.com/Detail/Detail?PublicationID=P20180323023</v>
      </c>
    </row>
    <row r="2123" spans="1:11" ht="85" x14ac:dyDescent="0.4">
      <c r="A2123" s="10" t="s">
        <v>8791</v>
      </c>
      <c r="B2123" s="10" t="s">
        <v>8792</v>
      </c>
      <c r="C2123" s="10" t="s">
        <v>848</v>
      </c>
      <c r="D2123" s="10" t="s">
        <v>8793</v>
      </c>
      <c r="E2123" s="10" t="s">
        <v>6182</v>
      </c>
      <c r="F2123" s="10" t="s">
        <v>8794</v>
      </c>
      <c r="G2123" s="10" t="s">
        <v>76</v>
      </c>
      <c r="H2123" s="7" t="s">
        <v>24</v>
      </c>
      <c r="I2123" s="7" t="s">
        <v>25</v>
      </c>
      <c r="J2123" s="13" t="str">
        <f>HYPERLINK("https://www.airitibooks.com/Detail/Detail?PublicationID=P20180323079", "https://www.airitibooks.com/Detail/Detail?PublicationID=P20180323079")</f>
        <v>https://www.airitibooks.com/Detail/Detail?PublicationID=P20180323079</v>
      </c>
      <c r="K2123" s="13" t="str">
        <f>HYPERLINK("https://ntsu.idm.oclc.org/login?url=https://www.airitibooks.com/Detail/Detail?PublicationID=P20180323079", "https://ntsu.idm.oclc.org/login?url=https://www.airitibooks.com/Detail/Detail?PublicationID=P20180323079")</f>
        <v>https://ntsu.idm.oclc.org/login?url=https://www.airitibooks.com/Detail/Detail?PublicationID=P20180323079</v>
      </c>
    </row>
    <row r="2124" spans="1:11" ht="51" x14ac:dyDescent="0.4">
      <c r="A2124" s="10" t="s">
        <v>8900</v>
      </c>
      <c r="B2124" s="10" t="s">
        <v>8901</v>
      </c>
      <c r="C2124" s="10" t="s">
        <v>938</v>
      </c>
      <c r="D2124" s="10" t="s">
        <v>2471</v>
      </c>
      <c r="E2124" s="10" t="s">
        <v>6182</v>
      </c>
      <c r="F2124" s="10" t="s">
        <v>8902</v>
      </c>
      <c r="G2124" s="10" t="s">
        <v>76</v>
      </c>
      <c r="H2124" s="7" t="s">
        <v>24</v>
      </c>
      <c r="I2124" s="7" t="s">
        <v>25</v>
      </c>
      <c r="J2124" s="13" t="str">
        <f>HYPERLINK("https://www.airitibooks.com/Detail/Detail?PublicationID=P20180413029", "https://www.airitibooks.com/Detail/Detail?PublicationID=P20180413029")</f>
        <v>https://www.airitibooks.com/Detail/Detail?PublicationID=P20180413029</v>
      </c>
      <c r="K2124" s="13" t="str">
        <f>HYPERLINK("https://ntsu.idm.oclc.org/login?url=https://www.airitibooks.com/Detail/Detail?PublicationID=P20180413029", "https://ntsu.idm.oclc.org/login?url=https://www.airitibooks.com/Detail/Detail?PublicationID=P20180413029")</f>
        <v>https://ntsu.idm.oclc.org/login?url=https://www.airitibooks.com/Detail/Detail?PublicationID=P20180413029</v>
      </c>
    </row>
    <row r="2125" spans="1:11" ht="51" x14ac:dyDescent="0.4">
      <c r="A2125" s="10" t="s">
        <v>8930</v>
      </c>
      <c r="B2125" s="10" t="s">
        <v>8931</v>
      </c>
      <c r="C2125" s="10" t="s">
        <v>938</v>
      </c>
      <c r="D2125" s="10" t="s">
        <v>8932</v>
      </c>
      <c r="E2125" s="10" t="s">
        <v>6182</v>
      </c>
      <c r="F2125" s="10" t="s">
        <v>8933</v>
      </c>
      <c r="G2125" s="10" t="s">
        <v>76</v>
      </c>
      <c r="H2125" s="7" t="s">
        <v>24</v>
      </c>
      <c r="I2125" s="7" t="s">
        <v>25</v>
      </c>
      <c r="J2125" s="13" t="str">
        <f>HYPERLINK("https://www.airitibooks.com/Detail/Detail?PublicationID=P20180413042", "https://www.airitibooks.com/Detail/Detail?PublicationID=P20180413042")</f>
        <v>https://www.airitibooks.com/Detail/Detail?PublicationID=P20180413042</v>
      </c>
      <c r="K2125" s="13" t="str">
        <f>HYPERLINK("https://ntsu.idm.oclc.org/login?url=https://www.airitibooks.com/Detail/Detail?PublicationID=P20180413042", "https://ntsu.idm.oclc.org/login?url=https://www.airitibooks.com/Detail/Detail?PublicationID=P20180413042")</f>
        <v>https://ntsu.idm.oclc.org/login?url=https://www.airitibooks.com/Detail/Detail?PublicationID=P20180413042</v>
      </c>
    </row>
    <row r="2126" spans="1:11" ht="85" x14ac:dyDescent="0.4">
      <c r="A2126" s="10" t="s">
        <v>8985</v>
      </c>
      <c r="B2126" s="10" t="s">
        <v>8986</v>
      </c>
      <c r="C2126" s="10" t="s">
        <v>791</v>
      </c>
      <c r="D2126" s="10" t="s">
        <v>3197</v>
      </c>
      <c r="E2126" s="10" t="s">
        <v>6182</v>
      </c>
      <c r="F2126" s="10" t="s">
        <v>1921</v>
      </c>
      <c r="G2126" s="10" t="s">
        <v>76</v>
      </c>
      <c r="H2126" s="7" t="s">
        <v>24</v>
      </c>
      <c r="I2126" s="7" t="s">
        <v>25</v>
      </c>
      <c r="J2126" s="13" t="str">
        <f>HYPERLINK("https://www.airitibooks.com/Detail/Detail?PublicationID=P20180413086", "https://www.airitibooks.com/Detail/Detail?PublicationID=P20180413086")</f>
        <v>https://www.airitibooks.com/Detail/Detail?PublicationID=P20180413086</v>
      </c>
      <c r="K2126" s="13" t="str">
        <f>HYPERLINK("https://ntsu.idm.oclc.org/login?url=https://www.airitibooks.com/Detail/Detail?PublicationID=P20180413086", "https://ntsu.idm.oclc.org/login?url=https://www.airitibooks.com/Detail/Detail?PublicationID=P20180413086")</f>
        <v>https://ntsu.idm.oclc.org/login?url=https://www.airitibooks.com/Detail/Detail?PublicationID=P20180413086</v>
      </c>
    </row>
    <row r="2127" spans="1:11" ht="51" x14ac:dyDescent="0.4">
      <c r="A2127" s="10" t="s">
        <v>9077</v>
      </c>
      <c r="B2127" s="10" t="s">
        <v>9078</v>
      </c>
      <c r="C2127" s="10" t="s">
        <v>9079</v>
      </c>
      <c r="D2127" s="10" t="s">
        <v>9080</v>
      </c>
      <c r="E2127" s="10" t="s">
        <v>6182</v>
      </c>
      <c r="F2127" s="10" t="s">
        <v>9081</v>
      </c>
      <c r="G2127" s="10" t="s">
        <v>76</v>
      </c>
      <c r="H2127" s="7" t="s">
        <v>24</v>
      </c>
      <c r="I2127" s="7" t="s">
        <v>25</v>
      </c>
      <c r="J2127" s="13" t="str">
        <f>HYPERLINK("https://www.airitibooks.com/Detail/Detail?PublicationID=P20180413207", "https://www.airitibooks.com/Detail/Detail?PublicationID=P20180413207")</f>
        <v>https://www.airitibooks.com/Detail/Detail?PublicationID=P20180413207</v>
      </c>
      <c r="K2127" s="13" t="str">
        <f>HYPERLINK("https://ntsu.idm.oclc.org/login?url=https://www.airitibooks.com/Detail/Detail?PublicationID=P20180413207", "https://ntsu.idm.oclc.org/login?url=https://www.airitibooks.com/Detail/Detail?PublicationID=P20180413207")</f>
        <v>https://ntsu.idm.oclc.org/login?url=https://www.airitibooks.com/Detail/Detail?PublicationID=P20180413207</v>
      </c>
    </row>
    <row r="2128" spans="1:11" ht="68" x14ac:dyDescent="0.4">
      <c r="A2128" s="10" t="s">
        <v>9185</v>
      </c>
      <c r="B2128" s="10" t="s">
        <v>9186</v>
      </c>
      <c r="C2128" s="10" t="s">
        <v>3705</v>
      </c>
      <c r="D2128" s="10" t="s">
        <v>9187</v>
      </c>
      <c r="E2128" s="10" t="s">
        <v>6182</v>
      </c>
      <c r="F2128" s="10" t="s">
        <v>9188</v>
      </c>
      <c r="G2128" s="10" t="s">
        <v>76</v>
      </c>
      <c r="H2128" s="7" t="s">
        <v>24</v>
      </c>
      <c r="I2128" s="7" t="s">
        <v>25</v>
      </c>
      <c r="J2128" s="13" t="str">
        <f>HYPERLINK("https://www.airitibooks.com/Detail/Detail?PublicationID=P20180511057", "https://www.airitibooks.com/Detail/Detail?PublicationID=P20180511057")</f>
        <v>https://www.airitibooks.com/Detail/Detail?PublicationID=P20180511057</v>
      </c>
      <c r="K2128" s="13" t="str">
        <f>HYPERLINK("https://ntsu.idm.oclc.org/login?url=https://www.airitibooks.com/Detail/Detail?PublicationID=P20180511057", "https://ntsu.idm.oclc.org/login?url=https://www.airitibooks.com/Detail/Detail?PublicationID=P20180511057")</f>
        <v>https://ntsu.idm.oclc.org/login?url=https://www.airitibooks.com/Detail/Detail?PublicationID=P20180511057</v>
      </c>
    </row>
    <row r="2129" spans="1:11" ht="51" x14ac:dyDescent="0.4">
      <c r="A2129" s="10" t="s">
        <v>9189</v>
      </c>
      <c r="B2129" s="10" t="s">
        <v>9190</v>
      </c>
      <c r="C2129" s="10" t="s">
        <v>3705</v>
      </c>
      <c r="D2129" s="10" t="s">
        <v>9191</v>
      </c>
      <c r="E2129" s="10" t="s">
        <v>6182</v>
      </c>
      <c r="F2129" s="10" t="s">
        <v>9192</v>
      </c>
      <c r="G2129" s="10" t="s">
        <v>76</v>
      </c>
      <c r="H2129" s="7" t="s">
        <v>24</v>
      </c>
      <c r="I2129" s="7" t="s">
        <v>25</v>
      </c>
      <c r="J2129" s="13" t="str">
        <f>HYPERLINK("https://www.airitibooks.com/Detail/Detail?PublicationID=P20180511059", "https://www.airitibooks.com/Detail/Detail?PublicationID=P20180511059")</f>
        <v>https://www.airitibooks.com/Detail/Detail?PublicationID=P20180511059</v>
      </c>
      <c r="K2129" s="13" t="str">
        <f>HYPERLINK("https://ntsu.idm.oclc.org/login?url=https://www.airitibooks.com/Detail/Detail?PublicationID=P20180511059", "https://ntsu.idm.oclc.org/login?url=https://www.airitibooks.com/Detail/Detail?PublicationID=P20180511059")</f>
        <v>https://ntsu.idm.oclc.org/login?url=https://www.airitibooks.com/Detail/Detail?PublicationID=P20180511059</v>
      </c>
    </row>
    <row r="2130" spans="1:11" ht="51" x14ac:dyDescent="0.4">
      <c r="A2130" s="10" t="s">
        <v>9458</v>
      </c>
      <c r="B2130" s="10" t="s">
        <v>9459</v>
      </c>
      <c r="C2130" s="10" t="s">
        <v>990</v>
      </c>
      <c r="D2130" s="10" t="s">
        <v>9460</v>
      </c>
      <c r="E2130" s="10" t="s">
        <v>6182</v>
      </c>
      <c r="F2130" s="10" t="s">
        <v>2275</v>
      </c>
      <c r="G2130" s="10" t="s">
        <v>76</v>
      </c>
      <c r="H2130" s="7" t="s">
        <v>24</v>
      </c>
      <c r="I2130" s="7" t="s">
        <v>25</v>
      </c>
      <c r="J2130" s="13" t="str">
        <f>HYPERLINK("https://www.airitibooks.com/Detail/Detail?PublicationID=P20180622003", "https://www.airitibooks.com/Detail/Detail?PublicationID=P20180622003")</f>
        <v>https://www.airitibooks.com/Detail/Detail?PublicationID=P20180622003</v>
      </c>
      <c r="K2130" s="13" t="str">
        <f>HYPERLINK("https://ntsu.idm.oclc.org/login?url=https://www.airitibooks.com/Detail/Detail?PublicationID=P20180622003", "https://ntsu.idm.oclc.org/login?url=https://www.airitibooks.com/Detail/Detail?PublicationID=P20180622003")</f>
        <v>https://ntsu.idm.oclc.org/login?url=https://www.airitibooks.com/Detail/Detail?PublicationID=P20180622003</v>
      </c>
    </row>
    <row r="2131" spans="1:11" ht="51" x14ac:dyDescent="0.4">
      <c r="A2131" s="10" t="s">
        <v>9681</v>
      </c>
      <c r="B2131" s="10" t="s">
        <v>9682</v>
      </c>
      <c r="C2131" s="10" t="s">
        <v>467</v>
      </c>
      <c r="D2131" s="10" t="s">
        <v>9683</v>
      </c>
      <c r="E2131" s="10" t="s">
        <v>6182</v>
      </c>
      <c r="F2131" s="10" t="s">
        <v>9684</v>
      </c>
      <c r="G2131" s="10" t="s">
        <v>76</v>
      </c>
      <c r="H2131" s="7" t="s">
        <v>24</v>
      </c>
      <c r="I2131" s="7" t="s">
        <v>25</v>
      </c>
      <c r="J2131" s="13" t="str">
        <f>HYPERLINK("https://www.airitibooks.com/Detail/Detail?PublicationID=P20180816009", "https://www.airitibooks.com/Detail/Detail?PublicationID=P20180816009")</f>
        <v>https://www.airitibooks.com/Detail/Detail?PublicationID=P20180816009</v>
      </c>
      <c r="K2131" s="13" t="str">
        <f>HYPERLINK("https://ntsu.idm.oclc.org/login?url=https://www.airitibooks.com/Detail/Detail?PublicationID=P20180816009", "https://ntsu.idm.oclc.org/login?url=https://www.airitibooks.com/Detail/Detail?PublicationID=P20180816009")</f>
        <v>https://ntsu.idm.oclc.org/login?url=https://www.airitibooks.com/Detail/Detail?PublicationID=P20180816009</v>
      </c>
    </row>
    <row r="2132" spans="1:11" ht="68" x14ac:dyDescent="0.4">
      <c r="A2132" s="10" t="s">
        <v>9698</v>
      </c>
      <c r="B2132" s="10" t="s">
        <v>9699</v>
      </c>
      <c r="C2132" s="10" t="s">
        <v>7750</v>
      </c>
      <c r="D2132" s="10" t="s">
        <v>9700</v>
      </c>
      <c r="E2132" s="10" t="s">
        <v>6182</v>
      </c>
      <c r="F2132" s="10" t="s">
        <v>9701</v>
      </c>
      <c r="G2132" s="10" t="s">
        <v>76</v>
      </c>
      <c r="H2132" s="7" t="s">
        <v>24</v>
      </c>
      <c r="I2132" s="7" t="s">
        <v>25</v>
      </c>
      <c r="J2132" s="13" t="str">
        <f>HYPERLINK("https://www.airitibooks.com/Detail/Detail?PublicationID=P20180816041", "https://www.airitibooks.com/Detail/Detail?PublicationID=P20180816041")</f>
        <v>https://www.airitibooks.com/Detail/Detail?PublicationID=P20180816041</v>
      </c>
      <c r="K2132" s="13" t="str">
        <f>HYPERLINK("https://ntsu.idm.oclc.org/login?url=https://www.airitibooks.com/Detail/Detail?PublicationID=P20180816041", "https://ntsu.idm.oclc.org/login?url=https://www.airitibooks.com/Detail/Detail?PublicationID=P20180816041")</f>
        <v>https://ntsu.idm.oclc.org/login?url=https://www.airitibooks.com/Detail/Detail?PublicationID=P20180816041</v>
      </c>
    </row>
    <row r="2133" spans="1:11" ht="68" x14ac:dyDescent="0.4">
      <c r="A2133" s="10" t="s">
        <v>9702</v>
      </c>
      <c r="B2133" s="10" t="s">
        <v>9703</v>
      </c>
      <c r="C2133" s="10" t="s">
        <v>7750</v>
      </c>
      <c r="D2133" s="10" t="s">
        <v>9704</v>
      </c>
      <c r="E2133" s="10" t="s">
        <v>6182</v>
      </c>
      <c r="F2133" s="10" t="s">
        <v>9705</v>
      </c>
      <c r="G2133" s="10" t="s">
        <v>76</v>
      </c>
      <c r="H2133" s="7" t="s">
        <v>24</v>
      </c>
      <c r="I2133" s="7" t="s">
        <v>25</v>
      </c>
      <c r="J2133" s="13" t="str">
        <f>HYPERLINK("https://www.airitibooks.com/Detail/Detail?PublicationID=P20180816042", "https://www.airitibooks.com/Detail/Detail?PublicationID=P20180816042")</f>
        <v>https://www.airitibooks.com/Detail/Detail?PublicationID=P20180816042</v>
      </c>
      <c r="K2133" s="13" t="str">
        <f>HYPERLINK("https://ntsu.idm.oclc.org/login?url=https://www.airitibooks.com/Detail/Detail?PublicationID=P20180816042", "https://ntsu.idm.oclc.org/login?url=https://www.airitibooks.com/Detail/Detail?PublicationID=P20180816042")</f>
        <v>https://ntsu.idm.oclc.org/login?url=https://www.airitibooks.com/Detail/Detail?PublicationID=P20180816042</v>
      </c>
    </row>
    <row r="2134" spans="1:11" ht="51" x14ac:dyDescent="0.4">
      <c r="A2134" s="10" t="s">
        <v>9728</v>
      </c>
      <c r="B2134" s="10" t="s">
        <v>9729</v>
      </c>
      <c r="C2134" s="10" t="s">
        <v>1296</v>
      </c>
      <c r="D2134" s="10" t="s">
        <v>9730</v>
      </c>
      <c r="E2134" s="10" t="s">
        <v>6182</v>
      </c>
      <c r="F2134" s="10" t="s">
        <v>4147</v>
      </c>
      <c r="G2134" s="10" t="s">
        <v>76</v>
      </c>
      <c r="H2134" s="7" t="s">
        <v>24</v>
      </c>
      <c r="I2134" s="7" t="s">
        <v>25</v>
      </c>
      <c r="J2134" s="13" t="str">
        <f>HYPERLINK("https://www.airitibooks.com/Detail/Detail?PublicationID=P20180821013", "https://www.airitibooks.com/Detail/Detail?PublicationID=P20180821013")</f>
        <v>https://www.airitibooks.com/Detail/Detail?PublicationID=P20180821013</v>
      </c>
      <c r="K2134" s="13" t="str">
        <f>HYPERLINK("https://ntsu.idm.oclc.org/login?url=https://www.airitibooks.com/Detail/Detail?PublicationID=P20180821013", "https://ntsu.idm.oclc.org/login?url=https://www.airitibooks.com/Detail/Detail?PublicationID=P20180821013")</f>
        <v>https://ntsu.idm.oclc.org/login?url=https://www.airitibooks.com/Detail/Detail?PublicationID=P20180821013</v>
      </c>
    </row>
    <row r="2135" spans="1:11" ht="102" x14ac:dyDescent="0.4">
      <c r="A2135" s="10" t="s">
        <v>9745</v>
      </c>
      <c r="B2135" s="10" t="s">
        <v>9746</v>
      </c>
      <c r="C2135" s="10" t="s">
        <v>1296</v>
      </c>
      <c r="D2135" s="10" t="s">
        <v>9747</v>
      </c>
      <c r="E2135" s="10" t="s">
        <v>6182</v>
      </c>
      <c r="F2135" s="10" t="s">
        <v>9748</v>
      </c>
      <c r="G2135" s="10" t="s">
        <v>76</v>
      </c>
      <c r="H2135" s="7" t="s">
        <v>24</v>
      </c>
      <c r="I2135" s="7" t="s">
        <v>25</v>
      </c>
      <c r="J2135" s="13" t="str">
        <f>HYPERLINK("https://www.airitibooks.com/Detail/Detail?PublicationID=P20180822019", "https://www.airitibooks.com/Detail/Detail?PublicationID=P20180822019")</f>
        <v>https://www.airitibooks.com/Detail/Detail?PublicationID=P20180822019</v>
      </c>
      <c r="K2135" s="13" t="str">
        <f>HYPERLINK("https://ntsu.idm.oclc.org/login?url=https://www.airitibooks.com/Detail/Detail?PublicationID=P20180822019", "https://ntsu.idm.oclc.org/login?url=https://www.airitibooks.com/Detail/Detail?PublicationID=P20180822019")</f>
        <v>https://ntsu.idm.oclc.org/login?url=https://www.airitibooks.com/Detail/Detail?PublicationID=P20180822019</v>
      </c>
    </row>
    <row r="2136" spans="1:11" ht="51" x14ac:dyDescent="0.4">
      <c r="A2136" s="10" t="s">
        <v>9786</v>
      </c>
      <c r="B2136" s="10" t="s">
        <v>9787</v>
      </c>
      <c r="C2136" s="10" t="s">
        <v>9788</v>
      </c>
      <c r="D2136" s="10" t="s">
        <v>9789</v>
      </c>
      <c r="E2136" s="10" t="s">
        <v>6182</v>
      </c>
      <c r="F2136" s="10" t="s">
        <v>5854</v>
      </c>
      <c r="G2136" s="10" t="s">
        <v>76</v>
      </c>
      <c r="H2136" s="7" t="s">
        <v>1031</v>
      </c>
      <c r="I2136" s="7" t="s">
        <v>25</v>
      </c>
      <c r="J2136" s="13" t="str">
        <f>HYPERLINK("https://www.airitibooks.com/Detail/Detail?PublicationID=P20180906015", "https://www.airitibooks.com/Detail/Detail?PublicationID=P20180906015")</f>
        <v>https://www.airitibooks.com/Detail/Detail?PublicationID=P20180906015</v>
      </c>
      <c r="K2136" s="13" t="str">
        <f>HYPERLINK("https://ntsu.idm.oclc.org/login?url=https://www.airitibooks.com/Detail/Detail?PublicationID=P20180906015", "https://ntsu.idm.oclc.org/login?url=https://www.airitibooks.com/Detail/Detail?PublicationID=P20180906015")</f>
        <v>https://ntsu.idm.oclc.org/login?url=https://www.airitibooks.com/Detail/Detail?PublicationID=P20180906015</v>
      </c>
    </row>
    <row r="2137" spans="1:11" ht="51" x14ac:dyDescent="0.4">
      <c r="A2137" s="10" t="s">
        <v>9790</v>
      </c>
      <c r="B2137" s="10" t="s">
        <v>9791</v>
      </c>
      <c r="C2137" s="10" t="s">
        <v>9788</v>
      </c>
      <c r="D2137" s="10" t="s">
        <v>9792</v>
      </c>
      <c r="E2137" s="10" t="s">
        <v>6182</v>
      </c>
      <c r="F2137" s="10" t="s">
        <v>5887</v>
      </c>
      <c r="G2137" s="10" t="s">
        <v>76</v>
      </c>
      <c r="H2137" s="7" t="s">
        <v>1031</v>
      </c>
      <c r="I2137" s="7" t="s">
        <v>25</v>
      </c>
      <c r="J2137" s="13" t="str">
        <f>HYPERLINK("https://www.airitibooks.com/Detail/Detail?PublicationID=P20180907018", "https://www.airitibooks.com/Detail/Detail?PublicationID=P20180907018")</f>
        <v>https://www.airitibooks.com/Detail/Detail?PublicationID=P20180907018</v>
      </c>
      <c r="K2137" s="13" t="str">
        <f>HYPERLINK("https://ntsu.idm.oclc.org/login?url=https://www.airitibooks.com/Detail/Detail?PublicationID=P20180907018", "https://ntsu.idm.oclc.org/login?url=https://www.airitibooks.com/Detail/Detail?PublicationID=P20180907018")</f>
        <v>https://ntsu.idm.oclc.org/login?url=https://www.airitibooks.com/Detail/Detail?PublicationID=P20180907018</v>
      </c>
    </row>
    <row r="2138" spans="1:11" ht="51" x14ac:dyDescent="0.4">
      <c r="A2138" s="10" t="s">
        <v>9793</v>
      </c>
      <c r="B2138" s="10" t="s">
        <v>9794</v>
      </c>
      <c r="C2138" s="10" t="s">
        <v>9788</v>
      </c>
      <c r="D2138" s="10" t="s">
        <v>9795</v>
      </c>
      <c r="E2138" s="10" t="s">
        <v>6182</v>
      </c>
      <c r="F2138" s="10" t="s">
        <v>5255</v>
      </c>
      <c r="G2138" s="10" t="s">
        <v>76</v>
      </c>
      <c r="H2138" s="7" t="s">
        <v>1031</v>
      </c>
      <c r="I2138" s="7" t="s">
        <v>25</v>
      </c>
      <c r="J2138" s="13" t="str">
        <f>HYPERLINK("https://www.airitibooks.com/Detail/Detail?PublicationID=P20180907026", "https://www.airitibooks.com/Detail/Detail?PublicationID=P20180907026")</f>
        <v>https://www.airitibooks.com/Detail/Detail?PublicationID=P20180907026</v>
      </c>
      <c r="K2138" s="13" t="str">
        <f>HYPERLINK("https://ntsu.idm.oclc.org/login?url=https://www.airitibooks.com/Detail/Detail?PublicationID=P20180907026", "https://ntsu.idm.oclc.org/login?url=https://www.airitibooks.com/Detail/Detail?PublicationID=P20180907026")</f>
        <v>https://ntsu.idm.oclc.org/login?url=https://www.airitibooks.com/Detail/Detail?PublicationID=P20180907026</v>
      </c>
    </row>
    <row r="2139" spans="1:11" ht="51" x14ac:dyDescent="0.4">
      <c r="A2139" s="10" t="s">
        <v>9807</v>
      </c>
      <c r="B2139" s="10" t="s">
        <v>9808</v>
      </c>
      <c r="C2139" s="10" t="s">
        <v>838</v>
      </c>
      <c r="D2139" s="10" t="s">
        <v>9809</v>
      </c>
      <c r="E2139" s="10" t="s">
        <v>6182</v>
      </c>
      <c r="F2139" s="10" t="s">
        <v>1092</v>
      </c>
      <c r="G2139" s="10" t="s">
        <v>76</v>
      </c>
      <c r="H2139" s="7" t="s">
        <v>24</v>
      </c>
      <c r="I2139" s="7" t="s">
        <v>25</v>
      </c>
      <c r="J2139" s="13" t="str">
        <f>HYPERLINK("https://www.airitibooks.com/Detail/Detail?PublicationID=P20180910010", "https://www.airitibooks.com/Detail/Detail?PublicationID=P20180910010")</f>
        <v>https://www.airitibooks.com/Detail/Detail?PublicationID=P20180910010</v>
      </c>
      <c r="K2139" s="13" t="str">
        <f>HYPERLINK("https://ntsu.idm.oclc.org/login?url=https://www.airitibooks.com/Detail/Detail?PublicationID=P20180910010", "https://ntsu.idm.oclc.org/login?url=https://www.airitibooks.com/Detail/Detail?PublicationID=P20180910010")</f>
        <v>https://ntsu.idm.oclc.org/login?url=https://www.airitibooks.com/Detail/Detail?PublicationID=P20180910010</v>
      </c>
    </row>
    <row r="2140" spans="1:11" ht="51" x14ac:dyDescent="0.4">
      <c r="A2140" s="10" t="s">
        <v>9818</v>
      </c>
      <c r="B2140" s="10" t="s">
        <v>9819</v>
      </c>
      <c r="C2140" s="10" t="s">
        <v>9788</v>
      </c>
      <c r="D2140" s="10" t="s">
        <v>9820</v>
      </c>
      <c r="E2140" s="10" t="s">
        <v>6182</v>
      </c>
      <c r="F2140" s="10" t="s">
        <v>9821</v>
      </c>
      <c r="G2140" s="10" t="s">
        <v>76</v>
      </c>
      <c r="H2140" s="7" t="s">
        <v>1031</v>
      </c>
      <c r="I2140" s="7" t="s">
        <v>25</v>
      </c>
      <c r="J2140" s="13" t="str">
        <f>HYPERLINK("https://www.airitibooks.com/Detail/Detail?PublicationID=P20180910030", "https://www.airitibooks.com/Detail/Detail?PublicationID=P20180910030")</f>
        <v>https://www.airitibooks.com/Detail/Detail?PublicationID=P20180910030</v>
      </c>
      <c r="K2140" s="13" t="str">
        <f>HYPERLINK("https://ntsu.idm.oclc.org/login?url=https://www.airitibooks.com/Detail/Detail?PublicationID=P20180910030", "https://ntsu.idm.oclc.org/login?url=https://www.airitibooks.com/Detail/Detail?PublicationID=P20180910030")</f>
        <v>https://ntsu.idm.oclc.org/login?url=https://www.airitibooks.com/Detail/Detail?PublicationID=P20180910030</v>
      </c>
    </row>
    <row r="2141" spans="1:11" ht="51" x14ac:dyDescent="0.4">
      <c r="A2141" s="10" t="s">
        <v>9822</v>
      </c>
      <c r="B2141" s="10" t="s">
        <v>9823</v>
      </c>
      <c r="C2141" s="10" t="s">
        <v>9788</v>
      </c>
      <c r="D2141" s="10" t="s">
        <v>9824</v>
      </c>
      <c r="E2141" s="10" t="s">
        <v>6182</v>
      </c>
      <c r="F2141" s="10" t="s">
        <v>9825</v>
      </c>
      <c r="G2141" s="10" t="s">
        <v>76</v>
      </c>
      <c r="H2141" s="7" t="s">
        <v>1031</v>
      </c>
      <c r="I2141" s="7" t="s">
        <v>25</v>
      </c>
      <c r="J2141" s="13" t="str">
        <f>HYPERLINK("https://www.airitibooks.com/Detail/Detail?PublicationID=P20180911030", "https://www.airitibooks.com/Detail/Detail?PublicationID=P20180911030")</f>
        <v>https://www.airitibooks.com/Detail/Detail?PublicationID=P20180911030</v>
      </c>
      <c r="K2141" s="13" t="str">
        <f>HYPERLINK("https://ntsu.idm.oclc.org/login?url=https://www.airitibooks.com/Detail/Detail?PublicationID=P20180911030", "https://ntsu.idm.oclc.org/login?url=https://www.airitibooks.com/Detail/Detail?PublicationID=P20180911030")</f>
        <v>https://ntsu.idm.oclc.org/login?url=https://www.airitibooks.com/Detail/Detail?PublicationID=P20180911030</v>
      </c>
    </row>
    <row r="2142" spans="1:11" ht="51" x14ac:dyDescent="0.4">
      <c r="A2142" s="10" t="s">
        <v>9826</v>
      </c>
      <c r="B2142" s="10" t="s">
        <v>9827</v>
      </c>
      <c r="C2142" s="10" t="s">
        <v>9828</v>
      </c>
      <c r="D2142" s="10" t="s">
        <v>9829</v>
      </c>
      <c r="E2142" s="10" t="s">
        <v>6182</v>
      </c>
      <c r="F2142" s="10" t="s">
        <v>4606</v>
      </c>
      <c r="G2142" s="10" t="s">
        <v>76</v>
      </c>
      <c r="H2142" s="7" t="s">
        <v>1031</v>
      </c>
      <c r="I2142" s="7" t="s">
        <v>25</v>
      </c>
      <c r="J2142" s="13" t="str">
        <f>HYPERLINK("https://www.airitibooks.com/Detail/Detail?PublicationID=P20180911031", "https://www.airitibooks.com/Detail/Detail?PublicationID=P20180911031")</f>
        <v>https://www.airitibooks.com/Detail/Detail?PublicationID=P20180911031</v>
      </c>
      <c r="K2142" s="13" t="str">
        <f>HYPERLINK("https://ntsu.idm.oclc.org/login?url=https://www.airitibooks.com/Detail/Detail?PublicationID=P20180911031", "https://ntsu.idm.oclc.org/login?url=https://www.airitibooks.com/Detail/Detail?PublicationID=P20180911031")</f>
        <v>https://ntsu.idm.oclc.org/login?url=https://www.airitibooks.com/Detail/Detail?PublicationID=P20180911031</v>
      </c>
    </row>
    <row r="2143" spans="1:11" ht="51" x14ac:dyDescent="0.4">
      <c r="A2143" s="10" t="s">
        <v>9830</v>
      </c>
      <c r="B2143" s="10" t="s">
        <v>9831</v>
      </c>
      <c r="C2143" s="10" t="s">
        <v>9788</v>
      </c>
      <c r="D2143" s="10" t="s">
        <v>9832</v>
      </c>
      <c r="E2143" s="10" t="s">
        <v>6182</v>
      </c>
      <c r="F2143" s="10" t="s">
        <v>9833</v>
      </c>
      <c r="G2143" s="10" t="s">
        <v>76</v>
      </c>
      <c r="H2143" s="7" t="s">
        <v>1031</v>
      </c>
      <c r="I2143" s="7" t="s">
        <v>25</v>
      </c>
      <c r="J2143" s="13" t="str">
        <f>HYPERLINK("https://www.airitibooks.com/Detail/Detail?PublicationID=P20180912033", "https://www.airitibooks.com/Detail/Detail?PublicationID=P20180912033")</f>
        <v>https://www.airitibooks.com/Detail/Detail?PublicationID=P20180912033</v>
      </c>
      <c r="K2143" s="13" t="str">
        <f>HYPERLINK("https://ntsu.idm.oclc.org/login?url=https://www.airitibooks.com/Detail/Detail?PublicationID=P20180912033", "https://ntsu.idm.oclc.org/login?url=https://www.airitibooks.com/Detail/Detail?PublicationID=P20180912033")</f>
        <v>https://ntsu.idm.oclc.org/login?url=https://www.airitibooks.com/Detail/Detail?PublicationID=P20180912033</v>
      </c>
    </row>
    <row r="2144" spans="1:11" ht="68" x14ac:dyDescent="0.4">
      <c r="A2144" s="10" t="s">
        <v>9834</v>
      </c>
      <c r="B2144" s="10" t="s">
        <v>9835</v>
      </c>
      <c r="C2144" s="10" t="s">
        <v>9788</v>
      </c>
      <c r="D2144" s="10" t="s">
        <v>9836</v>
      </c>
      <c r="E2144" s="10" t="s">
        <v>6182</v>
      </c>
      <c r="F2144" s="10" t="s">
        <v>5248</v>
      </c>
      <c r="G2144" s="10" t="s">
        <v>76</v>
      </c>
      <c r="H2144" s="7" t="s">
        <v>1031</v>
      </c>
      <c r="I2144" s="7" t="s">
        <v>25</v>
      </c>
      <c r="J2144" s="13" t="str">
        <f>HYPERLINK("https://www.airitibooks.com/Detail/Detail?PublicationID=P20180913008", "https://www.airitibooks.com/Detail/Detail?PublicationID=P20180913008")</f>
        <v>https://www.airitibooks.com/Detail/Detail?PublicationID=P20180913008</v>
      </c>
      <c r="K2144" s="13" t="str">
        <f>HYPERLINK("https://ntsu.idm.oclc.org/login?url=https://www.airitibooks.com/Detail/Detail?PublicationID=P20180913008", "https://ntsu.idm.oclc.org/login?url=https://www.airitibooks.com/Detail/Detail?PublicationID=P20180913008")</f>
        <v>https://ntsu.idm.oclc.org/login?url=https://www.airitibooks.com/Detail/Detail?PublicationID=P20180913008</v>
      </c>
    </row>
    <row r="2145" spans="1:11" ht="68" x14ac:dyDescent="0.4">
      <c r="A2145" s="10" t="s">
        <v>9837</v>
      </c>
      <c r="B2145" s="10" t="s">
        <v>9838</v>
      </c>
      <c r="C2145" s="10" t="s">
        <v>9788</v>
      </c>
      <c r="D2145" s="10" t="s">
        <v>9839</v>
      </c>
      <c r="E2145" s="10" t="s">
        <v>6182</v>
      </c>
      <c r="F2145" s="10" t="s">
        <v>9821</v>
      </c>
      <c r="G2145" s="10" t="s">
        <v>76</v>
      </c>
      <c r="H2145" s="7" t="s">
        <v>1031</v>
      </c>
      <c r="I2145" s="7" t="s">
        <v>25</v>
      </c>
      <c r="J2145" s="13" t="str">
        <f>HYPERLINK("https://www.airitibooks.com/Detail/Detail?PublicationID=P20180914009", "https://www.airitibooks.com/Detail/Detail?PublicationID=P20180914009")</f>
        <v>https://www.airitibooks.com/Detail/Detail?PublicationID=P20180914009</v>
      </c>
      <c r="K2145" s="13" t="str">
        <f>HYPERLINK("https://ntsu.idm.oclc.org/login?url=https://www.airitibooks.com/Detail/Detail?PublicationID=P20180914009", "https://ntsu.idm.oclc.org/login?url=https://www.airitibooks.com/Detail/Detail?PublicationID=P20180914009")</f>
        <v>https://ntsu.idm.oclc.org/login?url=https://www.airitibooks.com/Detail/Detail?PublicationID=P20180914009</v>
      </c>
    </row>
    <row r="2146" spans="1:11" ht="51" x14ac:dyDescent="0.4">
      <c r="A2146" s="10" t="s">
        <v>9913</v>
      </c>
      <c r="B2146" s="10" t="s">
        <v>9914</v>
      </c>
      <c r="C2146" s="10" t="s">
        <v>9915</v>
      </c>
      <c r="D2146" s="10" t="s">
        <v>9916</v>
      </c>
      <c r="E2146" s="10" t="s">
        <v>6182</v>
      </c>
      <c r="F2146" s="10" t="s">
        <v>6256</v>
      </c>
      <c r="G2146" s="10" t="s">
        <v>76</v>
      </c>
      <c r="H2146" s="7" t="s">
        <v>24</v>
      </c>
      <c r="I2146" s="7" t="s">
        <v>25</v>
      </c>
      <c r="J2146" s="13" t="str">
        <f>HYPERLINK("https://www.airitibooks.com/Detail/Detail?PublicationID=P20181019005", "https://www.airitibooks.com/Detail/Detail?PublicationID=P20181019005")</f>
        <v>https://www.airitibooks.com/Detail/Detail?PublicationID=P20181019005</v>
      </c>
      <c r="K2146" s="13" t="str">
        <f>HYPERLINK("https://ntsu.idm.oclc.org/login?url=https://www.airitibooks.com/Detail/Detail?PublicationID=P20181019005", "https://ntsu.idm.oclc.org/login?url=https://www.airitibooks.com/Detail/Detail?PublicationID=P20181019005")</f>
        <v>https://ntsu.idm.oclc.org/login?url=https://www.airitibooks.com/Detail/Detail?PublicationID=P20181019005</v>
      </c>
    </row>
    <row r="2147" spans="1:11" ht="51" x14ac:dyDescent="0.4">
      <c r="A2147" s="10" t="s">
        <v>10016</v>
      </c>
      <c r="B2147" s="10" t="s">
        <v>10017</v>
      </c>
      <c r="C2147" s="10" t="s">
        <v>9828</v>
      </c>
      <c r="D2147" s="10" t="s">
        <v>10018</v>
      </c>
      <c r="E2147" s="10" t="s">
        <v>6182</v>
      </c>
      <c r="F2147" s="10" t="s">
        <v>10020</v>
      </c>
      <c r="G2147" s="10" t="s">
        <v>76</v>
      </c>
      <c r="H2147" s="7" t="s">
        <v>1031</v>
      </c>
      <c r="I2147" s="7" t="s">
        <v>25</v>
      </c>
      <c r="J2147" s="13" t="str">
        <f>HYPERLINK("https://www.airitibooks.com/Detail/Detail?PublicationID=P20181114022", "https://www.airitibooks.com/Detail/Detail?PublicationID=P20181114022")</f>
        <v>https://www.airitibooks.com/Detail/Detail?PublicationID=P20181114022</v>
      </c>
      <c r="K2147" s="13" t="str">
        <f>HYPERLINK("https://ntsu.idm.oclc.org/login?url=https://www.airitibooks.com/Detail/Detail?PublicationID=P20181114022", "https://ntsu.idm.oclc.org/login?url=https://www.airitibooks.com/Detail/Detail?PublicationID=P20181114022")</f>
        <v>https://ntsu.idm.oclc.org/login?url=https://www.airitibooks.com/Detail/Detail?PublicationID=P20181114022</v>
      </c>
    </row>
    <row r="2148" spans="1:11" ht="68" x14ac:dyDescent="0.4">
      <c r="A2148" s="10" t="s">
        <v>10166</v>
      </c>
      <c r="B2148" s="10" t="s">
        <v>10167</v>
      </c>
      <c r="C2148" s="10" t="s">
        <v>9828</v>
      </c>
      <c r="D2148" s="10" t="s">
        <v>10122</v>
      </c>
      <c r="E2148" s="10" t="s">
        <v>6182</v>
      </c>
      <c r="F2148" s="10" t="s">
        <v>4606</v>
      </c>
      <c r="G2148" s="10" t="s">
        <v>76</v>
      </c>
      <c r="H2148" s="7" t="s">
        <v>1031</v>
      </c>
      <c r="I2148" s="7" t="s">
        <v>25</v>
      </c>
      <c r="J2148" s="13" t="str">
        <f>HYPERLINK("https://www.airitibooks.com/Detail/Detail?PublicationID=P20181123041", "https://www.airitibooks.com/Detail/Detail?PublicationID=P20181123041")</f>
        <v>https://www.airitibooks.com/Detail/Detail?PublicationID=P20181123041</v>
      </c>
      <c r="K2148" s="13" t="str">
        <f>HYPERLINK("https://ntsu.idm.oclc.org/login?url=https://www.airitibooks.com/Detail/Detail?PublicationID=P20181123041", "https://ntsu.idm.oclc.org/login?url=https://www.airitibooks.com/Detail/Detail?PublicationID=P20181123041")</f>
        <v>https://ntsu.idm.oclc.org/login?url=https://www.airitibooks.com/Detail/Detail?PublicationID=P20181123041</v>
      </c>
    </row>
    <row r="2149" spans="1:11" ht="51" x14ac:dyDescent="0.4">
      <c r="A2149" s="10" t="s">
        <v>10168</v>
      </c>
      <c r="B2149" s="10" t="s">
        <v>10169</v>
      </c>
      <c r="C2149" s="10" t="s">
        <v>9828</v>
      </c>
      <c r="D2149" s="10" t="s">
        <v>10170</v>
      </c>
      <c r="E2149" s="10" t="s">
        <v>6182</v>
      </c>
      <c r="F2149" s="10" t="s">
        <v>10171</v>
      </c>
      <c r="G2149" s="10" t="s">
        <v>76</v>
      </c>
      <c r="H2149" s="7" t="s">
        <v>1031</v>
      </c>
      <c r="I2149" s="7" t="s">
        <v>25</v>
      </c>
      <c r="J2149" s="13" t="str">
        <f>HYPERLINK("https://www.airitibooks.com/Detail/Detail?PublicationID=P20181127043", "https://www.airitibooks.com/Detail/Detail?PublicationID=P20181127043")</f>
        <v>https://www.airitibooks.com/Detail/Detail?PublicationID=P20181127043</v>
      </c>
      <c r="K2149" s="13" t="str">
        <f>HYPERLINK("https://ntsu.idm.oclc.org/login?url=https://www.airitibooks.com/Detail/Detail?PublicationID=P20181127043", "https://ntsu.idm.oclc.org/login?url=https://www.airitibooks.com/Detail/Detail?PublicationID=P20181127043")</f>
        <v>https://ntsu.idm.oclc.org/login?url=https://www.airitibooks.com/Detail/Detail?PublicationID=P20181127043</v>
      </c>
    </row>
    <row r="2150" spans="1:11" ht="51" x14ac:dyDescent="0.4">
      <c r="A2150" s="10" t="s">
        <v>10172</v>
      </c>
      <c r="B2150" s="10" t="s">
        <v>10173</v>
      </c>
      <c r="C2150" s="10" t="s">
        <v>9828</v>
      </c>
      <c r="D2150" s="10" t="s">
        <v>10174</v>
      </c>
      <c r="E2150" s="10" t="s">
        <v>6182</v>
      </c>
      <c r="F2150" s="10" t="s">
        <v>4606</v>
      </c>
      <c r="G2150" s="10" t="s">
        <v>76</v>
      </c>
      <c r="H2150" s="7" t="s">
        <v>1031</v>
      </c>
      <c r="I2150" s="7" t="s">
        <v>25</v>
      </c>
      <c r="J2150" s="13" t="str">
        <f>HYPERLINK("https://www.airitibooks.com/Detail/Detail?PublicationID=P20181127096", "https://www.airitibooks.com/Detail/Detail?PublicationID=P20181127096")</f>
        <v>https://www.airitibooks.com/Detail/Detail?PublicationID=P20181127096</v>
      </c>
      <c r="K2150" s="13" t="str">
        <f>HYPERLINK("https://ntsu.idm.oclc.org/login?url=https://www.airitibooks.com/Detail/Detail?PublicationID=P20181127096", "https://ntsu.idm.oclc.org/login?url=https://www.airitibooks.com/Detail/Detail?PublicationID=P20181127096")</f>
        <v>https://ntsu.idm.oclc.org/login?url=https://www.airitibooks.com/Detail/Detail?PublicationID=P20181127096</v>
      </c>
    </row>
    <row r="2151" spans="1:11" ht="51" x14ac:dyDescent="0.4">
      <c r="A2151" s="10" t="s">
        <v>10175</v>
      </c>
      <c r="B2151" s="10" t="s">
        <v>10176</v>
      </c>
      <c r="C2151" s="10" t="s">
        <v>9828</v>
      </c>
      <c r="D2151" s="10" t="s">
        <v>10177</v>
      </c>
      <c r="E2151" s="10" t="s">
        <v>6182</v>
      </c>
      <c r="F2151" s="10" t="s">
        <v>10178</v>
      </c>
      <c r="G2151" s="10" t="s">
        <v>76</v>
      </c>
      <c r="H2151" s="7" t="s">
        <v>1031</v>
      </c>
      <c r="I2151" s="7" t="s">
        <v>25</v>
      </c>
      <c r="J2151" s="13" t="str">
        <f>HYPERLINK("https://www.airitibooks.com/Detail/Detail?PublicationID=P20181127097", "https://www.airitibooks.com/Detail/Detail?PublicationID=P20181127097")</f>
        <v>https://www.airitibooks.com/Detail/Detail?PublicationID=P20181127097</v>
      </c>
      <c r="K2151" s="13" t="str">
        <f>HYPERLINK("https://ntsu.idm.oclc.org/login?url=https://www.airitibooks.com/Detail/Detail?PublicationID=P20181127097", "https://ntsu.idm.oclc.org/login?url=https://www.airitibooks.com/Detail/Detail?PublicationID=P20181127097")</f>
        <v>https://ntsu.idm.oclc.org/login?url=https://www.airitibooks.com/Detail/Detail?PublicationID=P20181127097</v>
      </c>
    </row>
    <row r="2152" spans="1:11" ht="51" x14ac:dyDescent="0.4">
      <c r="A2152" s="10" t="s">
        <v>10192</v>
      </c>
      <c r="B2152" s="10" t="s">
        <v>10193</v>
      </c>
      <c r="C2152" s="10" t="s">
        <v>9828</v>
      </c>
      <c r="D2152" s="10" t="s">
        <v>10194</v>
      </c>
      <c r="E2152" s="10" t="s">
        <v>6182</v>
      </c>
      <c r="F2152" s="10" t="s">
        <v>4606</v>
      </c>
      <c r="G2152" s="10" t="s">
        <v>76</v>
      </c>
      <c r="H2152" s="7" t="s">
        <v>1031</v>
      </c>
      <c r="I2152" s="7" t="s">
        <v>25</v>
      </c>
      <c r="J2152" s="13" t="str">
        <f>HYPERLINK("https://www.airitibooks.com/Detail/Detail?PublicationID=P20181128066", "https://www.airitibooks.com/Detail/Detail?PublicationID=P20181128066")</f>
        <v>https://www.airitibooks.com/Detail/Detail?PublicationID=P20181128066</v>
      </c>
      <c r="K2152" s="13" t="str">
        <f>HYPERLINK("https://ntsu.idm.oclc.org/login?url=https://www.airitibooks.com/Detail/Detail?PublicationID=P20181128066", "https://ntsu.idm.oclc.org/login?url=https://www.airitibooks.com/Detail/Detail?PublicationID=P20181128066")</f>
        <v>https://ntsu.idm.oclc.org/login?url=https://www.airitibooks.com/Detail/Detail?PublicationID=P20181128066</v>
      </c>
    </row>
    <row r="2153" spans="1:11" ht="51" x14ac:dyDescent="0.4">
      <c r="A2153" s="10" t="s">
        <v>10195</v>
      </c>
      <c r="B2153" s="10" t="s">
        <v>10196</v>
      </c>
      <c r="C2153" s="10" t="s">
        <v>9828</v>
      </c>
      <c r="D2153" s="10" t="s">
        <v>10197</v>
      </c>
      <c r="E2153" s="10" t="s">
        <v>6182</v>
      </c>
      <c r="F2153" s="10" t="s">
        <v>8194</v>
      </c>
      <c r="G2153" s="10" t="s">
        <v>76</v>
      </c>
      <c r="H2153" s="7" t="s">
        <v>1031</v>
      </c>
      <c r="I2153" s="7" t="s">
        <v>25</v>
      </c>
      <c r="J2153" s="13" t="str">
        <f>HYPERLINK("https://www.airitibooks.com/Detail/Detail?PublicationID=P20181128077", "https://www.airitibooks.com/Detail/Detail?PublicationID=P20181128077")</f>
        <v>https://www.airitibooks.com/Detail/Detail?PublicationID=P20181128077</v>
      </c>
      <c r="K2153" s="13" t="str">
        <f>HYPERLINK("https://ntsu.idm.oclc.org/login?url=https://www.airitibooks.com/Detail/Detail?PublicationID=P20181128077", "https://ntsu.idm.oclc.org/login?url=https://www.airitibooks.com/Detail/Detail?PublicationID=P20181128077")</f>
        <v>https://ntsu.idm.oclc.org/login?url=https://www.airitibooks.com/Detail/Detail?PublicationID=P20181128077</v>
      </c>
    </row>
    <row r="2154" spans="1:11" ht="51" x14ac:dyDescent="0.4">
      <c r="A2154" s="10" t="s">
        <v>10198</v>
      </c>
      <c r="B2154" s="10" t="s">
        <v>10199</v>
      </c>
      <c r="C2154" s="10" t="s">
        <v>9828</v>
      </c>
      <c r="D2154" s="10" t="s">
        <v>10200</v>
      </c>
      <c r="E2154" s="10" t="s">
        <v>6182</v>
      </c>
      <c r="F2154" s="10" t="s">
        <v>2332</v>
      </c>
      <c r="G2154" s="10" t="s">
        <v>76</v>
      </c>
      <c r="H2154" s="7" t="s">
        <v>1031</v>
      </c>
      <c r="I2154" s="7" t="s">
        <v>25</v>
      </c>
      <c r="J2154" s="13" t="str">
        <f>HYPERLINK("https://www.airitibooks.com/Detail/Detail?PublicationID=P20181128082", "https://www.airitibooks.com/Detail/Detail?PublicationID=P20181128082")</f>
        <v>https://www.airitibooks.com/Detail/Detail?PublicationID=P20181128082</v>
      </c>
      <c r="K2154" s="13" t="str">
        <f>HYPERLINK("https://ntsu.idm.oclc.org/login?url=https://www.airitibooks.com/Detail/Detail?PublicationID=P20181128082", "https://ntsu.idm.oclc.org/login?url=https://www.airitibooks.com/Detail/Detail?PublicationID=P20181128082")</f>
        <v>https://ntsu.idm.oclc.org/login?url=https://www.airitibooks.com/Detail/Detail?PublicationID=P20181128082</v>
      </c>
    </row>
    <row r="2155" spans="1:11" ht="51" x14ac:dyDescent="0.4">
      <c r="A2155" s="10" t="s">
        <v>10207</v>
      </c>
      <c r="B2155" s="10" t="s">
        <v>10208</v>
      </c>
      <c r="C2155" s="10" t="s">
        <v>9828</v>
      </c>
      <c r="D2155" s="10" t="s">
        <v>10209</v>
      </c>
      <c r="E2155" s="10" t="s">
        <v>6182</v>
      </c>
      <c r="F2155" s="10" t="s">
        <v>10210</v>
      </c>
      <c r="G2155" s="10" t="s">
        <v>76</v>
      </c>
      <c r="H2155" s="7" t="s">
        <v>1031</v>
      </c>
      <c r="I2155" s="7" t="s">
        <v>25</v>
      </c>
      <c r="J2155" s="13" t="str">
        <f>HYPERLINK("https://www.airitibooks.com/Detail/Detail?PublicationID=P20181129077", "https://www.airitibooks.com/Detail/Detail?PublicationID=P20181129077")</f>
        <v>https://www.airitibooks.com/Detail/Detail?PublicationID=P20181129077</v>
      </c>
      <c r="K2155" s="13" t="str">
        <f>HYPERLINK("https://ntsu.idm.oclc.org/login?url=https://www.airitibooks.com/Detail/Detail?PublicationID=P20181129077", "https://ntsu.idm.oclc.org/login?url=https://www.airitibooks.com/Detail/Detail?PublicationID=P20181129077")</f>
        <v>https://ntsu.idm.oclc.org/login?url=https://www.airitibooks.com/Detail/Detail?PublicationID=P20181129077</v>
      </c>
    </row>
    <row r="2156" spans="1:11" ht="51" x14ac:dyDescent="0.4">
      <c r="A2156" s="10" t="s">
        <v>10229</v>
      </c>
      <c r="B2156" s="10" t="s">
        <v>10230</v>
      </c>
      <c r="C2156" s="10" t="s">
        <v>9828</v>
      </c>
      <c r="D2156" s="10" t="s">
        <v>10231</v>
      </c>
      <c r="E2156" s="10" t="s">
        <v>6182</v>
      </c>
      <c r="F2156" s="10" t="s">
        <v>10232</v>
      </c>
      <c r="G2156" s="10" t="s">
        <v>76</v>
      </c>
      <c r="H2156" s="7" t="s">
        <v>1031</v>
      </c>
      <c r="I2156" s="7" t="s">
        <v>25</v>
      </c>
      <c r="J2156" s="13" t="str">
        <f>HYPERLINK("https://www.airitibooks.com/Detail/Detail?PublicationID=P20181130063", "https://www.airitibooks.com/Detail/Detail?PublicationID=P20181130063")</f>
        <v>https://www.airitibooks.com/Detail/Detail?PublicationID=P20181130063</v>
      </c>
      <c r="K2156" s="13" t="str">
        <f>HYPERLINK("https://ntsu.idm.oclc.org/login?url=https://www.airitibooks.com/Detail/Detail?PublicationID=P20181130063", "https://ntsu.idm.oclc.org/login?url=https://www.airitibooks.com/Detail/Detail?PublicationID=P20181130063")</f>
        <v>https://ntsu.idm.oclc.org/login?url=https://www.airitibooks.com/Detail/Detail?PublicationID=P20181130063</v>
      </c>
    </row>
    <row r="2157" spans="1:11" ht="51" x14ac:dyDescent="0.4">
      <c r="A2157" s="10" t="s">
        <v>10233</v>
      </c>
      <c r="B2157" s="10" t="s">
        <v>10234</v>
      </c>
      <c r="C2157" s="10" t="s">
        <v>9828</v>
      </c>
      <c r="D2157" s="10" t="s">
        <v>10235</v>
      </c>
      <c r="E2157" s="10" t="s">
        <v>6182</v>
      </c>
      <c r="F2157" s="10" t="s">
        <v>3324</v>
      </c>
      <c r="G2157" s="10" t="s">
        <v>76</v>
      </c>
      <c r="H2157" s="7" t="s">
        <v>1031</v>
      </c>
      <c r="I2157" s="7" t="s">
        <v>25</v>
      </c>
      <c r="J2157" s="13" t="str">
        <f>HYPERLINK("https://www.airitibooks.com/Detail/Detail?PublicationID=P20181130086", "https://www.airitibooks.com/Detail/Detail?PublicationID=P20181130086")</f>
        <v>https://www.airitibooks.com/Detail/Detail?PublicationID=P20181130086</v>
      </c>
      <c r="K2157" s="13" t="str">
        <f>HYPERLINK("https://ntsu.idm.oclc.org/login?url=https://www.airitibooks.com/Detail/Detail?PublicationID=P20181130086", "https://ntsu.idm.oclc.org/login?url=https://www.airitibooks.com/Detail/Detail?PublicationID=P20181130086")</f>
        <v>https://ntsu.idm.oclc.org/login?url=https://www.airitibooks.com/Detail/Detail?PublicationID=P20181130086</v>
      </c>
    </row>
    <row r="2158" spans="1:11" ht="51" x14ac:dyDescent="0.4">
      <c r="A2158" s="10" t="s">
        <v>10236</v>
      </c>
      <c r="B2158" s="10" t="s">
        <v>10237</v>
      </c>
      <c r="C2158" s="10" t="s">
        <v>9828</v>
      </c>
      <c r="D2158" s="10" t="s">
        <v>10238</v>
      </c>
      <c r="E2158" s="10" t="s">
        <v>6182</v>
      </c>
      <c r="F2158" s="10" t="s">
        <v>104</v>
      </c>
      <c r="G2158" s="10" t="s">
        <v>76</v>
      </c>
      <c r="H2158" s="7" t="s">
        <v>1031</v>
      </c>
      <c r="I2158" s="7" t="s">
        <v>25</v>
      </c>
      <c r="J2158" s="13" t="str">
        <f>HYPERLINK("https://www.airitibooks.com/Detail/Detail?PublicationID=P20181203030", "https://www.airitibooks.com/Detail/Detail?PublicationID=P20181203030")</f>
        <v>https://www.airitibooks.com/Detail/Detail?PublicationID=P20181203030</v>
      </c>
      <c r="K2158" s="13" t="str">
        <f>HYPERLINK("https://ntsu.idm.oclc.org/login?url=https://www.airitibooks.com/Detail/Detail?PublicationID=P20181203030", "https://ntsu.idm.oclc.org/login?url=https://www.airitibooks.com/Detail/Detail?PublicationID=P20181203030")</f>
        <v>https://ntsu.idm.oclc.org/login?url=https://www.airitibooks.com/Detail/Detail?PublicationID=P20181203030</v>
      </c>
    </row>
    <row r="2159" spans="1:11" ht="51" x14ac:dyDescent="0.4">
      <c r="A2159" s="10" t="s">
        <v>10239</v>
      </c>
      <c r="B2159" s="10" t="s">
        <v>10240</v>
      </c>
      <c r="C2159" s="10" t="s">
        <v>9828</v>
      </c>
      <c r="D2159" s="10" t="s">
        <v>10241</v>
      </c>
      <c r="E2159" s="10" t="s">
        <v>6182</v>
      </c>
      <c r="F2159" s="10" t="s">
        <v>7422</v>
      </c>
      <c r="G2159" s="10" t="s">
        <v>76</v>
      </c>
      <c r="H2159" s="7" t="s">
        <v>1031</v>
      </c>
      <c r="I2159" s="7" t="s">
        <v>25</v>
      </c>
      <c r="J2159" s="13" t="str">
        <f>HYPERLINK("https://www.airitibooks.com/Detail/Detail?PublicationID=P20181203032", "https://www.airitibooks.com/Detail/Detail?PublicationID=P20181203032")</f>
        <v>https://www.airitibooks.com/Detail/Detail?PublicationID=P20181203032</v>
      </c>
      <c r="K2159" s="13" t="str">
        <f>HYPERLINK("https://ntsu.idm.oclc.org/login?url=https://www.airitibooks.com/Detail/Detail?PublicationID=P20181203032", "https://ntsu.idm.oclc.org/login?url=https://www.airitibooks.com/Detail/Detail?PublicationID=P20181203032")</f>
        <v>https://ntsu.idm.oclc.org/login?url=https://www.airitibooks.com/Detail/Detail?PublicationID=P20181203032</v>
      </c>
    </row>
    <row r="2160" spans="1:11" ht="51" x14ac:dyDescent="0.4">
      <c r="A2160" s="10" t="s">
        <v>10256</v>
      </c>
      <c r="B2160" s="10" t="s">
        <v>10257</v>
      </c>
      <c r="C2160" s="10" t="s">
        <v>9828</v>
      </c>
      <c r="D2160" s="10" t="s">
        <v>10258</v>
      </c>
      <c r="E2160" s="10" t="s">
        <v>6182</v>
      </c>
      <c r="F2160" s="10" t="s">
        <v>9821</v>
      </c>
      <c r="G2160" s="10" t="s">
        <v>76</v>
      </c>
      <c r="H2160" s="7" t="s">
        <v>1031</v>
      </c>
      <c r="I2160" s="7" t="s">
        <v>25</v>
      </c>
      <c r="J2160" s="13" t="str">
        <f>HYPERLINK("https://www.airitibooks.com/Detail/Detail?PublicationID=P20181203098", "https://www.airitibooks.com/Detail/Detail?PublicationID=P20181203098")</f>
        <v>https://www.airitibooks.com/Detail/Detail?PublicationID=P20181203098</v>
      </c>
      <c r="K2160" s="13" t="str">
        <f>HYPERLINK("https://ntsu.idm.oclc.org/login?url=https://www.airitibooks.com/Detail/Detail?PublicationID=P20181203098", "https://ntsu.idm.oclc.org/login?url=https://www.airitibooks.com/Detail/Detail?PublicationID=P20181203098")</f>
        <v>https://ntsu.idm.oclc.org/login?url=https://www.airitibooks.com/Detail/Detail?PublicationID=P20181203098</v>
      </c>
    </row>
    <row r="2161" spans="1:11" ht="51" x14ac:dyDescent="0.4">
      <c r="A2161" s="10" t="s">
        <v>10259</v>
      </c>
      <c r="B2161" s="10" t="s">
        <v>10260</v>
      </c>
      <c r="C2161" s="10" t="s">
        <v>9828</v>
      </c>
      <c r="D2161" s="10" t="s">
        <v>10261</v>
      </c>
      <c r="E2161" s="10" t="s">
        <v>6182</v>
      </c>
      <c r="F2161" s="10" t="s">
        <v>5255</v>
      </c>
      <c r="G2161" s="10" t="s">
        <v>76</v>
      </c>
      <c r="H2161" s="7" t="s">
        <v>1031</v>
      </c>
      <c r="I2161" s="7" t="s">
        <v>25</v>
      </c>
      <c r="J2161" s="13" t="str">
        <f>HYPERLINK("https://www.airitibooks.com/Detail/Detail?PublicationID=P20181203099", "https://www.airitibooks.com/Detail/Detail?PublicationID=P20181203099")</f>
        <v>https://www.airitibooks.com/Detail/Detail?PublicationID=P20181203099</v>
      </c>
      <c r="K2161" s="13" t="str">
        <f>HYPERLINK("https://ntsu.idm.oclc.org/login?url=https://www.airitibooks.com/Detail/Detail?PublicationID=P20181203099", "https://ntsu.idm.oclc.org/login?url=https://www.airitibooks.com/Detail/Detail?PublicationID=P20181203099")</f>
        <v>https://ntsu.idm.oclc.org/login?url=https://www.airitibooks.com/Detail/Detail?PublicationID=P20181203099</v>
      </c>
    </row>
    <row r="2162" spans="1:11" ht="51" x14ac:dyDescent="0.4">
      <c r="A2162" s="10" t="s">
        <v>10265</v>
      </c>
      <c r="B2162" s="10" t="s">
        <v>10266</v>
      </c>
      <c r="C2162" s="10" t="s">
        <v>9828</v>
      </c>
      <c r="D2162" s="10" t="s">
        <v>10267</v>
      </c>
      <c r="E2162" s="10" t="s">
        <v>6182</v>
      </c>
      <c r="F2162" s="10" t="s">
        <v>10210</v>
      </c>
      <c r="G2162" s="10" t="s">
        <v>76</v>
      </c>
      <c r="H2162" s="7" t="s">
        <v>1031</v>
      </c>
      <c r="I2162" s="7" t="s">
        <v>25</v>
      </c>
      <c r="J2162" s="13" t="str">
        <f>HYPERLINK("https://www.airitibooks.com/Detail/Detail?PublicationID=P20181203115", "https://www.airitibooks.com/Detail/Detail?PublicationID=P20181203115")</f>
        <v>https://www.airitibooks.com/Detail/Detail?PublicationID=P20181203115</v>
      </c>
      <c r="K2162" s="13" t="str">
        <f>HYPERLINK("https://ntsu.idm.oclc.org/login?url=https://www.airitibooks.com/Detail/Detail?PublicationID=P20181203115", "https://ntsu.idm.oclc.org/login?url=https://www.airitibooks.com/Detail/Detail?PublicationID=P20181203115")</f>
        <v>https://ntsu.idm.oclc.org/login?url=https://www.airitibooks.com/Detail/Detail?PublicationID=P20181203115</v>
      </c>
    </row>
    <row r="2163" spans="1:11" ht="51" x14ac:dyDescent="0.4">
      <c r="A2163" s="10" t="s">
        <v>10268</v>
      </c>
      <c r="B2163" s="10" t="s">
        <v>10269</v>
      </c>
      <c r="C2163" s="10" t="s">
        <v>9828</v>
      </c>
      <c r="D2163" s="10" t="s">
        <v>10267</v>
      </c>
      <c r="E2163" s="10" t="s">
        <v>6182</v>
      </c>
      <c r="F2163" s="10" t="s">
        <v>1078</v>
      </c>
      <c r="G2163" s="10" t="s">
        <v>76</v>
      </c>
      <c r="H2163" s="7" t="s">
        <v>1031</v>
      </c>
      <c r="I2163" s="7" t="s">
        <v>25</v>
      </c>
      <c r="J2163" s="13" t="str">
        <f>HYPERLINK("https://www.airitibooks.com/Detail/Detail?PublicationID=P20181203116", "https://www.airitibooks.com/Detail/Detail?PublicationID=P20181203116")</f>
        <v>https://www.airitibooks.com/Detail/Detail?PublicationID=P20181203116</v>
      </c>
      <c r="K2163" s="13" t="str">
        <f>HYPERLINK("https://ntsu.idm.oclc.org/login?url=https://www.airitibooks.com/Detail/Detail?PublicationID=P20181203116", "https://ntsu.idm.oclc.org/login?url=https://www.airitibooks.com/Detail/Detail?PublicationID=P20181203116")</f>
        <v>https://ntsu.idm.oclc.org/login?url=https://www.airitibooks.com/Detail/Detail?PublicationID=P20181203116</v>
      </c>
    </row>
    <row r="2164" spans="1:11" ht="51" x14ac:dyDescent="0.4">
      <c r="A2164" s="10" t="s">
        <v>10270</v>
      </c>
      <c r="B2164" s="10" t="s">
        <v>10271</v>
      </c>
      <c r="C2164" s="10" t="s">
        <v>9828</v>
      </c>
      <c r="D2164" s="10" t="s">
        <v>10267</v>
      </c>
      <c r="E2164" s="10" t="s">
        <v>6182</v>
      </c>
      <c r="F2164" s="10" t="s">
        <v>10272</v>
      </c>
      <c r="G2164" s="10" t="s">
        <v>76</v>
      </c>
      <c r="H2164" s="7" t="s">
        <v>1031</v>
      </c>
      <c r="I2164" s="7" t="s">
        <v>25</v>
      </c>
      <c r="J2164" s="13" t="str">
        <f>HYPERLINK("https://www.airitibooks.com/Detail/Detail?PublicationID=P20181203117", "https://www.airitibooks.com/Detail/Detail?PublicationID=P20181203117")</f>
        <v>https://www.airitibooks.com/Detail/Detail?PublicationID=P20181203117</v>
      </c>
      <c r="K2164" s="13" t="str">
        <f>HYPERLINK("https://ntsu.idm.oclc.org/login?url=https://www.airitibooks.com/Detail/Detail?PublicationID=P20181203117", "https://ntsu.idm.oclc.org/login?url=https://www.airitibooks.com/Detail/Detail?PublicationID=P20181203117")</f>
        <v>https://ntsu.idm.oclc.org/login?url=https://www.airitibooks.com/Detail/Detail?PublicationID=P20181203117</v>
      </c>
    </row>
    <row r="2165" spans="1:11" ht="51" x14ac:dyDescent="0.4">
      <c r="A2165" s="10" t="s">
        <v>10273</v>
      </c>
      <c r="B2165" s="10" t="s">
        <v>10274</v>
      </c>
      <c r="C2165" s="10" t="s">
        <v>9828</v>
      </c>
      <c r="D2165" s="10" t="s">
        <v>10267</v>
      </c>
      <c r="E2165" s="10" t="s">
        <v>6182</v>
      </c>
      <c r="F2165" s="10" t="s">
        <v>10171</v>
      </c>
      <c r="G2165" s="10" t="s">
        <v>76</v>
      </c>
      <c r="H2165" s="7" t="s">
        <v>1031</v>
      </c>
      <c r="I2165" s="7" t="s">
        <v>25</v>
      </c>
      <c r="J2165" s="13" t="str">
        <f>HYPERLINK("https://www.airitibooks.com/Detail/Detail?PublicationID=P20181203118", "https://www.airitibooks.com/Detail/Detail?PublicationID=P20181203118")</f>
        <v>https://www.airitibooks.com/Detail/Detail?PublicationID=P20181203118</v>
      </c>
      <c r="K2165" s="13" t="str">
        <f>HYPERLINK("https://ntsu.idm.oclc.org/login?url=https://www.airitibooks.com/Detail/Detail?PublicationID=P20181203118", "https://ntsu.idm.oclc.org/login?url=https://www.airitibooks.com/Detail/Detail?PublicationID=P20181203118")</f>
        <v>https://ntsu.idm.oclc.org/login?url=https://www.airitibooks.com/Detail/Detail?PublicationID=P20181203118</v>
      </c>
    </row>
    <row r="2166" spans="1:11" ht="51" x14ac:dyDescent="0.4">
      <c r="A2166" s="10" t="s">
        <v>10275</v>
      </c>
      <c r="B2166" s="10" t="s">
        <v>10276</v>
      </c>
      <c r="C2166" s="10" t="s">
        <v>9828</v>
      </c>
      <c r="D2166" s="10" t="s">
        <v>10267</v>
      </c>
      <c r="E2166" s="10" t="s">
        <v>6182</v>
      </c>
      <c r="F2166" s="10" t="s">
        <v>10272</v>
      </c>
      <c r="G2166" s="10" t="s">
        <v>76</v>
      </c>
      <c r="H2166" s="7" t="s">
        <v>1031</v>
      </c>
      <c r="I2166" s="7" t="s">
        <v>25</v>
      </c>
      <c r="J2166" s="13" t="str">
        <f>HYPERLINK("https://www.airitibooks.com/Detail/Detail?PublicationID=P20181203119", "https://www.airitibooks.com/Detail/Detail?PublicationID=P20181203119")</f>
        <v>https://www.airitibooks.com/Detail/Detail?PublicationID=P20181203119</v>
      </c>
      <c r="K2166" s="13" t="str">
        <f>HYPERLINK("https://ntsu.idm.oclc.org/login?url=https://www.airitibooks.com/Detail/Detail?PublicationID=P20181203119", "https://ntsu.idm.oclc.org/login?url=https://www.airitibooks.com/Detail/Detail?PublicationID=P20181203119")</f>
        <v>https://ntsu.idm.oclc.org/login?url=https://www.airitibooks.com/Detail/Detail?PublicationID=P20181203119</v>
      </c>
    </row>
    <row r="2167" spans="1:11" ht="51" x14ac:dyDescent="0.4">
      <c r="A2167" s="10" t="s">
        <v>10277</v>
      </c>
      <c r="B2167" s="10" t="s">
        <v>10278</v>
      </c>
      <c r="C2167" s="10" t="s">
        <v>9828</v>
      </c>
      <c r="D2167" s="10" t="s">
        <v>10279</v>
      </c>
      <c r="E2167" s="10" t="s">
        <v>6182</v>
      </c>
      <c r="F2167" s="10" t="s">
        <v>6225</v>
      </c>
      <c r="G2167" s="10" t="s">
        <v>76</v>
      </c>
      <c r="H2167" s="7" t="s">
        <v>1031</v>
      </c>
      <c r="I2167" s="7" t="s">
        <v>25</v>
      </c>
      <c r="J2167" s="13" t="str">
        <f>HYPERLINK("https://www.airitibooks.com/Detail/Detail?PublicationID=P20181204002", "https://www.airitibooks.com/Detail/Detail?PublicationID=P20181204002")</f>
        <v>https://www.airitibooks.com/Detail/Detail?PublicationID=P20181204002</v>
      </c>
      <c r="K2167" s="13" t="str">
        <f>HYPERLINK("https://ntsu.idm.oclc.org/login?url=https://www.airitibooks.com/Detail/Detail?PublicationID=P20181204002", "https://ntsu.idm.oclc.org/login?url=https://www.airitibooks.com/Detail/Detail?PublicationID=P20181204002")</f>
        <v>https://ntsu.idm.oclc.org/login?url=https://www.airitibooks.com/Detail/Detail?PublicationID=P20181204002</v>
      </c>
    </row>
    <row r="2168" spans="1:11" ht="85" x14ac:dyDescent="0.4">
      <c r="A2168" s="10" t="s">
        <v>10280</v>
      </c>
      <c r="B2168" s="10" t="s">
        <v>10281</v>
      </c>
      <c r="C2168" s="10" t="s">
        <v>9828</v>
      </c>
      <c r="D2168" s="10" t="s">
        <v>10282</v>
      </c>
      <c r="E2168" s="10" t="s">
        <v>6182</v>
      </c>
      <c r="F2168" s="10" t="s">
        <v>4602</v>
      </c>
      <c r="G2168" s="10" t="s">
        <v>76</v>
      </c>
      <c r="H2168" s="7" t="s">
        <v>1031</v>
      </c>
      <c r="I2168" s="7" t="s">
        <v>25</v>
      </c>
      <c r="J2168" s="13" t="str">
        <f>HYPERLINK("https://www.airitibooks.com/Detail/Detail?PublicationID=P20181204011", "https://www.airitibooks.com/Detail/Detail?PublicationID=P20181204011")</f>
        <v>https://www.airitibooks.com/Detail/Detail?PublicationID=P20181204011</v>
      </c>
      <c r="K2168" s="13" t="str">
        <f>HYPERLINK("https://ntsu.idm.oclc.org/login?url=https://www.airitibooks.com/Detail/Detail?PublicationID=P20181204011", "https://ntsu.idm.oclc.org/login?url=https://www.airitibooks.com/Detail/Detail?PublicationID=P20181204011")</f>
        <v>https://ntsu.idm.oclc.org/login?url=https://www.airitibooks.com/Detail/Detail?PublicationID=P20181204011</v>
      </c>
    </row>
    <row r="2169" spans="1:11" ht="51" x14ac:dyDescent="0.4">
      <c r="A2169" s="10" t="s">
        <v>10287</v>
      </c>
      <c r="B2169" s="10" t="s">
        <v>10288</v>
      </c>
      <c r="C2169" s="10" t="s">
        <v>9828</v>
      </c>
      <c r="D2169" s="10" t="s">
        <v>10289</v>
      </c>
      <c r="E2169" s="10" t="s">
        <v>6182</v>
      </c>
      <c r="F2169" s="10" t="s">
        <v>5854</v>
      </c>
      <c r="G2169" s="10" t="s">
        <v>76</v>
      </c>
      <c r="H2169" s="7" t="s">
        <v>1031</v>
      </c>
      <c r="I2169" s="7" t="s">
        <v>25</v>
      </c>
      <c r="J2169" s="13" t="str">
        <f>HYPERLINK("https://www.airitibooks.com/Detail/Detail?PublicationID=P20181204013", "https://www.airitibooks.com/Detail/Detail?PublicationID=P20181204013")</f>
        <v>https://www.airitibooks.com/Detail/Detail?PublicationID=P20181204013</v>
      </c>
      <c r="K2169" s="13" t="str">
        <f>HYPERLINK("https://ntsu.idm.oclc.org/login?url=https://www.airitibooks.com/Detail/Detail?PublicationID=P20181204013", "https://ntsu.idm.oclc.org/login?url=https://www.airitibooks.com/Detail/Detail?PublicationID=P20181204013")</f>
        <v>https://ntsu.idm.oclc.org/login?url=https://www.airitibooks.com/Detail/Detail?PublicationID=P20181204013</v>
      </c>
    </row>
    <row r="2170" spans="1:11" ht="51" x14ac:dyDescent="0.4">
      <c r="A2170" s="10" t="s">
        <v>10290</v>
      </c>
      <c r="B2170" s="10" t="s">
        <v>10291</v>
      </c>
      <c r="C2170" s="10" t="s">
        <v>9828</v>
      </c>
      <c r="D2170" s="10" t="s">
        <v>10292</v>
      </c>
      <c r="E2170" s="10" t="s">
        <v>6182</v>
      </c>
      <c r="F2170" s="10" t="s">
        <v>6225</v>
      </c>
      <c r="G2170" s="10" t="s">
        <v>76</v>
      </c>
      <c r="H2170" s="7" t="s">
        <v>1031</v>
      </c>
      <c r="I2170" s="7" t="s">
        <v>25</v>
      </c>
      <c r="J2170" s="13" t="str">
        <f>HYPERLINK("https://www.airitibooks.com/Detail/Detail?PublicationID=P20181204016", "https://www.airitibooks.com/Detail/Detail?PublicationID=P20181204016")</f>
        <v>https://www.airitibooks.com/Detail/Detail?PublicationID=P20181204016</v>
      </c>
      <c r="K2170" s="13" t="str">
        <f>HYPERLINK("https://ntsu.idm.oclc.org/login?url=https://www.airitibooks.com/Detail/Detail?PublicationID=P20181204016", "https://ntsu.idm.oclc.org/login?url=https://www.airitibooks.com/Detail/Detail?PublicationID=P20181204016")</f>
        <v>https://ntsu.idm.oclc.org/login?url=https://www.airitibooks.com/Detail/Detail?PublicationID=P20181204016</v>
      </c>
    </row>
    <row r="2171" spans="1:11" ht="51" x14ac:dyDescent="0.4">
      <c r="A2171" s="10" t="s">
        <v>10293</v>
      </c>
      <c r="B2171" s="10" t="s">
        <v>10294</v>
      </c>
      <c r="C2171" s="10" t="s">
        <v>9828</v>
      </c>
      <c r="D2171" s="10" t="s">
        <v>10295</v>
      </c>
      <c r="E2171" s="10" t="s">
        <v>6182</v>
      </c>
      <c r="F2171" s="10" t="s">
        <v>10020</v>
      </c>
      <c r="G2171" s="10" t="s">
        <v>76</v>
      </c>
      <c r="H2171" s="7" t="s">
        <v>1031</v>
      </c>
      <c r="I2171" s="7" t="s">
        <v>25</v>
      </c>
      <c r="J2171" s="13" t="str">
        <f>HYPERLINK("https://www.airitibooks.com/Detail/Detail?PublicationID=P20181204033", "https://www.airitibooks.com/Detail/Detail?PublicationID=P20181204033")</f>
        <v>https://www.airitibooks.com/Detail/Detail?PublicationID=P20181204033</v>
      </c>
      <c r="K2171" s="13" t="str">
        <f>HYPERLINK("https://ntsu.idm.oclc.org/login?url=https://www.airitibooks.com/Detail/Detail?PublicationID=P20181204033", "https://ntsu.idm.oclc.org/login?url=https://www.airitibooks.com/Detail/Detail?PublicationID=P20181204033")</f>
        <v>https://ntsu.idm.oclc.org/login?url=https://www.airitibooks.com/Detail/Detail?PublicationID=P20181204033</v>
      </c>
    </row>
    <row r="2172" spans="1:11" ht="51" x14ac:dyDescent="0.4">
      <c r="A2172" s="10" t="s">
        <v>10296</v>
      </c>
      <c r="B2172" s="10" t="s">
        <v>10297</v>
      </c>
      <c r="C2172" s="10" t="s">
        <v>9828</v>
      </c>
      <c r="D2172" s="10" t="s">
        <v>10298</v>
      </c>
      <c r="E2172" s="10" t="s">
        <v>6182</v>
      </c>
      <c r="F2172" s="10" t="s">
        <v>632</v>
      </c>
      <c r="G2172" s="10" t="s">
        <v>76</v>
      </c>
      <c r="H2172" s="7" t="s">
        <v>1031</v>
      </c>
      <c r="I2172" s="7" t="s">
        <v>25</v>
      </c>
      <c r="J2172" s="13" t="str">
        <f>HYPERLINK("https://www.airitibooks.com/Detail/Detail?PublicationID=P20181204035", "https://www.airitibooks.com/Detail/Detail?PublicationID=P20181204035")</f>
        <v>https://www.airitibooks.com/Detail/Detail?PublicationID=P20181204035</v>
      </c>
      <c r="K2172" s="13" t="str">
        <f>HYPERLINK("https://ntsu.idm.oclc.org/login?url=https://www.airitibooks.com/Detail/Detail?PublicationID=P20181204035", "https://ntsu.idm.oclc.org/login?url=https://www.airitibooks.com/Detail/Detail?PublicationID=P20181204035")</f>
        <v>https://ntsu.idm.oclc.org/login?url=https://www.airitibooks.com/Detail/Detail?PublicationID=P20181204035</v>
      </c>
    </row>
    <row r="2173" spans="1:11" ht="51" x14ac:dyDescent="0.4">
      <c r="A2173" s="10" t="s">
        <v>10299</v>
      </c>
      <c r="B2173" s="10" t="s">
        <v>10300</v>
      </c>
      <c r="C2173" s="10" t="s">
        <v>9828</v>
      </c>
      <c r="D2173" s="10" t="s">
        <v>10298</v>
      </c>
      <c r="E2173" s="10" t="s">
        <v>6182</v>
      </c>
      <c r="F2173" s="10" t="s">
        <v>632</v>
      </c>
      <c r="G2173" s="10" t="s">
        <v>76</v>
      </c>
      <c r="H2173" s="7" t="s">
        <v>1031</v>
      </c>
      <c r="I2173" s="7" t="s">
        <v>25</v>
      </c>
      <c r="J2173" s="13" t="str">
        <f>HYPERLINK("https://www.airitibooks.com/Detail/Detail?PublicationID=P20181204036", "https://www.airitibooks.com/Detail/Detail?PublicationID=P20181204036")</f>
        <v>https://www.airitibooks.com/Detail/Detail?PublicationID=P20181204036</v>
      </c>
      <c r="K2173" s="13" t="str">
        <f>HYPERLINK("https://ntsu.idm.oclc.org/login?url=https://www.airitibooks.com/Detail/Detail?PublicationID=P20181204036", "https://ntsu.idm.oclc.org/login?url=https://www.airitibooks.com/Detail/Detail?PublicationID=P20181204036")</f>
        <v>https://ntsu.idm.oclc.org/login?url=https://www.airitibooks.com/Detail/Detail?PublicationID=P20181204036</v>
      </c>
    </row>
    <row r="2174" spans="1:11" ht="51" x14ac:dyDescent="0.4">
      <c r="A2174" s="10" t="s">
        <v>10301</v>
      </c>
      <c r="B2174" s="10" t="s">
        <v>10302</v>
      </c>
      <c r="C2174" s="10" t="s">
        <v>9828</v>
      </c>
      <c r="D2174" s="10" t="s">
        <v>10303</v>
      </c>
      <c r="E2174" s="10" t="s">
        <v>6182</v>
      </c>
      <c r="F2174" s="10" t="s">
        <v>10099</v>
      </c>
      <c r="G2174" s="10" t="s">
        <v>76</v>
      </c>
      <c r="H2174" s="7" t="s">
        <v>1031</v>
      </c>
      <c r="I2174" s="7" t="s">
        <v>25</v>
      </c>
      <c r="J2174" s="13" t="str">
        <f>HYPERLINK("https://www.airitibooks.com/Detail/Detail?PublicationID=P20181204037", "https://www.airitibooks.com/Detail/Detail?PublicationID=P20181204037")</f>
        <v>https://www.airitibooks.com/Detail/Detail?PublicationID=P20181204037</v>
      </c>
      <c r="K2174" s="13" t="str">
        <f>HYPERLINK("https://ntsu.idm.oclc.org/login?url=https://www.airitibooks.com/Detail/Detail?PublicationID=P20181204037", "https://ntsu.idm.oclc.org/login?url=https://www.airitibooks.com/Detail/Detail?PublicationID=P20181204037")</f>
        <v>https://ntsu.idm.oclc.org/login?url=https://www.airitibooks.com/Detail/Detail?PublicationID=P20181204037</v>
      </c>
    </row>
    <row r="2175" spans="1:11" ht="51" x14ac:dyDescent="0.4">
      <c r="A2175" s="10" t="s">
        <v>10304</v>
      </c>
      <c r="B2175" s="10" t="s">
        <v>10305</v>
      </c>
      <c r="C2175" s="10" t="s">
        <v>9828</v>
      </c>
      <c r="D2175" s="10" t="s">
        <v>10306</v>
      </c>
      <c r="E2175" s="10" t="s">
        <v>6182</v>
      </c>
      <c r="F2175" s="10" t="s">
        <v>10171</v>
      </c>
      <c r="G2175" s="10" t="s">
        <v>76</v>
      </c>
      <c r="H2175" s="7" t="s">
        <v>1031</v>
      </c>
      <c r="I2175" s="7" t="s">
        <v>25</v>
      </c>
      <c r="J2175" s="13" t="str">
        <f>HYPERLINK("https://www.airitibooks.com/Detail/Detail?PublicationID=P20181204039", "https://www.airitibooks.com/Detail/Detail?PublicationID=P20181204039")</f>
        <v>https://www.airitibooks.com/Detail/Detail?PublicationID=P20181204039</v>
      </c>
      <c r="K2175" s="13" t="str">
        <f>HYPERLINK("https://ntsu.idm.oclc.org/login?url=https://www.airitibooks.com/Detail/Detail?PublicationID=P20181204039", "https://ntsu.idm.oclc.org/login?url=https://www.airitibooks.com/Detail/Detail?PublicationID=P20181204039")</f>
        <v>https://ntsu.idm.oclc.org/login?url=https://www.airitibooks.com/Detail/Detail?PublicationID=P20181204039</v>
      </c>
    </row>
    <row r="2176" spans="1:11" ht="51" x14ac:dyDescent="0.4">
      <c r="A2176" s="10" t="s">
        <v>10307</v>
      </c>
      <c r="B2176" s="10" t="s">
        <v>10308</v>
      </c>
      <c r="C2176" s="10" t="s">
        <v>9828</v>
      </c>
      <c r="D2176" s="10" t="s">
        <v>10309</v>
      </c>
      <c r="E2176" s="10" t="s">
        <v>6182</v>
      </c>
      <c r="F2176" s="10" t="s">
        <v>9821</v>
      </c>
      <c r="G2176" s="10" t="s">
        <v>76</v>
      </c>
      <c r="H2176" s="7" t="s">
        <v>1031</v>
      </c>
      <c r="I2176" s="7" t="s">
        <v>25</v>
      </c>
      <c r="J2176" s="13" t="str">
        <f>HYPERLINK("https://www.airitibooks.com/Detail/Detail?PublicationID=P20181204048", "https://www.airitibooks.com/Detail/Detail?PublicationID=P20181204048")</f>
        <v>https://www.airitibooks.com/Detail/Detail?PublicationID=P20181204048</v>
      </c>
      <c r="K2176" s="13" t="str">
        <f>HYPERLINK("https://ntsu.idm.oclc.org/login?url=https://www.airitibooks.com/Detail/Detail?PublicationID=P20181204048", "https://ntsu.idm.oclc.org/login?url=https://www.airitibooks.com/Detail/Detail?PublicationID=P20181204048")</f>
        <v>https://ntsu.idm.oclc.org/login?url=https://www.airitibooks.com/Detail/Detail?PublicationID=P20181204048</v>
      </c>
    </row>
    <row r="2177" spans="1:11" ht="68" x14ac:dyDescent="0.4">
      <c r="A2177" s="10" t="s">
        <v>10310</v>
      </c>
      <c r="B2177" s="10" t="s">
        <v>10311</v>
      </c>
      <c r="C2177" s="10" t="s">
        <v>9828</v>
      </c>
      <c r="D2177" s="10" t="s">
        <v>10312</v>
      </c>
      <c r="E2177" s="10" t="s">
        <v>6182</v>
      </c>
      <c r="F2177" s="10" t="s">
        <v>2332</v>
      </c>
      <c r="G2177" s="10" t="s">
        <v>76</v>
      </c>
      <c r="H2177" s="7" t="s">
        <v>1031</v>
      </c>
      <c r="I2177" s="7" t="s">
        <v>25</v>
      </c>
      <c r="J2177" s="13" t="str">
        <f>HYPERLINK("https://www.airitibooks.com/Detail/Detail?PublicationID=P20181204049", "https://www.airitibooks.com/Detail/Detail?PublicationID=P20181204049")</f>
        <v>https://www.airitibooks.com/Detail/Detail?PublicationID=P20181204049</v>
      </c>
      <c r="K2177" s="13" t="str">
        <f>HYPERLINK("https://ntsu.idm.oclc.org/login?url=https://www.airitibooks.com/Detail/Detail?PublicationID=P20181204049", "https://ntsu.idm.oclc.org/login?url=https://www.airitibooks.com/Detail/Detail?PublicationID=P20181204049")</f>
        <v>https://ntsu.idm.oclc.org/login?url=https://www.airitibooks.com/Detail/Detail?PublicationID=P20181204049</v>
      </c>
    </row>
    <row r="2178" spans="1:11" ht="51" x14ac:dyDescent="0.4">
      <c r="A2178" s="10" t="s">
        <v>10316</v>
      </c>
      <c r="B2178" s="10" t="s">
        <v>10317</v>
      </c>
      <c r="C2178" s="10" t="s">
        <v>9828</v>
      </c>
      <c r="D2178" s="10" t="s">
        <v>10318</v>
      </c>
      <c r="E2178" s="10" t="s">
        <v>6182</v>
      </c>
      <c r="F2178" s="10" t="s">
        <v>8194</v>
      </c>
      <c r="G2178" s="10" t="s">
        <v>76</v>
      </c>
      <c r="H2178" s="7" t="s">
        <v>1031</v>
      </c>
      <c r="I2178" s="7" t="s">
        <v>25</v>
      </c>
      <c r="J2178" s="13" t="str">
        <f>HYPERLINK("https://www.airitibooks.com/Detail/Detail?PublicationID=P20181204064", "https://www.airitibooks.com/Detail/Detail?PublicationID=P20181204064")</f>
        <v>https://www.airitibooks.com/Detail/Detail?PublicationID=P20181204064</v>
      </c>
      <c r="K2178" s="13" t="str">
        <f>HYPERLINK("https://ntsu.idm.oclc.org/login?url=https://www.airitibooks.com/Detail/Detail?PublicationID=P20181204064", "https://ntsu.idm.oclc.org/login?url=https://www.airitibooks.com/Detail/Detail?PublicationID=P20181204064")</f>
        <v>https://ntsu.idm.oclc.org/login?url=https://www.airitibooks.com/Detail/Detail?PublicationID=P20181204064</v>
      </c>
    </row>
    <row r="2179" spans="1:11" ht="51" x14ac:dyDescent="0.4">
      <c r="A2179" s="10" t="s">
        <v>10319</v>
      </c>
      <c r="B2179" s="10" t="s">
        <v>10320</v>
      </c>
      <c r="C2179" s="10" t="s">
        <v>9828</v>
      </c>
      <c r="D2179" s="10" t="s">
        <v>10321</v>
      </c>
      <c r="E2179" s="10" t="s">
        <v>6182</v>
      </c>
      <c r="F2179" s="10" t="s">
        <v>65</v>
      </c>
      <c r="G2179" s="10" t="s">
        <v>76</v>
      </c>
      <c r="H2179" s="7" t="s">
        <v>1031</v>
      </c>
      <c r="I2179" s="7" t="s">
        <v>25</v>
      </c>
      <c r="J2179" s="13" t="str">
        <f>HYPERLINK("https://www.airitibooks.com/Detail/Detail?PublicationID=P20181204074", "https://www.airitibooks.com/Detail/Detail?PublicationID=P20181204074")</f>
        <v>https://www.airitibooks.com/Detail/Detail?PublicationID=P20181204074</v>
      </c>
      <c r="K2179" s="13" t="str">
        <f>HYPERLINK("https://ntsu.idm.oclc.org/login?url=https://www.airitibooks.com/Detail/Detail?PublicationID=P20181204074", "https://ntsu.idm.oclc.org/login?url=https://www.airitibooks.com/Detail/Detail?PublicationID=P20181204074")</f>
        <v>https://ntsu.idm.oclc.org/login?url=https://www.airitibooks.com/Detail/Detail?PublicationID=P20181204074</v>
      </c>
    </row>
    <row r="2180" spans="1:11" ht="51" x14ac:dyDescent="0.4">
      <c r="A2180" s="10" t="s">
        <v>10322</v>
      </c>
      <c r="B2180" s="10" t="s">
        <v>10323</v>
      </c>
      <c r="C2180" s="10" t="s">
        <v>9828</v>
      </c>
      <c r="D2180" s="10" t="s">
        <v>10324</v>
      </c>
      <c r="E2180" s="10" t="s">
        <v>6182</v>
      </c>
      <c r="F2180" s="10" t="s">
        <v>10210</v>
      </c>
      <c r="G2180" s="10" t="s">
        <v>76</v>
      </c>
      <c r="H2180" s="7" t="s">
        <v>1031</v>
      </c>
      <c r="I2180" s="7" t="s">
        <v>25</v>
      </c>
      <c r="J2180" s="13" t="str">
        <f>HYPERLINK("https://www.airitibooks.com/Detail/Detail?PublicationID=P20181204083", "https://www.airitibooks.com/Detail/Detail?PublicationID=P20181204083")</f>
        <v>https://www.airitibooks.com/Detail/Detail?PublicationID=P20181204083</v>
      </c>
      <c r="K2180" s="13" t="str">
        <f>HYPERLINK("https://ntsu.idm.oclc.org/login?url=https://www.airitibooks.com/Detail/Detail?PublicationID=P20181204083", "https://ntsu.idm.oclc.org/login?url=https://www.airitibooks.com/Detail/Detail?PublicationID=P20181204083")</f>
        <v>https://ntsu.idm.oclc.org/login?url=https://www.airitibooks.com/Detail/Detail?PublicationID=P20181204083</v>
      </c>
    </row>
    <row r="2181" spans="1:11" ht="51" x14ac:dyDescent="0.4">
      <c r="A2181" s="10" t="s">
        <v>10325</v>
      </c>
      <c r="B2181" s="10" t="s">
        <v>10326</v>
      </c>
      <c r="C2181" s="10" t="s">
        <v>9828</v>
      </c>
      <c r="D2181" s="10" t="s">
        <v>10327</v>
      </c>
      <c r="E2181" s="10" t="s">
        <v>6182</v>
      </c>
      <c r="F2181" s="10" t="s">
        <v>2332</v>
      </c>
      <c r="G2181" s="10" t="s">
        <v>76</v>
      </c>
      <c r="H2181" s="7" t="s">
        <v>1031</v>
      </c>
      <c r="I2181" s="7" t="s">
        <v>25</v>
      </c>
      <c r="J2181" s="13" t="str">
        <f>HYPERLINK("https://www.airitibooks.com/Detail/Detail?PublicationID=P20181204091", "https://www.airitibooks.com/Detail/Detail?PublicationID=P20181204091")</f>
        <v>https://www.airitibooks.com/Detail/Detail?PublicationID=P20181204091</v>
      </c>
      <c r="K2181" s="13" t="str">
        <f>HYPERLINK("https://ntsu.idm.oclc.org/login?url=https://www.airitibooks.com/Detail/Detail?PublicationID=P20181204091", "https://ntsu.idm.oclc.org/login?url=https://www.airitibooks.com/Detail/Detail?PublicationID=P20181204091")</f>
        <v>https://ntsu.idm.oclc.org/login?url=https://www.airitibooks.com/Detail/Detail?PublicationID=P20181204091</v>
      </c>
    </row>
    <row r="2182" spans="1:11" ht="68" x14ac:dyDescent="0.4">
      <c r="A2182" s="10" t="s">
        <v>10333</v>
      </c>
      <c r="B2182" s="10" t="s">
        <v>10334</v>
      </c>
      <c r="C2182" s="10" t="s">
        <v>9828</v>
      </c>
      <c r="D2182" s="10" t="s">
        <v>10335</v>
      </c>
      <c r="E2182" s="10" t="s">
        <v>6182</v>
      </c>
      <c r="F2182" s="10" t="s">
        <v>10336</v>
      </c>
      <c r="G2182" s="10" t="s">
        <v>76</v>
      </c>
      <c r="H2182" s="7" t="s">
        <v>1031</v>
      </c>
      <c r="I2182" s="7" t="s">
        <v>25</v>
      </c>
      <c r="J2182" s="13" t="str">
        <f>HYPERLINK("https://www.airitibooks.com/Detail/Detail?PublicationID=P20181204100", "https://www.airitibooks.com/Detail/Detail?PublicationID=P20181204100")</f>
        <v>https://www.airitibooks.com/Detail/Detail?PublicationID=P20181204100</v>
      </c>
      <c r="K2182" s="13" t="str">
        <f>HYPERLINK("https://ntsu.idm.oclc.org/login?url=https://www.airitibooks.com/Detail/Detail?PublicationID=P20181204100", "https://ntsu.idm.oclc.org/login?url=https://www.airitibooks.com/Detail/Detail?PublicationID=P20181204100")</f>
        <v>https://ntsu.idm.oclc.org/login?url=https://www.airitibooks.com/Detail/Detail?PublicationID=P20181204100</v>
      </c>
    </row>
    <row r="2183" spans="1:11" ht="51" x14ac:dyDescent="0.4">
      <c r="A2183" s="10" t="s">
        <v>10337</v>
      </c>
      <c r="B2183" s="10" t="s">
        <v>10338</v>
      </c>
      <c r="C2183" s="10" t="s">
        <v>9828</v>
      </c>
      <c r="D2183" s="10" t="s">
        <v>10339</v>
      </c>
      <c r="E2183" s="10" t="s">
        <v>6182</v>
      </c>
      <c r="F2183" s="10" t="s">
        <v>2332</v>
      </c>
      <c r="G2183" s="10" t="s">
        <v>76</v>
      </c>
      <c r="H2183" s="7" t="s">
        <v>1031</v>
      </c>
      <c r="I2183" s="7" t="s">
        <v>25</v>
      </c>
      <c r="J2183" s="13" t="str">
        <f>HYPERLINK("https://www.airitibooks.com/Detail/Detail?PublicationID=P20181204106", "https://www.airitibooks.com/Detail/Detail?PublicationID=P20181204106")</f>
        <v>https://www.airitibooks.com/Detail/Detail?PublicationID=P20181204106</v>
      </c>
      <c r="K2183" s="13" t="str">
        <f>HYPERLINK("https://ntsu.idm.oclc.org/login?url=https://www.airitibooks.com/Detail/Detail?PublicationID=P20181204106", "https://ntsu.idm.oclc.org/login?url=https://www.airitibooks.com/Detail/Detail?PublicationID=P20181204106")</f>
        <v>https://ntsu.idm.oclc.org/login?url=https://www.airitibooks.com/Detail/Detail?PublicationID=P20181204106</v>
      </c>
    </row>
    <row r="2184" spans="1:11" ht="51" x14ac:dyDescent="0.4">
      <c r="A2184" s="10" t="s">
        <v>10387</v>
      </c>
      <c r="B2184" s="10" t="s">
        <v>10388</v>
      </c>
      <c r="C2184" s="10" t="s">
        <v>10384</v>
      </c>
      <c r="D2184" s="10" t="s">
        <v>10389</v>
      </c>
      <c r="E2184" s="10" t="s">
        <v>6182</v>
      </c>
      <c r="F2184" s="10" t="s">
        <v>10390</v>
      </c>
      <c r="G2184" s="10" t="s">
        <v>76</v>
      </c>
      <c r="H2184" s="7" t="s">
        <v>24</v>
      </c>
      <c r="I2184" s="7" t="s">
        <v>25</v>
      </c>
      <c r="J2184" s="13" t="str">
        <f>HYPERLINK("https://www.airitibooks.com/Detail/Detail?PublicationID=P20181220025", "https://www.airitibooks.com/Detail/Detail?PublicationID=P20181220025")</f>
        <v>https://www.airitibooks.com/Detail/Detail?PublicationID=P20181220025</v>
      </c>
      <c r="K2184" s="13" t="str">
        <f>HYPERLINK("https://ntsu.idm.oclc.org/login?url=https://www.airitibooks.com/Detail/Detail?PublicationID=P20181220025", "https://ntsu.idm.oclc.org/login?url=https://www.airitibooks.com/Detail/Detail?PublicationID=P20181220025")</f>
        <v>https://ntsu.idm.oclc.org/login?url=https://www.airitibooks.com/Detail/Detail?PublicationID=P20181220025</v>
      </c>
    </row>
    <row r="2185" spans="1:11" ht="51" x14ac:dyDescent="0.4">
      <c r="A2185" s="10" t="s">
        <v>10391</v>
      </c>
      <c r="B2185" s="10" t="s">
        <v>10392</v>
      </c>
      <c r="C2185" s="10" t="s">
        <v>10384</v>
      </c>
      <c r="D2185" s="10" t="s">
        <v>10389</v>
      </c>
      <c r="E2185" s="10" t="s">
        <v>6182</v>
      </c>
      <c r="F2185" s="10" t="s">
        <v>10390</v>
      </c>
      <c r="G2185" s="10" t="s">
        <v>76</v>
      </c>
      <c r="H2185" s="7" t="s">
        <v>24</v>
      </c>
      <c r="I2185" s="7" t="s">
        <v>25</v>
      </c>
      <c r="J2185" s="13" t="str">
        <f>HYPERLINK("https://www.airitibooks.com/Detail/Detail?PublicationID=P20181220026", "https://www.airitibooks.com/Detail/Detail?PublicationID=P20181220026")</f>
        <v>https://www.airitibooks.com/Detail/Detail?PublicationID=P20181220026</v>
      </c>
      <c r="K2185" s="13" t="str">
        <f>HYPERLINK("https://ntsu.idm.oclc.org/login?url=https://www.airitibooks.com/Detail/Detail?PublicationID=P20181220026", "https://ntsu.idm.oclc.org/login?url=https://www.airitibooks.com/Detail/Detail?PublicationID=P20181220026")</f>
        <v>https://ntsu.idm.oclc.org/login?url=https://www.airitibooks.com/Detail/Detail?PublicationID=P20181220026</v>
      </c>
    </row>
    <row r="2186" spans="1:11" ht="51" x14ac:dyDescent="0.4">
      <c r="A2186" s="10" t="s">
        <v>10802</v>
      </c>
      <c r="B2186" s="10" t="s">
        <v>10803</v>
      </c>
      <c r="C2186" s="10" t="s">
        <v>277</v>
      </c>
      <c r="D2186" s="10" t="s">
        <v>10804</v>
      </c>
      <c r="E2186" s="10" t="s">
        <v>6182</v>
      </c>
      <c r="F2186" s="10" t="s">
        <v>10805</v>
      </c>
      <c r="G2186" s="10" t="s">
        <v>76</v>
      </c>
      <c r="H2186" s="7" t="s">
        <v>24</v>
      </c>
      <c r="I2186" s="7" t="s">
        <v>25</v>
      </c>
      <c r="J2186" s="13" t="str">
        <f>HYPERLINK("https://www.airitibooks.com/Detail/Detail?PublicationID=P20190220029", "https://www.airitibooks.com/Detail/Detail?PublicationID=P20190220029")</f>
        <v>https://www.airitibooks.com/Detail/Detail?PublicationID=P20190220029</v>
      </c>
      <c r="K2186" s="13" t="str">
        <f>HYPERLINK("https://ntsu.idm.oclc.org/login?url=https://www.airitibooks.com/Detail/Detail?PublicationID=P20190220029", "https://ntsu.idm.oclc.org/login?url=https://www.airitibooks.com/Detail/Detail?PublicationID=P20190220029")</f>
        <v>https://ntsu.idm.oclc.org/login?url=https://www.airitibooks.com/Detail/Detail?PublicationID=P20190220029</v>
      </c>
    </row>
    <row r="2187" spans="1:11" ht="68" x14ac:dyDescent="0.4">
      <c r="A2187" s="10" t="s">
        <v>10858</v>
      </c>
      <c r="B2187" s="10" t="s">
        <v>10859</v>
      </c>
      <c r="C2187" s="10" t="s">
        <v>10704</v>
      </c>
      <c r="D2187" s="10" t="s">
        <v>10704</v>
      </c>
      <c r="E2187" s="10" t="s">
        <v>6182</v>
      </c>
      <c r="F2187" s="10" t="s">
        <v>5854</v>
      </c>
      <c r="G2187" s="10" t="s">
        <v>76</v>
      </c>
      <c r="H2187" s="7" t="s">
        <v>24</v>
      </c>
      <c r="I2187" s="7" t="s">
        <v>25</v>
      </c>
      <c r="J2187" s="13" t="str">
        <f>HYPERLINK("https://www.airitibooks.com/Detail/Detail?PublicationID=P20190221064", "https://www.airitibooks.com/Detail/Detail?PublicationID=P20190221064")</f>
        <v>https://www.airitibooks.com/Detail/Detail?PublicationID=P20190221064</v>
      </c>
      <c r="K2187" s="13" t="str">
        <f>HYPERLINK("https://ntsu.idm.oclc.org/login?url=https://www.airitibooks.com/Detail/Detail?PublicationID=P20190221064", "https://ntsu.idm.oclc.org/login?url=https://www.airitibooks.com/Detail/Detail?PublicationID=P20190221064")</f>
        <v>https://ntsu.idm.oclc.org/login?url=https://www.airitibooks.com/Detail/Detail?PublicationID=P20190221064</v>
      </c>
    </row>
    <row r="2188" spans="1:11" ht="51" x14ac:dyDescent="0.4">
      <c r="A2188" s="10" t="s">
        <v>11230</v>
      </c>
      <c r="B2188" s="10" t="s">
        <v>11231</v>
      </c>
      <c r="C2188" s="10" t="s">
        <v>11228</v>
      </c>
      <c r="D2188" s="10" t="s">
        <v>11232</v>
      </c>
      <c r="E2188" s="10" t="s">
        <v>6182</v>
      </c>
      <c r="F2188" s="10" t="s">
        <v>4564</v>
      </c>
      <c r="G2188" s="10" t="s">
        <v>76</v>
      </c>
      <c r="H2188" s="7" t="s">
        <v>24</v>
      </c>
      <c r="I2188" s="7" t="s">
        <v>25</v>
      </c>
      <c r="J2188" s="13" t="str">
        <f>HYPERLINK("https://www.airitibooks.com/Detail/Detail?PublicationID=P20190503020", "https://www.airitibooks.com/Detail/Detail?PublicationID=P20190503020")</f>
        <v>https://www.airitibooks.com/Detail/Detail?PublicationID=P20190503020</v>
      </c>
      <c r="K2188" s="13" t="str">
        <f>HYPERLINK("https://ntsu.idm.oclc.org/login?url=https://www.airitibooks.com/Detail/Detail?PublicationID=P20190503020", "https://ntsu.idm.oclc.org/login?url=https://www.airitibooks.com/Detail/Detail?PublicationID=P20190503020")</f>
        <v>https://ntsu.idm.oclc.org/login?url=https://www.airitibooks.com/Detail/Detail?PublicationID=P20190503020</v>
      </c>
    </row>
    <row r="2189" spans="1:11" ht="51" x14ac:dyDescent="0.4">
      <c r="A2189" s="10" t="s">
        <v>11239</v>
      </c>
      <c r="B2189" s="10" t="s">
        <v>11240</v>
      </c>
      <c r="C2189" s="10" t="s">
        <v>11228</v>
      </c>
      <c r="D2189" s="10" t="s">
        <v>11241</v>
      </c>
      <c r="E2189" s="10" t="s">
        <v>6182</v>
      </c>
      <c r="F2189" s="10" t="s">
        <v>7835</v>
      </c>
      <c r="G2189" s="10" t="s">
        <v>76</v>
      </c>
      <c r="H2189" s="7" t="s">
        <v>24</v>
      </c>
      <c r="I2189" s="7" t="s">
        <v>25</v>
      </c>
      <c r="J2189" s="13" t="str">
        <f>HYPERLINK("https://www.airitibooks.com/Detail/Detail?PublicationID=P20190503026", "https://www.airitibooks.com/Detail/Detail?PublicationID=P20190503026")</f>
        <v>https://www.airitibooks.com/Detail/Detail?PublicationID=P20190503026</v>
      </c>
      <c r="K2189" s="13" t="str">
        <f>HYPERLINK("https://ntsu.idm.oclc.org/login?url=https://www.airitibooks.com/Detail/Detail?PublicationID=P20190503026", "https://ntsu.idm.oclc.org/login?url=https://www.airitibooks.com/Detail/Detail?PublicationID=P20190503026")</f>
        <v>https://ntsu.idm.oclc.org/login?url=https://www.airitibooks.com/Detail/Detail?PublicationID=P20190503026</v>
      </c>
    </row>
    <row r="2190" spans="1:11" ht="51" x14ac:dyDescent="0.4">
      <c r="A2190" s="10" t="s">
        <v>11510</v>
      </c>
      <c r="B2190" s="10" t="s">
        <v>11511</v>
      </c>
      <c r="C2190" s="10" t="s">
        <v>9828</v>
      </c>
      <c r="D2190" s="10" t="s">
        <v>11512</v>
      </c>
      <c r="E2190" s="10" t="s">
        <v>6182</v>
      </c>
      <c r="F2190" s="10" t="s">
        <v>6226</v>
      </c>
      <c r="G2190" s="10" t="s">
        <v>76</v>
      </c>
      <c r="H2190" s="7" t="s">
        <v>1031</v>
      </c>
      <c r="I2190" s="7" t="s">
        <v>25</v>
      </c>
      <c r="J2190" s="13" t="str">
        <f>HYPERLINK("https://www.airitibooks.com/Detail/Detail?PublicationID=P20190523133", "https://www.airitibooks.com/Detail/Detail?PublicationID=P20190523133")</f>
        <v>https://www.airitibooks.com/Detail/Detail?PublicationID=P20190523133</v>
      </c>
      <c r="K2190" s="13" t="str">
        <f>HYPERLINK("https://ntsu.idm.oclc.org/login?url=https://www.airitibooks.com/Detail/Detail?PublicationID=P20190523133", "https://ntsu.idm.oclc.org/login?url=https://www.airitibooks.com/Detail/Detail?PublicationID=P20190523133")</f>
        <v>https://ntsu.idm.oclc.org/login?url=https://www.airitibooks.com/Detail/Detail?PublicationID=P20190523133</v>
      </c>
    </row>
    <row r="2191" spans="1:11" ht="51" x14ac:dyDescent="0.4">
      <c r="A2191" s="10" t="s">
        <v>11520</v>
      </c>
      <c r="B2191" s="10" t="s">
        <v>11521</v>
      </c>
      <c r="C2191" s="10" t="s">
        <v>9828</v>
      </c>
      <c r="D2191" s="10" t="s">
        <v>11522</v>
      </c>
      <c r="E2191" s="10" t="s">
        <v>6182</v>
      </c>
      <c r="F2191" s="10" t="s">
        <v>5371</v>
      </c>
      <c r="G2191" s="10" t="s">
        <v>76</v>
      </c>
      <c r="H2191" s="7" t="s">
        <v>1031</v>
      </c>
      <c r="I2191" s="7" t="s">
        <v>25</v>
      </c>
      <c r="J2191" s="13" t="str">
        <f>HYPERLINK("https://www.airitibooks.com/Detail/Detail?PublicationID=P20190523140", "https://www.airitibooks.com/Detail/Detail?PublicationID=P20190523140")</f>
        <v>https://www.airitibooks.com/Detail/Detail?PublicationID=P20190523140</v>
      </c>
      <c r="K2191" s="13" t="str">
        <f>HYPERLINK("https://ntsu.idm.oclc.org/login?url=https://www.airitibooks.com/Detail/Detail?PublicationID=P20190523140", "https://ntsu.idm.oclc.org/login?url=https://www.airitibooks.com/Detail/Detail?PublicationID=P20190523140")</f>
        <v>https://ntsu.idm.oclc.org/login?url=https://www.airitibooks.com/Detail/Detail?PublicationID=P20190523140</v>
      </c>
    </row>
    <row r="2192" spans="1:11" ht="51" x14ac:dyDescent="0.4">
      <c r="A2192" s="10" t="s">
        <v>11628</v>
      </c>
      <c r="B2192" s="10" t="s">
        <v>11629</v>
      </c>
      <c r="C2192" s="10" t="s">
        <v>680</v>
      </c>
      <c r="D2192" s="10" t="s">
        <v>11630</v>
      </c>
      <c r="E2192" s="10" t="s">
        <v>6182</v>
      </c>
      <c r="F2192" s="10" t="s">
        <v>2007</v>
      </c>
      <c r="G2192" s="10" t="s">
        <v>76</v>
      </c>
      <c r="H2192" s="7" t="s">
        <v>24</v>
      </c>
      <c r="I2192" s="7" t="s">
        <v>25</v>
      </c>
      <c r="J2192" s="13" t="str">
        <f>HYPERLINK("https://www.airitibooks.com/Detail/Detail?PublicationID=P20190606142", "https://www.airitibooks.com/Detail/Detail?PublicationID=P20190606142")</f>
        <v>https://www.airitibooks.com/Detail/Detail?PublicationID=P20190606142</v>
      </c>
      <c r="K2192" s="13" t="str">
        <f>HYPERLINK("https://ntsu.idm.oclc.org/login?url=https://www.airitibooks.com/Detail/Detail?PublicationID=P20190606142", "https://ntsu.idm.oclc.org/login?url=https://www.airitibooks.com/Detail/Detail?PublicationID=P20190606142")</f>
        <v>https://ntsu.idm.oclc.org/login?url=https://www.airitibooks.com/Detail/Detail?PublicationID=P20190606142</v>
      </c>
    </row>
    <row r="2193" spans="1:11" ht="51" x14ac:dyDescent="0.4">
      <c r="A2193" s="10" t="s">
        <v>12586</v>
      </c>
      <c r="B2193" s="10" t="s">
        <v>12587</v>
      </c>
      <c r="C2193" s="10" t="s">
        <v>12510</v>
      </c>
      <c r="D2193" s="10" t="s">
        <v>12588</v>
      </c>
      <c r="E2193" s="10" t="s">
        <v>6182</v>
      </c>
      <c r="F2193" s="10" t="s">
        <v>1998</v>
      </c>
      <c r="G2193" s="10" t="s">
        <v>76</v>
      </c>
      <c r="H2193" s="7" t="s">
        <v>1467</v>
      </c>
      <c r="I2193" s="7" t="s">
        <v>25</v>
      </c>
      <c r="J2193" s="13" t="str">
        <f>HYPERLINK("https://www.airitibooks.com/Detail/Detail?PublicationID=P20191009157", "https://www.airitibooks.com/Detail/Detail?PublicationID=P20191009157")</f>
        <v>https://www.airitibooks.com/Detail/Detail?PublicationID=P20191009157</v>
      </c>
      <c r="K2193" s="13" t="str">
        <f>HYPERLINK("https://ntsu.idm.oclc.org/login?url=https://www.airitibooks.com/Detail/Detail?PublicationID=P20191009157", "https://ntsu.idm.oclc.org/login?url=https://www.airitibooks.com/Detail/Detail?PublicationID=P20191009157")</f>
        <v>https://ntsu.idm.oclc.org/login?url=https://www.airitibooks.com/Detail/Detail?PublicationID=P20191009157</v>
      </c>
    </row>
    <row r="2194" spans="1:11" ht="68" x14ac:dyDescent="0.4">
      <c r="A2194" s="10" t="s">
        <v>12593</v>
      </c>
      <c r="B2194" s="10" t="s">
        <v>12594</v>
      </c>
      <c r="C2194" s="10" t="s">
        <v>12510</v>
      </c>
      <c r="D2194" s="10" t="s">
        <v>12595</v>
      </c>
      <c r="E2194" s="10" t="s">
        <v>6182</v>
      </c>
      <c r="F2194" s="10" t="s">
        <v>1998</v>
      </c>
      <c r="G2194" s="10" t="s">
        <v>76</v>
      </c>
      <c r="H2194" s="7" t="s">
        <v>1467</v>
      </c>
      <c r="I2194" s="7" t="s">
        <v>25</v>
      </c>
      <c r="J2194" s="13" t="str">
        <f>HYPERLINK("https://www.airitibooks.com/Detail/Detail?PublicationID=P20191009159", "https://www.airitibooks.com/Detail/Detail?PublicationID=P20191009159")</f>
        <v>https://www.airitibooks.com/Detail/Detail?PublicationID=P20191009159</v>
      </c>
      <c r="K2194" s="13" t="str">
        <f>HYPERLINK("https://ntsu.idm.oclc.org/login?url=https://www.airitibooks.com/Detail/Detail?PublicationID=P20191009159", "https://ntsu.idm.oclc.org/login?url=https://www.airitibooks.com/Detail/Detail?PublicationID=P20191009159")</f>
        <v>https://ntsu.idm.oclc.org/login?url=https://www.airitibooks.com/Detail/Detail?PublicationID=P20191009159</v>
      </c>
    </row>
    <row r="2195" spans="1:11" ht="51" x14ac:dyDescent="0.4">
      <c r="A2195" s="10" t="s">
        <v>12596</v>
      </c>
      <c r="B2195" s="10" t="s">
        <v>12597</v>
      </c>
      <c r="C2195" s="10" t="s">
        <v>12510</v>
      </c>
      <c r="D2195" s="10" t="s">
        <v>12598</v>
      </c>
      <c r="E2195" s="10" t="s">
        <v>6182</v>
      </c>
      <c r="F2195" s="10" t="s">
        <v>1998</v>
      </c>
      <c r="G2195" s="10" t="s">
        <v>76</v>
      </c>
      <c r="H2195" s="7" t="s">
        <v>1467</v>
      </c>
      <c r="I2195" s="7" t="s">
        <v>25</v>
      </c>
      <c r="J2195" s="13" t="str">
        <f>HYPERLINK("https://www.airitibooks.com/Detail/Detail?PublicationID=P20191009161", "https://www.airitibooks.com/Detail/Detail?PublicationID=P20191009161")</f>
        <v>https://www.airitibooks.com/Detail/Detail?PublicationID=P20191009161</v>
      </c>
      <c r="K2195" s="13" t="str">
        <f>HYPERLINK("https://ntsu.idm.oclc.org/login?url=https://www.airitibooks.com/Detail/Detail?PublicationID=P20191009161", "https://ntsu.idm.oclc.org/login?url=https://www.airitibooks.com/Detail/Detail?PublicationID=P20191009161")</f>
        <v>https://ntsu.idm.oclc.org/login?url=https://www.airitibooks.com/Detail/Detail?PublicationID=P20191009161</v>
      </c>
    </row>
    <row r="2196" spans="1:11" ht="51" x14ac:dyDescent="0.4">
      <c r="A2196" s="10" t="s">
        <v>12850</v>
      </c>
      <c r="B2196" s="10" t="s">
        <v>12851</v>
      </c>
      <c r="C2196" s="10" t="s">
        <v>9828</v>
      </c>
      <c r="D2196" s="10" t="s">
        <v>12852</v>
      </c>
      <c r="E2196" s="10" t="s">
        <v>6182</v>
      </c>
      <c r="F2196" s="10" t="s">
        <v>10171</v>
      </c>
      <c r="G2196" s="10" t="s">
        <v>76</v>
      </c>
      <c r="H2196" s="7" t="s">
        <v>1031</v>
      </c>
      <c r="I2196" s="7" t="s">
        <v>25</v>
      </c>
      <c r="J2196" s="13" t="str">
        <f>HYPERLINK("https://www.airitibooks.com/Detail/Detail?PublicationID=P20191104037", "https://www.airitibooks.com/Detail/Detail?PublicationID=P20191104037")</f>
        <v>https://www.airitibooks.com/Detail/Detail?PublicationID=P20191104037</v>
      </c>
      <c r="K2196" s="13" t="str">
        <f>HYPERLINK("https://ntsu.idm.oclc.org/login?url=https://www.airitibooks.com/Detail/Detail?PublicationID=P20191104037", "https://ntsu.idm.oclc.org/login?url=https://www.airitibooks.com/Detail/Detail?PublicationID=P20191104037")</f>
        <v>https://ntsu.idm.oclc.org/login?url=https://www.airitibooks.com/Detail/Detail?PublicationID=P20191104037</v>
      </c>
    </row>
    <row r="2197" spans="1:11" ht="51" x14ac:dyDescent="0.4">
      <c r="A2197" s="10" t="s">
        <v>12853</v>
      </c>
      <c r="B2197" s="10" t="s">
        <v>12854</v>
      </c>
      <c r="C2197" s="10" t="s">
        <v>9828</v>
      </c>
      <c r="D2197" s="10" t="s">
        <v>12855</v>
      </c>
      <c r="E2197" s="10" t="s">
        <v>6182</v>
      </c>
      <c r="F2197" s="10" t="s">
        <v>10171</v>
      </c>
      <c r="G2197" s="10" t="s">
        <v>76</v>
      </c>
      <c r="H2197" s="7" t="s">
        <v>1031</v>
      </c>
      <c r="I2197" s="7" t="s">
        <v>25</v>
      </c>
      <c r="J2197" s="13" t="str">
        <f>HYPERLINK("https://www.airitibooks.com/Detail/Detail?PublicationID=P20191104038", "https://www.airitibooks.com/Detail/Detail?PublicationID=P20191104038")</f>
        <v>https://www.airitibooks.com/Detail/Detail?PublicationID=P20191104038</v>
      </c>
      <c r="K2197" s="13" t="str">
        <f>HYPERLINK("https://ntsu.idm.oclc.org/login?url=https://www.airitibooks.com/Detail/Detail?PublicationID=P20191104038", "https://ntsu.idm.oclc.org/login?url=https://www.airitibooks.com/Detail/Detail?PublicationID=P20191104038")</f>
        <v>https://ntsu.idm.oclc.org/login?url=https://www.airitibooks.com/Detail/Detail?PublicationID=P20191104038</v>
      </c>
    </row>
    <row r="2198" spans="1:11" ht="51" x14ac:dyDescent="0.4">
      <c r="A2198" s="10" t="s">
        <v>12863</v>
      </c>
      <c r="B2198" s="10" t="s">
        <v>12864</v>
      </c>
      <c r="C2198" s="10" t="s">
        <v>9828</v>
      </c>
      <c r="D2198" s="10" t="s">
        <v>12865</v>
      </c>
      <c r="E2198" s="10" t="s">
        <v>6182</v>
      </c>
      <c r="F2198" s="10" t="s">
        <v>10178</v>
      </c>
      <c r="G2198" s="10" t="s">
        <v>76</v>
      </c>
      <c r="H2198" s="7" t="s">
        <v>1031</v>
      </c>
      <c r="I2198" s="7" t="s">
        <v>25</v>
      </c>
      <c r="J2198" s="13" t="str">
        <f>HYPERLINK("https://www.airitibooks.com/Detail/Detail?PublicationID=P20191104041", "https://www.airitibooks.com/Detail/Detail?PublicationID=P20191104041")</f>
        <v>https://www.airitibooks.com/Detail/Detail?PublicationID=P20191104041</v>
      </c>
      <c r="K2198" s="13" t="str">
        <f>HYPERLINK("https://ntsu.idm.oclc.org/login?url=https://www.airitibooks.com/Detail/Detail?PublicationID=P20191104041", "https://ntsu.idm.oclc.org/login?url=https://www.airitibooks.com/Detail/Detail?PublicationID=P20191104041")</f>
        <v>https://ntsu.idm.oclc.org/login?url=https://www.airitibooks.com/Detail/Detail?PublicationID=P20191104041</v>
      </c>
    </row>
    <row r="2199" spans="1:11" ht="51" x14ac:dyDescent="0.4">
      <c r="A2199" s="10" t="s">
        <v>13120</v>
      </c>
      <c r="B2199" s="10" t="s">
        <v>13121</v>
      </c>
      <c r="C2199" s="10" t="s">
        <v>13117</v>
      </c>
      <c r="D2199" s="10" t="s">
        <v>13122</v>
      </c>
      <c r="E2199" s="10" t="s">
        <v>6182</v>
      </c>
      <c r="F2199" s="10" t="s">
        <v>65</v>
      </c>
      <c r="G2199" s="10" t="s">
        <v>76</v>
      </c>
      <c r="H2199" s="7" t="s">
        <v>1031</v>
      </c>
      <c r="I2199" s="7" t="s">
        <v>25</v>
      </c>
      <c r="J2199" s="13" t="str">
        <f>HYPERLINK("https://www.airitibooks.com/Detail/Detail?PublicationID=P20191225081", "https://www.airitibooks.com/Detail/Detail?PublicationID=P20191225081")</f>
        <v>https://www.airitibooks.com/Detail/Detail?PublicationID=P20191225081</v>
      </c>
      <c r="K2199" s="13" t="str">
        <f>HYPERLINK("https://ntsu.idm.oclc.org/login?url=https://www.airitibooks.com/Detail/Detail?PublicationID=P20191225081", "https://ntsu.idm.oclc.org/login?url=https://www.airitibooks.com/Detail/Detail?PublicationID=P20191225081")</f>
        <v>https://ntsu.idm.oclc.org/login?url=https://www.airitibooks.com/Detail/Detail?PublicationID=P20191225081</v>
      </c>
    </row>
    <row r="2200" spans="1:11" ht="51" x14ac:dyDescent="0.4">
      <c r="A2200" s="10" t="s">
        <v>13574</v>
      </c>
      <c r="B2200" s="10" t="s">
        <v>13575</v>
      </c>
      <c r="C2200" s="10" t="s">
        <v>9631</v>
      </c>
      <c r="D2200" s="10" t="s">
        <v>13576</v>
      </c>
      <c r="E2200" s="10" t="s">
        <v>6182</v>
      </c>
      <c r="F2200" s="10" t="s">
        <v>13577</v>
      </c>
      <c r="G2200" s="10" t="s">
        <v>76</v>
      </c>
      <c r="H2200" s="7" t="s">
        <v>24</v>
      </c>
      <c r="I2200" s="7" t="s">
        <v>25</v>
      </c>
      <c r="J2200" s="13" t="str">
        <f>HYPERLINK("https://www.airitibooks.com/Detail/Detail?PublicationID=P20200221186", "https://www.airitibooks.com/Detail/Detail?PublicationID=P20200221186")</f>
        <v>https://www.airitibooks.com/Detail/Detail?PublicationID=P20200221186</v>
      </c>
      <c r="K2200" s="13" t="str">
        <f>HYPERLINK("https://ntsu.idm.oclc.org/login?url=https://www.airitibooks.com/Detail/Detail?PublicationID=P20200221186", "https://ntsu.idm.oclc.org/login?url=https://www.airitibooks.com/Detail/Detail?PublicationID=P20200221186")</f>
        <v>https://ntsu.idm.oclc.org/login?url=https://www.airitibooks.com/Detail/Detail?PublicationID=P20200221186</v>
      </c>
    </row>
    <row r="2201" spans="1:11" ht="68" x14ac:dyDescent="0.4">
      <c r="A2201" s="10" t="s">
        <v>15523</v>
      </c>
      <c r="B2201" s="10" t="s">
        <v>15524</v>
      </c>
      <c r="C2201" s="10" t="s">
        <v>9828</v>
      </c>
      <c r="D2201" s="10" t="s">
        <v>15525</v>
      </c>
      <c r="E2201" s="10" t="s">
        <v>6182</v>
      </c>
      <c r="F2201" s="10" t="s">
        <v>3731</v>
      </c>
      <c r="G2201" s="10" t="s">
        <v>76</v>
      </c>
      <c r="H2201" s="7" t="s">
        <v>1031</v>
      </c>
      <c r="I2201" s="7" t="s">
        <v>25</v>
      </c>
      <c r="J2201" s="13" t="str">
        <f>HYPERLINK("https://www.airitibooks.com/Detail/Detail?PublicationID=P20210604036", "https://www.airitibooks.com/Detail/Detail?PublicationID=P20210604036")</f>
        <v>https://www.airitibooks.com/Detail/Detail?PublicationID=P20210604036</v>
      </c>
      <c r="K2201" s="13" t="str">
        <f>HYPERLINK("https://ntsu.idm.oclc.org/login?url=https://www.airitibooks.com/Detail/Detail?PublicationID=P20210604036", "https://ntsu.idm.oclc.org/login?url=https://www.airitibooks.com/Detail/Detail?PublicationID=P20210604036")</f>
        <v>https://ntsu.idm.oclc.org/login?url=https://www.airitibooks.com/Detail/Detail?PublicationID=P20210604036</v>
      </c>
    </row>
    <row r="2202" spans="1:11" ht="51" x14ac:dyDescent="0.4">
      <c r="A2202" s="10" t="s">
        <v>6472</v>
      </c>
      <c r="B2202" s="10" t="s">
        <v>6473</v>
      </c>
      <c r="C2202" s="10" t="s">
        <v>6474</v>
      </c>
      <c r="D2202" s="10" t="s">
        <v>6475</v>
      </c>
      <c r="E2202" s="10" t="s">
        <v>6182</v>
      </c>
      <c r="F2202" s="10" t="s">
        <v>6476</v>
      </c>
      <c r="G2202" s="10" t="s">
        <v>55</v>
      </c>
      <c r="H2202" s="7" t="s">
        <v>24</v>
      </c>
      <c r="I2202" s="7" t="s">
        <v>25</v>
      </c>
      <c r="J2202" s="13" t="str">
        <f>HYPERLINK("https://www.airitibooks.com/Detail/Detail?PublicationID=P20170502022", "https://www.airitibooks.com/Detail/Detail?PublicationID=P20170502022")</f>
        <v>https://www.airitibooks.com/Detail/Detail?PublicationID=P20170502022</v>
      </c>
      <c r="K2202" s="13" t="str">
        <f>HYPERLINK("https://ntsu.idm.oclc.org/login?url=https://www.airitibooks.com/Detail/Detail?PublicationID=P20170502022", "https://ntsu.idm.oclc.org/login?url=https://www.airitibooks.com/Detail/Detail?PublicationID=P20170502022")</f>
        <v>https://ntsu.idm.oclc.org/login?url=https://www.airitibooks.com/Detail/Detail?PublicationID=P20170502022</v>
      </c>
    </row>
    <row r="2203" spans="1:11" ht="51" x14ac:dyDescent="0.4">
      <c r="A2203" s="10" t="s">
        <v>6602</v>
      </c>
      <c r="B2203" s="10" t="s">
        <v>6603</v>
      </c>
      <c r="C2203" s="10" t="s">
        <v>222</v>
      </c>
      <c r="D2203" s="10" t="s">
        <v>6604</v>
      </c>
      <c r="E2203" s="10" t="s">
        <v>6182</v>
      </c>
      <c r="F2203" s="10" t="s">
        <v>6605</v>
      </c>
      <c r="G2203" s="10" t="s">
        <v>55</v>
      </c>
      <c r="H2203" s="7" t="s">
        <v>24</v>
      </c>
      <c r="I2203" s="7" t="s">
        <v>25</v>
      </c>
      <c r="J2203" s="13" t="str">
        <f>HYPERLINK("https://www.airitibooks.com/Detail/Detail?PublicationID=P20170517037", "https://www.airitibooks.com/Detail/Detail?PublicationID=P20170517037")</f>
        <v>https://www.airitibooks.com/Detail/Detail?PublicationID=P20170517037</v>
      </c>
      <c r="K2203" s="13" t="str">
        <f>HYPERLINK("https://ntsu.idm.oclc.org/login?url=https://www.airitibooks.com/Detail/Detail?PublicationID=P20170517037", "https://ntsu.idm.oclc.org/login?url=https://www.airitibooks.com/Detail/Detail?PublicationID=P20170517037")</f>
        <v>https://ntsu.idm.oclc.org/login?url=https://www.airitibooks.com/Detail/Detail?PublicationID=P20170517037</v>
      </c>
    </row>
    <row r="2204" spans="1:11" ht="51" x14ac:dyDescent="0.4">
      <c r="A2204" s="10" t="s">
        <v>6803</v>
      </c>
      <c r="B2204" s="10" t="s">
        <v>6804</v>
      </c>
      <c r="C2204" s="10" t="s">
        <v>222</v>
      </c>
      <c r="D2204" s="10" t="s">
        <v>6805</v>
      </c>
      <c r="E2204" s="10" t="s">
        <v>6182</v>
      </c>
      <c r="F2204" s="10" t="s">
        <v>512</v>
      </c>
      <c r="G2204" s="10" t="s">
        <v>55</v>
      </c>
      <c r="H2204" s="7" t="s">
        <v>24</v>
      </c>
      <c r="I2204" s="7" t="s">
        <v>25</v>
      </c>
      <c r="J2204" s="13" t="str">
        <f>HYPERLINK("https://www.airitibooks.com/Detail/Detail?PublicationID=P20170616004", "https://www.airitibooks.com/Detail/Detail?PublicationID=P20170616004")</f>
        <v>https://www.airitibooks.com/Detail/Detail?PublicationID=P20170616004</v>
      </c>
      <c r="K2204" s="13" t="str">
        <f>HYPERLINK("https://ntsu.idm.oclc.org/login?url=https://www.airitibooks.com/Detail/Detail?PublicationID=P20170616004", "https://ntsu.idm.oclc.org/login?url=https://www.airitibooks.com/Detail/Detail?PublicationID=P20170616004")</f>
        <v>https://ntsu.idm.oclc.org/login?url=https://www.airitibooks.com/Detail/Detail?PublicationID=P20170616004</v>
      </c>
    </row>
    <row r="2205" spans="1:11" ht="68" x14ac:dyDescent="0.4">
      <c r="A2205" s="10" t="s">
        <v>6874</v>
      </c>
      <c r="B2205" s="10" t="s">
        <v>6875</v>
      </c>
      <c r="C2205" s="10" t="s">
        <v>1504</v>
      </c>
      <c r="D2205" s="10" t="s">
        <v>2214</v>
      </c>
      <c r="E2205" s="10" t="s">
        <v>6182</v>
      </c>
      <c r="F2205" s="10" t="s">
        <v>2205</v>
      </c>
      <c r="G2205" s="10" t="s">
        <v>55</v>
      </c>
      <c r="H2205" s="7" t="s">
        <v>24</v>
      </c>
      <c r="I2205" s="7" t="s">
        <v>25</v>
      </c>
      <c r="J2205" s="13" t="str">
        <f>HYPERLINK("https://www.airitibooks.com/Detail/Detail?PublicationID=P20170706036", "https://www.airitibooks.com/Detail/Detail?PublicationID=P20170706036")</f>
        <v>https://www.airitibooks.com/Detail/Detail?PublicationID=P20170706036</v>
      </c>
      <c r="K2205" s="13" t="str">
        <f>HYPERLINK("https://ntsu.idm.oclc.org/login?url=https://www.airitibooks.com/Detail/Detail?PublicationID=P20170706036", "https://ntsu.idm.oclc.org/login?url=https://www.airitibooks.com/Detail/Detail?PublicationID=P20170706036")</f>
        <v>https://ntsu.idm.oclc.org/login?url=https://www.airitibooks.com/Detail/Detail?PublicationID=P20170706036</v>
      </c>
    </row>
    <row r="2206" spans="1:11" ht="68" x14ac:dyDescent="0.4">
      <c r="A2206" s="10" t="s">
        <v>6876</v>
      </c>
      <c r="B2206" s="10" t="s">
        <v>6877</v>
      </c>
      <c r="C2206" s="10" t="s">
        <v>1504</v>
      </c>
      <c r="D2206" s="10" t="s">
        <v>6878</v>
      </c>
      <c r="E2206" s="10" t="s">
        <v>6182</v>
      </c>
      <c r="F2206" s="10" t="s">
        <v>2191</v>
      </c>
      <c r="G2206" s="10" t="s">
        <v>55</v>
      </c>
      <c r="H2206" s="7" t="s">
        <v>24</v>
      </c>
      <c r="I2206" s="7" t="s">
        <v>25</v>
      </c>
      <c r="J2206" s="13" t="str">
        <f>HYPERLINK("https://www.airitibooks.com/Detail/Detail?PublicationID=P20170706039", "https://www.airitibooks.com/Detail/Detail?PublicationID=P20170706039")</f>
        <v>https://www.airitibooks.com/Detail/Detail?PublicationID=P20170706039</v>
      </c>
      <c r="K2206" s="13" t="str">
        <f>HYPERLINK("https://ntsu.idm.oclc.org/login?url=https://www.airitibooks.com/Detail/Detail?PublicationID=P20170706039", "https://ntsu.idm.oclc.org/login?url=https://www.airitibooks.com/Detail/Detail?PublicationID=P20170706039")</f>
        <v>https://ntsu.idm.oclc.org/login?url=https://www.airitibooks.com/Detail/Detail?PublicationID=P20170706039</v>
      </c>
    </row>
    <row r="2207" spans="1:11" ht="51" x14ac:dyDescent="0.4">
      <c r="A2207" s="10" t="s">
        <v>6891</v>
      </c>
      <c r="B2207" s="10" t="s">
        <v>6892</v>
      </c>
      <c r="C2207" s="10" t="s">
        <v>1504</v>
      </c>
      <c r="D2207" s="10" t="s">
        <v>6893</v>
      </c>
      <c r="E2207" s="10" t="s">
        <v>6182</v>
      </c>
      <c r="F2207" s="10" t="s">
        <v>2180</v>
      </c>
      <c r="G2207" s="10" t="s">
        <v>55</v>
      </c>
      <c r="H2207" s="7" t="s">
        <v>24</v>
      </c>
      <c r="I2207" s="7" t="s">
        <v>25</v>
      </c>
      <c r="J2207" s="13" t="str">
        <f>HYPERLINK("https://www.airitibooks.com/Detail/Detail?PublicationID=P20170706046", "https://www.airitibooks.com/Detail/Detail?PublicationID=P20170706046")</f>
        <v>https://www.airitibooks.com/Detail/Detail?PublicationID=P20170706046</v>
      </c>
      <c r="K2207" s="13" t="str">
        <f>HYPERLINK("https://ntsu.idm.oclc.org/login?url=https://www.airitibooks.com/Detail/Detail?PublicationID=P20170706046", "https://ntsu.idm.oclc.org/login?url=https://www.airitibooks.com/Detail/Detail?PublicationID=P20170706046")</f>
        <v>https://ntsu.idm.oclc.org/login?url=https://www.airitibooks.com/Detail/Detail?PublicationID=P20170706046</v>
      </c>
    </row>
    <row r="2208" spans="1:11" ht="51" x14ac:dyDescent="0.4">
      <c r="A2208" s="10" t="s">
        <v>6916</v>
      </c>
      <c r="B2208" s="10" t="s">
        <v>6917</v>
      </c>
      <c r="C2208" s="10" t="s">
        <v>1504</v>
      </c>
      <c r="D2208" s="10" t="s">
        <v>6918</v>
      </c>
      <c r="E2208" s="10" t="s">
        <v>6182</v>
      </c>
      <c r="F2208" s="10" t="s">
        <v>2176</v>
      </c>
      <c r="G2208" s="10" t="s">
        <v>55</v>
      </c>
      <c r="H2208" s="7" t="s">
        <v>24</v>
      </c>
      <c r="I2208" s="7" t="s">
        <v>25</v>
      </c>
      <c r="J2208" s="13" t="str">
        <f>HYPERLINK("https://www.airitibooks.com/Detail/Detail?PublicationID=P20170706067", "https://www.airitibooks.com/Detail/Detail?PublicationID=P20170706067")</f>
        <v>https://www.airitibooks.com/Detail/Detail?PublicationID=P20170706067</v>
      </c>
      <c r="K2208" s="13" t="str">
        <f>HYPERLINK("https://ntsu.idm.oclc.org/login?url=https://www.airitibooks.com/Detail/Detail?PublicationID=P20170706067", "https://ntsu.idm.oclc.org/login?url=https://www.airitibooks.com/Detail/Detail?PublicationID=P20170706067")</f>
        <v>https://ntsu.idm.oclc.org/login?url=https://www.airitibooks.com/Detail/Detail?PublicationID=P20170706067</v>
      </c>
    </row>
    <row r="2209" spans="1:11" ht="51" x14ac:dyDescent="0.4">
      <c r="A2209" s="10" t="s">
        <v>6929</v>
      </c>
      <c r="B2209" s="10" t="s">
        <v>6930</v>
      </c>
      <c r="C2209" s="10" t="s">
        <v>1504</v>
      </c>
      <c r="D2209" s="10" t="s">
        <v>1509</v>
      </c>
      <c r="E2209" s="10" t="s">
        <v>6182</v>
      </c>
      <c r="F2209" s="10" t="s">
        <v>6931</v>
      </c>
      <c r="G2209" s="10" t="s">
        <v>55</v>
      </c>
      <c r="H2209" s="7" t="s">
        <v>24</v>
      </c>
      <c r="I2209" s="7" t="s">
        <v>25</v>
      </c>
      <c r="J2209" s="13" t="str">
        <f>HYPERLINK("https://www.airitibooks.com/Detail/Detail?PublicationID=P20170706079", "https://www.airitibooks.com/Detail/Detail?PublicationID=P20170706079")</f>
        <v>https://www.airitibooks.com/Detail/Detail?PublicationID=P20170706079</v>
      </c>
      <c r="K2209" s="13" t="str">
        <f>HYPERLINK("https://ntsu.idm.oclc.org/login?url=https://www.airitibooks.com/Detail/Detail?PublicationID=P20170706079", "https://ntsu.idm.oclc.org/login?url=https://www.airitibooks.com/Detail/Detail?PublicationID=P20170706079")</f>
        <v>https://ntsu.idm.oclc.org/login?url=https://www.airitibooks.com/Detail/Detail?PublicationID=P20170706079</v>
      </c>
    </row>
    <row r="2210" spans="1:11" ht="51" x14ac:dyDescent="0.4">
      <c r="A2210" s="10" t="s">
        <v>6932</v>
      </c>
      <c r="B2210" s="10" t="s">
        <v>6933</v>
      </c>
      <c r="C2210" s="10" t="s">
        <v>1504</v>
      </c>
      <c r="D2210" s="10" t="s">
        <v>6934</v>
      </c>
      <c r="E2210" s="10" t="s">
        <v>6182</v>
      </c>
      <c r="F2210" s="10" t="s">
        <v>2205</v>
      </c>
      <c r="G2210" s="10" t="s">
        <v>55</v>
      </c>
      <c r="H2210" s="7" t="s">
        <v>24</v>
      </c>
      <c r="I2210" s="7" t="s">
        <v>25</v>
      </c>
      <c r="J2210" s="13" t="str">
        <f>HYPERLINK("https://www.airitibooks.com/Detail/Detail?PublicationID=P20170706082", "https://www.airitibooks.com/Detail/Detail?PublicationID=P20170706082")</f>
        <v>https://www.airitibooks.com/Detail/Detail?PublicationID=P20170706082</v>
      </c>
      <c r="K2210" s="13" t="str">
        <f>HYPERLINK("https://ntsu.idm.oclc.org/login?url=https://www.airitibooks.com/Detail/Detail?PublicationID=P20170706082", "https://ntsu.idm.oclc.org/login?url=https://www.airitibooks.com/Detail/Detail?PublicationID=P20170706082")</f>
        <v>https://ntsu.idm.oclc.org/login?url=https://www.airitibooks.com/Detail/Detail?PublicationID=P20170706082</v>
      </c>
    </row>
    <row r="2211" spans="1:11" ht="51" x14ac:dyDescent="0.4">
      <c r="A2211" s="10" t="s">
        <v>6938</v>
      </c>
      <c r="B2211" s="10" t="s">
        <v>6939</v>
      </c>
      <c r="C2211" s="10" t="s">
        <v>1504</v>
      </c>
      <c r="D2211" s="10" t="s">
        <v>6940</v>
      </c>
      <c r="E2211" s="10" t="s">
        <v>6182</v>
      </c>
      <c r="F2211" s="10" t="s">
        <v>2176</v>
      </c>
      <c r="G2211" s="10" t="s">
        <v>55</v>
      </c>
      <c r="H2211" s="7" t="s">
        <v>24</v>
      </c>
      <c r="I2211" s="7" t="s">
        <v>25</v>
      </c>
      <c r="J2211" s="13" t="str">
        <f>HYPERLINK("https://www.airitibooks.com/Detail/Detail?PublicationID=P20170706085", "https://www.airitibooks.com/Detail/Detail?PublicationID=P20170706085")</f>
        <v>https://www.airitibooks.com/Detail/Detail?PublicationID=P20170706085</v>
      </c>
      <c r="K2211" s="13" t="str">
        <f>HYPERLINK("https://ntsu.idm.oclc.org/login?url=https://www.airitibooks.com/Detail/Detail?PublicationID=P20170706085", "https://ntsu.idm.oclc.org/login?url=https://www.airitibooks.com/Detail/Detail?PublicationID=P20170706085")</f>
        <v>https://ntsu.idm.oclc.org/login?url=https://www.airitibooks.com/Detail/Detail?PublicationID=P20170706085</v>
      </c>
    </row>
    <row r="2212" spans="1:11" ht="51" x14ac:dyDescent="0.4">
      <c r="A2212" s="10" t="s">
        <v>6941</v>
      </c>
      <c r="B2212" s="10" t="s">
        <v>6942</v>
      </c>
      <c r="C2212" s="10" t="s">
        <v>1504</v>
      </c>
      <c r="D2212" s="10" t="s">
        <v>6943</v>
      </c>
      <c r="E2212" s="10" t="s">
        <v>6182</v>
      </c>
      <c r="F2212" s="10" t="s">
        <v>2188</v>
      </c>
      <c r="G2212" s="10" t="s">
        <v>55</v>
      </c>
      <c r="H2212" s="7" t="s">
        <v>24</v>
      </c>
      <c r="I2212" s="7" t="s">
        <v>25</v>
      </c>
      <c r="J2212" s="13" t="str">
        <f>HYPERLINK("https://www.airitibooks.com/Detail/Detail?PublicationID=P20170706087", "https://www.airitibooks.com/Detail/Detail?PublicationID=P20170706087")</f>
        <v>https://www.airitibooks.com/Detail/Detail?PublicationID=P20170706087</v>
      </c>
      <c r="K2212" s="13" t="str">
        <f>HYPERLINK("https://ntsu.idm.oclc.org/login?url=https://www.airitibooks.com/Detail/Detail?PublicationID=P20170706087", "https://ntsu.idm.oclc.org/login?url=https://www.airitibooks.com/Detail/Detail?PublicationID=P20170706087")</f>
        <v>https://ntsu.idm.oclc.org/login?url=https://www.airitibooks.com/Detail/Detail?PublicationID=P20170706087</v>
      </c>
    </row>
    <row r="2213" spans="1:11" ht="51" x14ac:dyDescent="0.4">
      <c r="A2213" s="10" t="s">
        <v>6956</v>
      </c>
      <c r="B2213" s="10" t="s">
        <v>6957</v>
      </c>
      <c r="C2213" s="10" t="s">
        <v>1504</v>
      </c>
      <c r="D2213" s="10" t="s">
        <v>6953</v>
      </c>
      <c r="E2213" s="10" t="s">
        <v>6182</v>
      </c>
      <c r="F2213" s="10" t="s">
        <v>6548</v>
      </c>
      <c r="G2213" s="10" t="s">
        <v>55</v>
      </c>
      <c r="H2213" s="7" t="s">
        <v>24</v>
      </c>
      <c r="I2213" s="7" t="s">
        <v>25</v>
      </c>
      <c r="J2213" s="13" t="str">
        <f>HYPERLINK("https://www.airitibooks.com/Detail/Detail?PublicationID=P20170706093", "https://www.airitibooks.com/Detail/Detail?PublicationID=P20170706093")</f>
        <v>https://www.airitibooks.com/Detail/Detail?PublicationID=P20170706093</v>
      </c>
      <c r="K2213" s="13" t="str">
        <f>HYPERLINK("https://ntsu.idm.oclc.org/login?url=https://www.airitibooks.com/Detail/Detail?PublicationID=P20170706093", "https://ntsu.idm.oclc.org/login?url=https://www.airitibooks.com/Detail/Detail?PublicationID=P20170706093")</f>
        <v>https://ntsu.idm.oclc.org/login?url=https://www.airitibooks.com/Detail/Detail?PublicationID=P20170706093</v>
      </c>
    </row>
    <row r="2214" spans="1:11" ht="68" x14ac:dyDescent="0.4">
      <c r="A2214" s="10" t="s">
        <v>6958</v>
      </c>
      <c r="B2214" s="10" t="s">
        <v>6959</v>
      </c>
      <c r="C2214" s="10" t="s">
        <v>1504</v>
      </c>
      <c r="D2214" s="10" t="s">
        <v>2194</v>
      </c>
      <c r="E2214" s="10" t="s">
        <v>6182</v>
      </c>
      <c r="F2214" s="10" t="s">
        <v>2184</v>
      </c>
      <c r="G2214" s="10" t="s">
        <v>55</v>
      </c>
      <c r="H2214" s="7" t="s">
        <v>24</v>
      </c>
      <c r="I2214" s="7" t="s">
        <v>25</v>
      </c>
      <c r="J2214" s="13" t="str">
        <f>HYPERLINK("https://www.airitibooks.com/Detail/Detail?PublicationID=P20170706094", "https://www.airitibooks.com/Detail/Detail?PublicationID=P20170706094")</f>
        <v>https://www.airitibooks.com/Detail/Detail?PublicationID=P20170706094</v>
      </c>
      <c r="K2214" s="13" t="str">
        <f>HYPERLINK("https://ntsu.idm.oclc.org/login?url=https://www.airitibooks.com/Detail/Detail?PublicationID=P20170706094", "https://ntsu.idm.oclc.org/login?url=https://www.airitibooks.com/Detail/Detail?PublicationID=P20170706094")</f>
        <v>https://ntsu.idm.oclc.org/login?url=https://www.airitibooks.com/Detail/Detail?PublicationID=P20170706094</v>
      </c>
    </row>
    <row r="2215" spans="1:11" ht="51" x14ac:dyDescent="0.4">
      <c r="A2215" s="10" t="s">
        <v>6964</v>
      </c>
      <c r="B2215" s="10" t="s">
        <v>6965</v>
      </c>
      <c r="C2215" s="10" t="s">
        <v>1504</v>
      </c>
      <c r="D2215" s="10" t="s">
        <v>6966</v>
      </c>
      <c r="E2215" s="10" t="s">
        <v>6182</v>
      </c>
      <c r="F2215" s="10" t="s">
        <v>2201</v>
      </c>
      <c r="G2215" s="10" t="s">
        <v>55</v>
      </c>
      <c r="H2215" s="7" t="s">
        <v>24</v>
      </c>
      <c r="I2215" s="7" t="s">
        <v>25</v>
      </c>
      <c r="J2215" s="13" t="str">
        <f>HYPERLINK("https://www.airitibooks.com/Detail/Detail?PublicationID=P20170706102", "https://www.airitibooks.com/Detail/Detail?PublicationID=P20170706102")</f>
        <v>https://www.airitibooks.com/Detail/Detail?PublicationID=P20170706102</v>
      </c>
      <c r="K2215" s="13" t="str">
        <f>HYPERLINK("https://ntsu.idm.oclc.org/login?url=https://www.airitibooks.com/Detail/Detail?PublicationID=P20170706102", "https://ntsu.idm.oclc.org/login?url=https://www.airitibooks.com/Detail/Detail?PublicationID=P20170706102")</f>
        <v>https://ntsu.idm.oclc.org/login?url=https://www.airitibooks.com/Detail/Detail?PublicationID=P20170706102</v>
      </c>
    </row>
    <row r="2216" spans="1:11" ht="68" x14ac:dyDescent="0.4">
      <c r="A2216" s="10" t="s">
        <v>6991</v>
      </c>
      <c r="B2216" s="10" t="s">
        <v>6992</v>
      </c>
      <c r="C2216" s="10" t="s">
        <v>568</v>
      </c>
      <c r="D2216" s="10" t="s">
        <v>6993</v>
      </c>
      <c r="E2216" s="10" t="s">
        <v>6182</v>
      </c>
      <c r="F2216" s="10" t="s">
        <v>6994</v>
      </c>
      <c r="G2216" s="10" t="s">
        <v>55</v>
      </c>
      <c r="H2216" s="7" t="s">
        <v>24</v>
      </c>
      <c r="I2216" s="7" t="s">
        <v>25</v>
      </c>
      <c r="J2216" s="13" t="str">
        <f>HYPERLINK("https://www.airitibooks.com/Detail/Detail?PublicationID=P20170717022", "https://www.airitibooks.com/Detail/Detail?PublicationID=P20170717022")</f>
        <v>https://www.airitibooks.com/Detail/Detail?PublicationID=P20170717022</v>
      </c>
      <c r="K2216" s="13" t="str">
        <f>HYPERLINK("https://ntsu.idm.oclc.org/login?url=https://www.airitibooks.com/Detail/Detail?PublicationID=P20170717022", "https://ntsu.idm.oclc.org/login?url=https://www.airitibooks.com/Detail/Detail?PublicationID=P20170717022")</f>
        <v>https://ntsu.idm.oclc.org/login?url=https://www.airitibooks.com/Detail/Detail?PublicationID=P20170717022</v>
      </c>
    </row>
    <row r="2217" spans="1:11" ht="51" x14ac:dyDescent="0.4">
      <c r="A2217" s="10" t="s">
        <v>7341</v>
      </c>
      <c r="B2217" s="10" t="s">
        <v>7342</v>
      </c>
      <c r="C2217" s="10" t="s">
        <v>7326</v>
      </c>
      <c r="D2217" s="10" t="s">
        <v>7343</v>
      </c>
      <c r="E2217" s="10" t="s">
        <v>6182</v>
      </c>
      <c r="F2217" s="10" t="s">
        <v>512</v>
      </c>
      <c r="G2217" s="10" t="s">
        <v>55</v>
      </c>
      <c r="H2217" s="7" t="s">
        <v>24</v>
      </c>
      <c r="I2217" s="7" t="s">
        <v>25</v>
      </c>
      <c r="J2217" s="13" t="str">
        <f>HYPERLINK("https://www.airitibooks.com/Detail/Detail?PublicationID=P20171103117", "https://www.airitibooks.com/Detail/Detail?PublicationID=P20171103117")</f>
        <v>https://www.airitibooks.com/Detail/Detail?PublicationID=P20171103117</v>
      </c>
      <c r="K2217" s="13" t="str">
        <f>HYPERLINK("https://ntsu.idm.oclc.org/login?url=https://www.airitibooks.com/Detail/Detail?PublicationID=P20171103117", "https://ntsu.idm.oclc.org/login?url=https://www.airitibooks.com/Detail/Detail?PublicationID=P20171103117")</f>
        <v>https://ntsu.idm.oclc.org/login?url=https://www.airitibooks.com/Detail/Detail?PublicationID=P20171103117</v>
      </c>
    </row>
    <row r="2218" spans="1:11" ht="51" x14ac:dyDescent="0.4">
      <c r="A2218" s="10" t="s">
        <v>7377</v>
      </c>
      <c r="B2218" s="10" t="s">
        <v>7378</v>
      </c>
      <c r="C2218" s="10" t="s">
        <v>7164</v>
      </c>
      <c r="D2218" s="10" t="s">
        <v>7379</v>
      </c>
      <c r="E2218" s="10" t="s">
        <v>6182</v>
      </c>
      <c r="F2218" s="10" t="s">
        <v>946</v>
      </c>
      <c r="G2218" s="10" t="s">
        <v>55</v>
      </c>
      <c r="H2218" s="7" t="s">
        <v>24</v>
      </c>
      <c r="I2218" s="7" t="s">
        <v>25</v>
      </c>
      <c r="J2218" s="13" t="str">
        <f>HYPERLINK("https://www.airitibooks.com/Detail/Detail?PublicationID=P20171103165", "https://www.airitibooks.com/Detail/Detail?PublicationID=P20171103165")</f>
        <v>https://www.airitibooks.com/Detail/Detail?PublicationID=P20171103165</v>
      </c>
      <c r="K2218" s="13" t="str">
        <f>HYPERLINK("https://ntsu.idm.oclc.org/login?url=https://www.airitibooks.com/Detail/Detail?PublicationID=P20171103165", "https://ntsu.idm.oclc.org/login?url=https://www.airitibooks.com/Detail/Detail?PublicationID=P20171103165")</f>
        <v>https://ntsu.idm.oclc.org/login?url=https://www.airitibooks.com/Detail/Detail?PublicationID=P20171103165</v>
      </c>
    </row>
    <row r="2219" spans="1:11" ht="51" x14ac:dyDescent="0.4">
      <c r="A2219" s="10" t="s">
        <v>7523</v>
      </c>
      <c r="B2219" s="10" t="s">
        <v>7524</v>
      </c>
      <c r="C2219" s="10" t="s">
        <v>7164</v>
      </c>
      <c r="D2219" s="10" t="s">
        <v>7525</v>
      </c>
      <c r="E2219" s="10" t="s">
        <v>6182</v>
      </c>
      <c r="F2219" s="10" t="s">
        <v>1439</v>
      </c>
      <c r="G2219" s="10" t="s">
        <v>55</v>
      </c>
      <c r="H2219" s="7" t="s">
        <v>24</v>
      </c>
      <c r="I2219" s="7" t="s">
        <v>25</v>
      </c>
      <c r="J2219" s="13" t="str">
        <f>HYPERLINK("https://www.airitibooks.com/Detail/Detail?PublicationID=P20171103427", "https://www.airitibooks.com/Detail/Detail?PublicationID=P20171103427")</f>
        <v>https://www.airitibooks.com/Detail/Detail?PublicationID=P20171103427</v>
      </c>
      <c r="K2219" s="13" t="str">
        <f>HYPERLINK("https://ntsu.idm.oclc.org/login?url=https://www.airitibooks.com/Detail/Detail?PublicationID=P20171103427", "https://ntsu.idm.oclc.org/login?url=https://www.airitibooks.com/Detail/Detail?PublicationID=P20171103427")</f>
        <v>https://ntsu.idm.oclc.org/login?url=https://www.airitibooks.com/Detail/Detail?PublicationID=P20171103427</v>
      </c>
    </row>
    <row r="2220" spans="1:11" ht="51" x14ac:dyDescent="0.4">
      <c r="A2220" s="10" t="s">
        <v>7815</v>
      </c>
      <c r="B2220" s="10" t="s">
        <v>7816</v>
      </c>
      <c r="C2220" s="10" t="s">
        <v>439</v>
      </c>
      <c r="D2220" s="10" t="s">
        <v>7817</v>
      </c>
      <c r="E2220" s="10" t="s">
        <v>6182</v>
      </c>
      <c r="F2220" s="10" t="s">
        <v>7818</v>
      </c>
      <c r="G2220" s="10" t="s">
        <v>55</v>
      </c>
      <c r="H2220" s="7" t="s">
        <v>24</v>
      </c>
      <c r="I2220" s="7" t="s">
        <v>25</v>
      </c>
      <c r="J2220" s="13" t="str">
        <f>HYPERLINK("https://www.airitibooks.com/Detail/Detail?PublicationID=P20171127071", "https://www.airitibooks.com/Detail/Detail?PublicationID=P20171127071")</f>
        <v>https://www.airitibooks.com/Detail/Detail?PublicationID=P20171127071</v>
      </c>
      <c r="K2220" s="13" t="str">
        <f>HYPERLINK("https://ntsu.idm.oclc.org/login?url=https://www.airitibooks.com/Detail/Detail?PublicationID=P20171127071", "https://ntsu.idm.oclc.org/login?url=https://www.airitibooks.com/Detail/Detail?PublicationID=P20171127071")</f>
        <v>https://ntsu.idm.oclc.org/login?url=https://www.airitibooks.com/Detail/Detail?PublicationID=P20171127071</v>
      </c>
    </row>
    <row r="2221" spans="1:11" ht="68" x14ac:dyDescent="0.4">
      <c r="A2221" s="10" t="s">
        <v>8021</v>
      </c>
      <c r="B2221" s="10" t="s">
        <v>8022</v>
      </c>
      <c r="C2221" s="10" t="s">
        <v>108</v>
      </c>
      <c r="D2221" s="10" t="s">
        <v>8023</v>
      </c>
      <c r="E2221" s="10" t="s">
        <v>6182</v>
      </c>
      <c r="F2221" s="10" t="s">
        <v>8024</v>
      </c>
      <c r="G2221" s="10" t="s">
        <v>55</v>
      </c>
      <c r="H2221" s="7" t="s">
        <v>24</v>
      </c>
      <c r="I2221" s="7" t="s">
        <v>25</v>
      </c>
      <c r="J2221" s="13" t="str">
        <f>HYPERLINK("https://www.airitibooks.com/Detail/Detail?PublicationID=P20171130093", "https://www.airitibooks.com/Detail/Detail?PublicationID=P20171130093")</f>
        <v>https://www.airitibooks.com/Detail/Detail?PublicationID=P20171130093</v>
      </c>
      <c r="K2221" s="13" t="str">
        <f>HYPERLINK("https://ntsu.idm.oclc.org/login?url=https://www.airitibooks.com/Detail/Detail?PublicationID=P20171130093", "https://ntsu.idm.oclc.org/login?url=https://www.airitibooks.com/Detail/Detail?PublicationID=P20171130093")</f>
        <v>https://ntsu.idm.oclc.org/login?url=https://www.airitibooks.com/Detail/Detail?PublicationID=P20171130093</v>
      </c>
    </row>
    <row r="2222" spans="1:11" ht="68" x14ac:dyDescent="0.4">
      <c r="A2222" s="10" t="s">
        <v>8110</v>
      </c>
      <c r="B2222" s="10" t="s">
        <v>8111</v>
      </c>
      <c r="C2222" s="10" t="s">
        <v>1504</v>
      </c>
      <c r="D2222" s="10" t="s">
        <v>8112</v>
      </c>
      <c r="E2222" s="10" t="s">
        <v>6182</v>
      </c>
      <c r="F2222" s="10" t="s">
        <v>6902</v>
      </c>
      <c r="G2222" s="10" t="s">
        <v>55</v>
      </c>
      <c r="H2222" s="7" t="s">
        <v>24</v>
      </c>
      <c r="I2222" s="7" t="s">
        <v>25</v>
      </c>
      <c r="J2222" s="13" t="str">
        <f>HYPERLINK("https://www.airitibooks.com/Detail/Detail?PublicationID=P20171221019", "https://www.airitibooks.com/Detail/Detail?PublicationID=P20171221019")</f>
        <v>https://www.airitibooks.com/Detail/Detail?PublicationID=P20171221019</v>
      </c>
      <c r="K2222" s="13" t="str">
        <f>HYPERLINK("https://ntsu.idm.oclc.org/login?url=https://www.airitibooks.com/Detail/Detail?PublicationID=P20171221019", "https://ntsu.idm.oclc.org/login?url=https://www.airitibooks.com/Detail/Detail?PublicationID=P20171221019")</f>
        <v>https://ntsu.idm.oclc.org/login?url=https://www.airitibooks.com/Detail/Detail?PublicationID=P20171221019</v>
      </c>
    </row>
    <row r="2223" spans="1:11" ht="51" x14ac:dyDescent="0.4">
      <c r="A2223" s="10" t="s">
        <v>8113</v>
      </c>
      <c r="B2223" s="10" t="s">
        <v>8114</v>
      </c>
      <c r="C2223" s="10" t="s">
        <v>1504</v>
      </c>
      <c r="D2223" s="10" t="s">
        <v>8115</v>
      </c>
      <c r="E2223" s="10" t="s">
        <v>6182</v>
      </c>
      <c r="F2223" s="10" t="s">
        <v>2176</v>
      </c>
      <c r="G2223" s="10" t="s">
        <v>55</v>
      </c>
      <c r="H2223" s="7" t="s">
        <v>24</v>
      </c>
      <c r="I2223" s="7" t="s">
        <v>25</v>
      </c>
      <c r="J2223" s="13" t="str">
        <f>HYPERLINK("https://www.airitibooks.com/Detail/Detail?PublicationID=P20171221023", "https://www.airitibooks.com/Detail/Detail?PublicationID=P20171221023")</f>
        <v>https://www.airitibooks.com/Detail/Detail?PublicationID=P20171221023</v>
      </c>
      <c r="K2223" s="13" t="str">
        <f>HYPERLINK("https://ntsu.idm.oclc.org/login?url=https://www.airitibooks.com/Detail/Detail?PublicationID=P20171221023", "https://ntsu.idm.oclc.org/login?url=https://www.airitibooks.com/Detail/Detail?PublicationID=P20171221023")</f>
        <v>https://ntsu.idm.oclc.org/login?url=https://www.airitibooks.com/Detail/Detail?PublicationID=P20171221023</v>
      </c>
    </row>
    <row r="2224" spans="1:11" ht="51" x14ac:dyDescent="0.4">
      <c r="A2224" s="10" t="s">
        <v>8116</v>
      </c>
      <c r="B2224" s="10" t="s">
        <v>8117</v>
      </c>
      <c r="C2224" s="10" t="s">
        <v>1504</v>
      </c>
      <c r="D2224" s="10" t="s">
        <v>8118</v>
      </c>
      <c r="E2224" s="10" t="s">
        <v>6182</v>
      </c>
      <c r="F2224" s="10" t="s">
        <v>8119</v>
      </c>
      <c r="G2224" s="10" t="s">
        <v>55</v>
      </c>
      <c r="H2224" s="7" t="s">
        <v>24</v>
      </c>
      <c r="I2224" s="7" t="s">
        <v>25</v>
      </c>
      <c r="J2224" s="13" t="str">
        <f>HYPERLINK("https://www.airitibooks.com/Detail/Detail?PublicationID=P20171221031", "https://www.airitibooks.com/Detail/Detail?PublicationID=P20171221031")</f>
        <v>https://www.airitibooks.com/Detail/Detail?PublicationID=P20171221031</v>
      </c>
      <c r="K2224" s="13" t="str">
        <f>HYPERLINK("https://ntsu.idm.oclc.org/login?url=https://www.airitibooks.com/Detail/Detail?PublicationID=P20171221031", "https://ntsu.idm.oclc.org/login?url=https://www.airitibooks.com/Detail/Detail?PublicationID=P20171221031")</f>
        <v>https://ntsu.idm.oclc.org/login?url=https://www.airitibooks.com/Detail/Detail?PublicationID=P20171221031</v>
      </c>
    </row>
    <row r="2225" spans="1:11" ht="51" x14ac:dyDescent="0.4">
      <c r="A2225" s="10" t="s">
        <v>8120</v>
      </c>
      <c r="B2225" s="10" t="s">
        <v>8121</v>
      </c>
      <c r="C2225" s="10" t="s">
        <v>1504</v>
      </c>
      <c r="D2225" s="10" t="s">
        <v>6848</v>
      </c>
      <c r="E2225" s="10" t="s">
        <v>6182</v>
      </c>
      <c r="F2225" s="10" t="s">
        <v>6922</v>
      </c>
      <c r="G2225" s="10" t="s">
        <v>55</v>
      </c>
      <c r="H2225" s="7" t="s">
        <v>24</v>
      </c>
      <c r="I2225" s="7" t="s">
        <v>25</v>
      </c>
      <c r="J2225" s="13" t="str">
        <f>HYPERLINK("https://www.airitibooks.com/Detail/Detail?PublicationID=P20171221032", "https://www.airitibooks.com/Detail/Detail?PublicationID=P20171221032")</f>
        <v>https://www.airitibooks.com/Detail/Detail?PublicationID=P20171221032</v>
      </c>
      <c r="K2225" s="13" t="str">
        <f>HYPERLINK("https://ntsu.idm.oclc.org/login?url=https://www.airitibooks.com/Detail/Detail?PublicationID=P20171221032", "https://ntsu.idm.oclc.org/login?url=https://www.airitibooks.com/Detail/Detail?PublicationID=P20171221032")</f>
        <v>https://ntsu.idm.oclc.org/login?url=https://www.airitibooks.com/Detail/Detail?PublicationID=P20171221032</v>
      </c>
    </row>
    <row r="2226" spans="1:11" ht="51" x14ac:dyDescent="0.4">
      <c r="A2226" s="10" t="s">
        <v>8122</v>
      </c>
      <c r="B2226" s="10" t="s">
        <v>8123</v>
      </c>
      <c r="C2226" s="10" t="s">
        <v>1504</v>
      </c>
      <c r="D2226" s="10" t="s">
        <v>8124</v>
      </c>
      <c r="E2226" s="10" t="s">
        <v>6182</v>
      </c>
      <c r="F2226" s="10" t="s">
        <v>8125</v>
      </c>
      <c r="G2226" s="10" t="s">
        <v>55</v>
      </c>
      <c r="H2226" s="7" t="s">
        <v>24</v>
      </c>
      <c r="I2226" s="7" t="s">
        <v>25</v>
      </c>
      <c r="J2226" s="13" t="str">
        <f>HYPERLINK("https://www.airitibooks.com/Detail/Detail?PublicationID=P20171221037", "https://www.airitibooks.com/Detail/Detail?PublicationID=P20171221037")</f>
        <v>https://www.airitibooks.com/Detail/Detail?PublicationID=P20171221037</v>
      </c>
      <c r="K2226" s="13" t="str">
        <f>HYPERLINK("https://ntsu.idm.oclc.org/login?url=https://www.airitibooks.com/Detail/Detail?PublicationID=P20171221037", "https://ntsu.idm.oclc.org/login?url=https://www.airitibooks.com/Detail/Detail?PublicationID=P20171221037")</f>
        <v>https://ntsu.idm.oclc.org/login?url=https://www.airitibooks.com/Detail/Detail?PublicationID=P20171221037</v>
      </c>
    </row>
    <row r="2227" spans="1:11" ht="68" x14ac:dyDescent="0.4">
      <c r="A2227" s="10" t="s">
        <v>8126</v>
      </c>
      <c r="B2227" s="10" t="s">
        <v>8127</v>
      </c>
      <c r="C2227" s="10" t="s">
        <v>1504</v>
      </c>
      <c r="D2227" s="10" t="s">
        <v>2241</v>
      </c>
      <c r="E2227" s="10" t="s">
        <v>6182</v>
      </c>
      <c r="F2227" s="10" t="s">
        <v>8128</v>
      </c>
      <c r="G2227" s="10" t="s">
        <v>55</v>
      </c>
      <c r="H2227" s="7" t="s">
        <v>24</v>
      </c>
      <c r="I2227" s="7" t="s">
        <v>25</v>
      </c>
      <c r="J2227" s="13" t="str">
        <f>HYPERLINK("https://www.airitibooks.com/Detail/Detail?PublicationID=P20171221038", "https://www.airitibooks.com/Detail/Detail?PublicationID=P20171221038")</f>
        <v>https://www.airitibooks.com/Detail/Detail?PublicationID=P20171221038</v>
      </c>
      <c r="K2227" s="13" t="str">
        <f>HYPERLINK("https://ntsu.idm.oclc.org/login?url=https://www.airitibooks.com/Detail/Detail?PublicationID=P20171221038", "https://ntsu.idm.oclc.org/login?url=https://www.airitibooks.com/Detail/Detail?PublicationID=P20171221038")</f>
        <v>https://ntsu.idm.oclc.org/login?url=https://www.airitibooks.com/Detail/Detail?PublicationID=P20171221038</v>
      </c>
    </row>
    <row r="2228" spans="1:11" ht="51" x14ac:dyDescent="0.4">
      <c r="A2228" s="10" t="s">
        <v>8714</v>
      </c>
      <c r="B2228" s="10" t="s">
        <v>8715</v>
      </c>
      <c r="C2228" s="10" t="s">
        <v>1067</v>
      </c>
      <c r="D2228" s="10" t="s">
        <v>8716</v>
      </c>
      <c r="E2228" s="10" t="s">
        <v>6182</v>
      </c>
      <c r="F2228" s="10" t="s">
        <v>8717</v>
      </c>
      <c r="G2228" s="10" t="s">
        <v>55</v>
      </c>
      <c r="H2228" s="7" t="s">
        <v>24</v>
      </c>
      <c r="I2228" s="7" t="s">
        <v>25</v>
      </c>
      <c r="J2228" s="13" t="str">
        <f>HYPERLINK("https://www.airitibooks.com/Detail/Detail?PublicationID=P20180309008", "https://www.airitibooks.com/Detail/Detail?PublicationID=P20180309008")</f>
        <v>https://www.airitibooks.com/Detail/Detail?PublicationID=P20180309008</v>
      </c>
      <c r="K2228" s="13" t="str">
        <f>HYPERLINK("https://ntsu.idm.oclc.org/login?url=https://www.airitibooks.com/Detail/Detail?PublicationID=P20180309008", "https://ntsu.idm.oclc.org/login?url=https://www.airitibooks.com/Detail/Detail?PublicationID=P20180309008")</f>
        <v>https://ntsu.idm.oclc.org/login?url=https://www.airitibooks.com/Detail/Detail?PublicationID=P20180309008</v>
      </c>
    </row>
    <row r="2229" spans="1:11" ht="51" x14ac:dyDescent="0.4">
      <c r="A2229" s="10" t="s">
        <v>9233</v>
      </c>
      <c r="B2229" s="10" t="s">
        <v>9234</v>
      </c>
      <c r="C2229" s="10" t="s">
        <v>240</v>
      </c>
      <c r="D2229" s="10" t="s">
        <v>9235</v>
      </c>
      <c r="E2229" s="10" t="s">
        <v>6182</v>
      </c>
      <c r="F2229" s="10" t="s">
        <v>9236</v>
      </c>
      <c r="G2229" s="10" t="s">
        <v>55</v>
      </c>
      <c r="H2229" s="7" t="s">
        <v>24</v>
      </c>
      <c r="I2229" s="7" t="s">
        <v>25</v>
      </c>
      <c r="J2229" s="13" t="str">
        <f>HYPERLINK("https://www.airitibooks.com/Detail/Detail?PublicationID=P20180518020", "https://www.airitibooks.com/Detail/Detail?PublicationID=P20180518020")</f>
        <v>https://www.airitibooks.com/Detail/Detail?PublicationID=P20180518020</v>
      </c>
      <c r="K2229" s="13" t="str">
        <f>HYPERLINK("https://ntsu.idm.oclc.org/login?url=https://www.airitibooks.com/Detail/Detail?PublicationID=P20180518020", "https://ntsu.idm.oclc.org/login?url=https://www.airitibooks.com/Detail/Detail?PublicationID=P20180518020")</f>
        <v>https://ntsu.idm.oclc.org/login?url=https://www.airitibooks.com/Detail/Detail?PublicationID=P20180518020</v>
      </c>
    </row>
    <row r="2230" spans="1:11" ht="51" x14ac:dyDescent="0.4">
      <c r="A2230" s="10" t="s">
        <v>9298</v>
      </c>
      <c r="B2230" s="10" t="s">
        <v>9299</v>
      </c>
      <c r="C2230" s="10" t="s">
        <v>661</v>
      </c>
      <c r="D2230" s="10" t="s">
        <v>9300</v>
      </c>
      <c r="E2230" s="10" t="s">
        <v>6182</v>
      </c>
      <c r="F2230" s="10" t="s">
        <v>9301</v>
      </c>
      <c r="G2230" s="10" t="s">
        <v>55</v>
      </c>
      <c r="H2230" s="7" t="s">
        <v>24</v>
      </c>
      <c r="I2230" s="7" t="s">
        <v>25</v>
      </c>
      <c r="J2230" s="13" t="str">
        <f>HYPERLINK("https://www.airitibooks.com/Detail/Detail?PublicationID=P20180528006", "https://www.airitibooks.com/Detail/Detail?PublicationID=P20180528006")</f>
        <v>https://www.airitibooks.com/Detail/Detail?PublicationID=P20180528006</v>
      </c>
      <c r="K2230" s="13" t="str">
        <f>HYPERLINK("https://ntsu.idm.oclc.org/login?url=https://www.airitibooks.com/Detail/Detail?PublicationID=P20180528006", "https://ntsu.idm.oclc.org/login?url=https://www.airitibooks.com/Detail/Detail?PublicationID=P20180528006")</f>
        <v>https://ntsu.idm.oclc.org/login?url=https://www.airitibooks.com/Detail/Detail?PublicationID=P20180528006</v>
      </c>
    </row>
    <row r="2231" spans="1:11" ht="51" x14ac:dyDescent="0.4">
      <c r="A2231" s="10" t="s">
        <v>10470</v>
      </c>
      <c r="B2231" s="10" t="s">
        <v>10471</v>
      </c>
      <c r="C2231" s="10" t="s">
        <v>1504</v>
      </c>
      <c r="D2231" s="10" t="s">
        <v>2204</v>
      </c>
      <c r="E2231" s="10" t="s">
        <v>6182</v>
      </c>
      <c r="F2231" s="10" t="s">
        <v>2205</v>
      </c>
      <c r="G2231" s="10" t="s">
        <v>55</v>
      </c>
      <c r="H2231" s="7" t="s">
        <v>24</v>
      </c>
      <c r="I2231" s="7" t="s">
        <v>25</v>
      </c>
      <c r="J2231" s="13" t="str">
        <f>HYPERLINK("https://www.airitibooks.com/Detail/Detail?PublicationID=P20181221110", "https://www.airitibooks.com/Detail/Detail?PublicationID=P20181221110")</f>
        <v>https://www.airitibooks.com/Detail/Detail?PublicationID=P20181221110</v>
      </c>
      <c r="K2231" s="13" t="str">
        <f>HYPERLINK("https://ntsu.idm.oclc.org/login?url=https://www.airitibooks.com/Detail/Detail?PublicationID=P20181221110", "https://ntsu.idm.oclc.org/login?url=https://www.airitibooks.com/Detail/Detail?PublicationID=P20181221110")</f>
        <v>https://ntsu.idm.oclc.org/login?url=https://www.airitibooks.com/Detail/Detail?PublicationID=P20181221110</v>
      </c>
    </row>
    <row r="2232" spans="1:11" ht="51" x14ac:dyDescent="0.4">
      <c r="A2232" s="10" t="s">
        <v>10512</v>
      </c>
      <c r="B2232" s="10" t="s">
        <v>10513</v>
      </c>
      <c r="C2232" s="10" t="s">
        <v>1504</v>
      </c>
      <c r="D2232" s="10" t="s">
        <v>2214</v>
      </c>
      <c r="E2232" s="10" t="s">
        <v>6182</v>
      </c>
      <c r="F2232" s="10" t="s">
        <v>2205</v>
      </c>
      <c r="G2232" s="10" t="s">
        <v>55</v>
      </c>
      <c r="H2232" s="7" t="s">
        <v>24</v>
      </c>
      <c r="I2232" s="7" t="s">
        <v>25</v>
      </c>
      <c r="J2232" s="13" t="str">
        <f>HYPERLINK("https://www.airitibooks.com/Detail/Detail?PublicationID=P20181224065", "https://www.airitibooks.com/Detail/Detail?PublicationID=P20181224065")</f>
        <v>https://www.airitibooks.com/Detail/Detail?PublicationID=P20181224065</v>
      </c>
      <c r="K2232" s="13" t="str">
        <f>HYPERLINK("https://ntsu.idm.oclc.org/login?url=https://www.airitibooks.com/Detail/Detail?PublicationID=P20181224065", "https://ntsu.idm.oclc.org/login?url=https://www.airitibooks.com/Detail/Detail?PublicationID=P20181224065")</f>
        <v>https://ntsu.idm.oclc.org/login?url=https://www.airitibooks.com/Detail/Detail?PublicationID=P20181224065</v>
      </c>
    </row>
    <row r="2233" spans="1:11" ht="51" x14ac:dyDescent="0.4">
      <c r="A2233" s="10" t="s">
        <v>10517</v>
      </c>
      <c r="B2233" s="10" t="s">
        <v>10518</v>
      </c>
      <c r="C2233" s="10" t="s">
        <v>1504</v>
      </c>
      <c r="D2233" s="10" t="s">
        <v>10519</v>
      </c>
      <c r="E2233" s="10" t="s">
        <v>6182</v>
      </c>
      <c r="F2233" s="10" t="s">
        <v>2201</v>
      </c>
      <c r="G2233" s="10" t="s">
        <v>55</v>
      </c>
      <c r="H2233" s="7" t="s">
        <v>24</v>
      </c>
      <c r="I2233" s="7" t="s">
        <v>25</v>
      </c>
      <c r="J2233" s="13" t="str">
        <f>HYPERLINK("https://www.airitibooks.com/Detail/Detail?PublicationID=P20181225049", "https://www.airitibooks.com/Detail/Detail?PublicationID=P20181225049")</f>
        <v>https://www.airitibooks.com/Detail/Detail?PublicationID=P20181225049</v>
      </c>
      <c r="K2233" s="13" t="str">
        <f>HYPERLINK("https://ntsu.idm.oclc.org/login?url=https://www.airitibooks.com/Detail/Detail?PublicationID=P20181225049", "https://ntsu.idm.oclc.org/login?url=https://www.airitibooks.com/Detail/Detail?PublicationID=P20181225049")</f>
        <v>https://ntsu.idm.oclc.org/login?url=https://www.airitibooks.com/Detail/Detail?PublicationID=P20181225049</v>
      </c>
    </row>
    <row r="2234" spans="1:11" ht="51" x14ac:dyDescent="0.4">
      <c r="A2234" s="10" t="s">
        <v>11513</v>
      </c>
      <c r="B2234" s="10" t="s">
        <v>11514</v>
      </c>
      <c r="C2234" s="10" t="s">
        <v>9828</v>
      </c>
      <c r="D2234" s="10" t="s">
        <v>11515</v>
      </c>
      <c r="E2234" s="10" t="s">
        <v>6182</v>
      </c>
      <c r="F2234" s="10" t="s">
        <v>11516</v>
      </c>
      <c r="G2234" s="10" t="s">
        <v>55</v>
      </c>
      <c r="H2234" s="7" t="s">
        <v>1031</v>
      </c>
      <c r="I2234" s="7" t="s">
        <v>25</v>
      </c>
      <c r="J2234" s="13" t="str">
        <f>HYPERLINK("https://www.airitibooks.com/Detail/Detail?PublicationID=P20190523134", "https://www.airitibooks.com/Detail/Detail?PublicationID=P20190523134")</f>
        <v>https://www.airitibooks.com/Detail/Detail?PublicationID=P20190523134</v>
      </c>
      <c r="K2234" s="13" t="str">
        <f>HYPERLINK("https://ntsu.idm.oclc.org/login?url=https://www.airitibooks.com/Detail/Detail?PublicationID=P20190523134", "https://ntsu.idm.oclc.org/login?url=https://www.airitibooks.com/Detail/Detail?PublicationID=P20190523134")</f>
        <v>https://ntsu.idm.oclc.org/login?url=https://www.airitibooks.com/Detail/Detail?PublicationID=P20190523134</v>
      </c>
    </row>
    <row r="2235" spans="1:11" ht="102" x14ac:dyDescent="0.4">
      <c r="A2235" s="10" t="s">
        <v>11561</v>
      </c>
      <c r="B2235" s="10" t="s">
        <v>11562</v>
      </c>
      <c r="C2235" s="10" t="s">
        <v>4873</v>
      </c>
      <c r="D2235" s="10" t="s">
        <v>11563</v>
      </c>
      <c r="E2235" s="10" t="s">
        <v>6182</v>
      </c>
      <c r="F2235" s="10" t="s">
        <v>11564</v>
      </c>
      <c r="G2235" s="10" t="s">
        <v>55</v>
      </c>
      <c r="H2235" s="7" t="s">
        <v>24</v>
      </c>
      <c r="I2235" s="7" t="s">
        <v>25</v>
      </c>
      <c r="J2235" s="13" t="str">
        <f>HYPERLINK("https://www.airitibooks.com/Detail/Detail?PublicationID=P20190531019", "https://www.airitibooks.com/Detail/Detail?PublicationID=P20190531019")</f>
        <v>https://www.airitibooks.com/Detail/Detail?PublicationID=P20190531019</v>
      </c>
      <c r="K2235" s="13" t="str">
        <f>HYPERLINK("https://ntsu.idm.oclc.org/login?url=https://www.airitibooks.com/Detail/Detail?PublicationID=P20190531019", "https://ntsu.idm.oclc.org/login?url=https://www.airitibooks.com/Detail/Detail?PublicationID=P20190531019")</f>
        <v>https://ntsu.idm.oclc.org/login?url=https://www.airitibooks.com/Detail/Detail?PublicationID=P20190531019</v>
      </c>
    </row>
    <row r="2236" spans="1:11" ht="68" x14ac:dyDescent="0.4">
      <c r="A2236" s="10" t="s">
        <v>12527</v>
      </c>
      <c r="B2236" s="10" t="s">
        <v>12528</v>
      </c>
      <c r="C2236" s="10" t="s">
        <v>12510</v>
      </c>
      <c r="D2236" s="10" t="s">
        <v>12529</v>
      </c>
      <c r="E2236" s="10" t="s">
        <v>6182</v>
      </c>
      <c r="F2236" s="10" t="s">
        <v>46</v>
      </c>
      <c r="G2236" s="10" t="s">
        <v>55</v>
      </c>
      <c r="H2236" s="7" t="s">
        <v>1031</v>
      </c>
      <c r="I2236" s="7" t="s">
        <v>25</v>
      </c>
      <c r="J2236" s="13" t="str">
        <f>HYPERLINK("https://www.airitibooks.com/Detail/Detail?PublicationID=P20191005200", "https://www.airitibooks.com/Detail/Detail?PublicationID=P20191005200")</f>
        <v>https://www.airitibooks.com/Detail/Detail?PublicationID=P20191005200</v>
      </c>
      <c r="K2236" s="13" t="str">
        <f>HYPERLINK("https://ntsu.idm.oclc.org/login?url=https://www.airitibooks.com/Detail/Detail?PublicationID=P20191005200", "https://ntsu.idm.oclc.org/login?url=https://www.airitibooks.com/Detail/Detail?PublicationID=P20191005200")</f>
        <v>https://ntsu.idm.oclc.org/login?url=https://www.airitibooks.com/Detail/Detail?PublicationID=P20191005200</v>
      </c>
    </row>
    <row r="2237" spans="1:11" ht="51" x14ac:dyDescent="0.4">
      <c r="A2237" s="10" t="s">
        <v>12675</v>
      </c>
      <c r="B2237" s="10" t="s">
        <v>12676</v>
      </c>
      <c r="C2237" s="10" t="s">
        <v>12491</v>
      </c>
      <c r="D2237" s="10" t="s">
        <v>12677</v>
      </c>
      <c r="E2237" s="10" t="s">
        <v>6182</v>
      </c>
      <c r="F2237" s="10" t="s">
        <v>709</v>
      </c>
      <c r="G2237" s="10" t="s">
        <v>55</v>
      </c>
      <c r="H2237" s="7" t="s">
        <v>1031</v>
      </c>
      <c r="I2237" s="7" t="s">
        <v>25</v>
      </c>
      <c r="J2237" s="13" t="str">
        <f>HYPERLINK("https://www.airitibooks.com/Detail/Detail?PublicationID=P20191017064", "https://www.airitibooks.com/Detail/Detail?PublicationID=P20191017064")</f>
        <v>https://www.airitibooks.com/Detail/Detail?PublicationID=P20191017064</v>
      </c>
      <c r="K2237" s="13" t="str">
        <f>HYPERLINK("https://ntsu.idm.oclc.org/login?url=https://www.airitibooks.com/Detail/Detail?PublicationID=P20191017064", "https://ntsu.idm.oclc.org/login?url=https://www.airitibooks.com/Detail/Detail?PublicationID=P20191017064")</f>
        <v>https://ntsu.idm.oclc.org/login?url=https://www.airitibooks.com/Detail/Detail?PublicationID=P20191017064</v>
      </c>
    </row>
    <row r="2238" spans="1:11" ht="51" x14ac:dyDescent="0.4">
      <c r="A2238" s="10" t="s">
        <v>12678</v>
      </c>
      <c r="B2238" s="10" t="s">
        <v>12679</v>
      </c>
      <c r="C2238" s="10" t="s">
        <v>12491</v>
      </c>
      <c r="D2238" s="10" t="s">
        <v>12680</v>
      </c>
      <c r="E2238" s="10" t="s">
        <v>6182</v>
      </c>
      <c r="F2238" s="10" t="s">
        <v>9956</v>
      </c>
      <c r="G2238" s="10" t="s">
        <v>55</v>
      </c>
      <c r="H2238" s="7" t="s">
        <v>1031</v>
      </c>
      <c r="I2238" s="7" t="s">
        <v>25</v>
      </c>
      <c r="J2238" s="13" t="str">
        <f>HYPERLINK("https://www.airitibooks.com/Detail/Detail?PublicationID=P20191017072", "https://www.airitibooks.com/Detail/Detail?PublicationID=P20191017072")</f>
        <v>https://www.airitibooks.com/Detail/Detail?PublicationID=P20191017072</v>
      </c>
      <c r="K2238" s="13" t="str">
        <f>HYPERLINK("https://ntsu.idm.oclc.org/login?url=https://www.airitibooks.com/Detail/Detail?PublicationID=P20191017072", "https://ntsu.idm.oclc.org/login?url=https://www.airitibooks.com/Detail/Detail?PublicationID=P20191017072")</f>
        <v>https://ntsu.idm.oclc.org/login?url=https://www.airitibooks.com/Detail/Detail?PublicationID=P20191017072</v>
      </c>
    </row>
    <row r="2239" spans="1:11" ht="51" x14ac:dyDescent="0.4">
      <c r="A2239" s="10" t="s">
        <v>12740</v>
      </c>
      <c r="B2239" s="10" t="s">
        <v>12741</v>
      </c>
      <c r="C2239" s="10" t="s">
        <v>12491</v>
      </c>
      <c r="D2239" s="10" t="s">
        <v>12742</v>
      </c>
      <c r="E2239" s="10" t="s">
        <v>6182</v>
      </c>
      <c r="F2239" s="10" t="s">
        <v>10568</v>
      </c>
      <c r="G2239" s="10" t="s">
        <v>55</v>
      </c>
      <c r="H2239" s="7" t="s">
        <v>1031</v>
      </c>
      <c r="I2239" s="7" t="s">
        <v>25</v>
      </c>
      <c r="J2239" s="13" t="str">
        <f>HYPERLINK("https://www.airitibooks.com/Detail/Detail?PublicationID=P20191023114", "https://www.airitibooks.com/Detail/Detail?PublicationID=P20191023114")</f>
        <v>https://www.airitibooks.com/Detail/Detail?PublicationID=P20191023114</v>
      </c>
      <c r="K2239" s="13" t="str">
        <f>HYPERLINK("https://ntsu.idm.oclc.org/login?url=https://www.airitibooks.com/Detail/Detail?PublicationID=P20191023114", "https://ntsu.idm.oclc.org/login?url=https://www.airitibooks.com/Detail/Detail?PublicationID=P20191023114")</f>
        <v>https://ntsu.idm.oclc.org/login?url=https://www.airitibooks.com/Detail/Detail?PublicationID=P20191023114</v>
      </c>
    </row>
    <row r="2240" spans="1:11" ht="51" x14ac:dyDescent="0.4">
      <c r="A2240" s="10" t="s">
        <v>12805</v>
      </c>
      <c r="B2240" s="10" t="s">
        <v>12806</v>
      </c>
      <c r="C2240" s="10" t="s">
        <v>12491</v>
      </c>
      <c r="D2240" s="10" t="s">
        <v>12807</v>
      </c>
      <c r="E2240" s="10" t="s">
        <v>6182</v>
      </c>
      <c r="F2240" s="10" t="s">
        <v>1462</v>
      </c>
      <c r="G2240" s="10" t="s">
        <v>55</v>
      </c>
      <c r="H2240" s="7" t="s">
        <v>1031</v>
      </c>
      <c r="I2240" s="7" t="s">
        <v>25</v>
      </c>
      <c r="J2240" s="13" t="str">
        <f>HYPERLINK("https://www.airitibooks.com/Detail/Detail?PublicationID=P20191031130", "https://www.airitibooks.com/Detail/Detail?PublicationID=P20191031130")</f>
        <v>https://www.airitibooks.com/Detail/Detail?PublicationID=P20191031130</v>
      </c>
      <c r="K2240" s="13" t="str">
        <f>HYPERLINK("https://ntsu.idm.oclc.org/login?url=https://www.airitibooks.com/Detail/Detail?PublicationID=P20191031130", "https://ntsu.idm.oclc.org/login?url=https://www.airitibooks.com/Detail/Detail?PublicationID=P20191031130")</f>
        <v>https://ntsu.idm.oclc.org/login?url=https://www.airitibooks.com/Detail/Detail?PublicationID=P20191031130</v>
      </c>
    </row>
    <row r="2241" spans="1:11" ht="51" x14ac:dyDescent="0.4">
      <c r="A2241" s="10" t="s">
        <v>12833</v>
      </c>
      <c r="B2241" s="10" t="s">
        <v>12834</v>
      </c>
      <c r="C2241" s="10" t="s">
        <v>12491</v>
      </c>
      <c r="D2241" s="10" t="s">
        <v>12835</v>
      </c>
      <c r="E2241" s="10" t="s">
        <v>6182</v>
      </c>
      <c r="F2241" s="10" t="s">
        <v>10568</v>
      </c>
      <c r="G2241" s="10" t="s">
        <v>55</v>
      </c>
      <c r="H2241" s="7" t="s">
        <v>1031</v>
      </c>
      <c r="I2241" s="7" t="s">
        <v>25</v>
      </c>
      <c r="J2241" s="13" t="str">
        <f>HYPERLINK("https://www.airitibooks.com/Detail/Detail?PublicationID=P20191031161", "https://www.airitibooks.com/Detail/Detail?PublicationID=P20191031161")</f>
        <v>https://www.airitibooks.com/Detail/Detail?PublicationID=P20191031161</v>
      </c>
      <c r="K2241" s="13" t="str">
        <f>HYPERLINK("https://ntsu.idm.oclc.org/login?url=https://www.airitibooks.com/Detail/Detail?PublicationID=P20191031161", "https://ntsu.idm.oclc.org/login?url=https://www.airitibooks.com/Detail/Detail?PublicationID=P20191031161")</f>
        <v>https://ntsu.idm.oclc.org/login?url=https://www.airitibooks.com/Detail/Detail?PublicationID=P20191031161</v>
      </c>
    </row>
    <row r="2242" spans="1:11" ht="51" x14ac:dyDescent="0.4">
      <c r="A2242" s="10" t="s">
        <v>13127</v>
      </c>
      <c r="B2242" s="10" t="s">
        <v>13128</v>
      </c>
      <c r="C2242" s="10" t="s">
        <v>13117</v>
      </c>
      <c r="D2242" s="10" t="s">
        <v>13129</v>
      </c>
      <c r="E2242" s="10" t="s">
        <v>6182</v>
      </c>
      <c r="F2242" s="10" t="s">
        <v>13130</v>
      </c>
      <c r="G2242" s="10" t="s">
        <v>55</v>
      </c>
      <c r="H2242" s="7" t="s">
        <v>1031</v>
      </c>
      <c r="I2242" s="7" t="s">
        <v>25</v>
      </c>
      <c r="J2242" s="13" t="str">
        <f>HYPERLINK("https://www.airitibooks.com/Detail/Detail?PublicationID=P20191225089", "https://www.airitibooks.com/Detail/Detail?PublicationID=P20191225089")</f>
        <v>https://www.airitibooks.com/Detail/Detail?PublicationID=P20191225089</v>
      </c>
      <c r="K2242" s="13" t="str">
        <f>HYPERLINK("https://ntsu.idm.oclc.org/login?url=https://www.airitibooks.com/Detail/Detail?PublicationID=P20191225089", "https://ntsu.idm.oclc.org/login?url=https://www.airitibooks.com/Detail/Detail?PublicationID=P20191225089")</f>
        <v>https://ntsu.idm.oclc.org/login?url=https://www.airitibooks.com/Detail/Detail?PublicationID=P20191225089</v>
      </c>
    </row>
    <row r="2243" spans="1:11" ht="51" x14ac:dyDescent="0.4">
      <c r="A2243" s="10" t="s">
        <v>14163</v>
      </c>
      <c r="B2243" s="10" t="s">
        <v>14164</v>
      </c>
      <c r="C2243" s="10" t="s">
        <v>14114</v>
      </c>
      <c r="D2243" s="10" t="s">
        <v>14165</v>
      </c>
      <c r="E2243" s="10" t="s">
        <v>6182</v>
      </c>
      <c r="F2243" s="10" t="s">
        <v>14166</v>
      </c>
      <c r="G2243" s="10" t="s">
        <v>55</v>
      </c>
      <c r="H2243" s="7" t="s">
        <v>1031</v>
      </c>
      <c r="I2243" s="7" t="s">
        <v>25</v>
      </c>
      <c r="J2243" s="13" t="str">
        <f>HYPERLINK("https://www.airitibooks.com/Detail/Detail?PublicationID=P20200514315", "https://www.airitibooks.com/Detail/Detail?PublicationID=P20200514315")</f>
        <v>https://www.airitibooks.com/Detail/Detail?PublicationID=P20200514315</v>
      </c>
      <c r="K2243" s="13" t="str">
        <f>HYPERLINK("https://ntsu.idm.oclc.org/login?url=https://www.airitibooks.com/Detail/Detail?PublicationID=P20200514315", "https://ntsu.idm.oclc.org/login?url=https://www.airitibooks.com/Detail/Detail?PublicationID=P20200514315")</f>
        <v>https://ntsu.idm.oclc.org/login?url=https://www.airitibooks.com/Detail/Detail?PublicationID=P20200514315</v>
      </c>
    </row>
    <row r="2244" spans="1:11" ht="51" x14ac:dyDescent="0.4">
      <c r="A2244" s="10" t="s">
        <v>15611</v>
      </c>
      <c r="B2244" s="10" t="s">
        <v>15612</v>
      </c>
      <c r="C2244" s="10" t="s">
        <v>14330</v>
      </c>
      <c r="D2244" s="10" t="s">
        <v>15613</v>
      </c>
      <c r="E2244" s="10" t="s">
        <v>6182</v>
      </c>
      <c r="F2244" s="10" t="s">
        <v>1769</v>
      </c>
      <c r="G2244" s="10" t="s">
        <v>55</v>
      </c>
      <c r="H2244" s="7" t="s">
        <v>1031</v>
      </c>
      <c r="I2244" s="7" t="s">
        <v>25</v>
      </c>
      <c r="J2244" s="13" t="str">
        <f>HYPERLINK("https://www.airitibooks.com/Detail/Detail?PublicationID=P20211220078", "https://www.airitibooks.com/Detail/Detail?PublicationID=P20211220078")</f>
        <v>https://www.airitibooks.com/Detail/Detail?PublicationID=P20211220078</v>
      </c>
      <c r="K2244" s="13" t="str">
        <f>HYPERLINK("https://ntsu.idm.oclc.org/login?url=https://www.airitibooks.com/Detail/Detail?PublicationID=P20211220078", "https://ntsu.idm.oclc.org/login?url=https://www.airitibooks.com/Detail/Detail?PublicationID=P20211220078")</f>
        <v>https://ntsu.idm.oclc.org/login?url=https://www.airitibooks.com/Detail/Detail?PublicationID=P20211220078</v>
      </c>
    </row>
    <row r="2245" spans="1:11" ht="51" x14ac:dyDescent="0.4">
      <c r="A2245" s="10" t="s">
        <v>6365</v>
      </c>
      <c r="B2245" s="10" t="s">
        <v>6366</v>
      </c>
      <c r="C2245" s="10" t="s">
        <v>428</v>
      </c>
      <c r="D2245" s="10" t="s">
        <v>6367</v>
      </c>
      <c r="E2245" s="10" t="s">
        <v>6182</v>
      </c>
      <c r="F2245" s="10" t="s">
        <v>232</v>
      </c>
      <c r="G2245" s="10" t="s">
        <v>87</v>
      </c>
      <c r="H2245" s="7" t="s">
        <v>24</v>
      </c>
      <c r="I2245" s="7" t="s">
        <v>25</v>
      </c>
      <c r="J2245" s="13" t="str">
        <f>HYPERLINK("https://www.airitibooks.com/Detail/Detail?PublicationID=P20170328078", "https://www.airitibooks.com/Detail/Detail?PublicationID=P20170328078")</f>
        <v>https://www.airitibooks.com/Detail/Detail?PublicationID=P20170328078</v>
      </c>
      <c r="K2245" s="13" t="str">
        <f>HYPERLINK("https://ntsu.idm.oclc.org/login?url=https://www.airitibooks.com/Detail/Detail?PublicationID=P20170328078", "https://ntsu.idm.oclc.org/login?url=https://www.airitibooks.com/Detail/Detail?PublicationID=P20170328078")</f>
        <v>https://ntsu.idm.oclc.org/login?url=https://www.airitibooks.com/Detail/Detail?PublicationID=P20170328078</v>
      </c>
    </row>
    <row r="2246" spans="1:11" ht="51" x14ac:dyDescent="0.4">
      <c r="A2246" s="10" t="s">
        <v>6368</v>
      </c>
      <c r="B2246" s="10" t="s">
        <v>6369</v>
      </c>
      <c r="C2246" s="10" t="s">
        <v>428</v>
      </c>
      <c r="D2246" s="10" t="s">
        <v>6370</v>
      </c>
      <c r="E2246" s="10" t="s">
        <v>6182</v>
      </c>
      <c r="F2246" s="10" t="s">
        <v>144</v>
      </c>
      <c r="G2246" s="10" t="s">
        <v>87</v>
      </c>
      <c r="H2246" s="7" t="s">
        <v>24</v>
      </c>
      <c r="I2246" s="7" t="s">
        <v>25</v>
      </c>
      <c r="J2246" s="13" t="str">
        <f>HYPERLINK("https://www.airitibooks.com/Detail/Detail?PublicationID=P20170328079", "https://www.airitibooks.com/Detail/Detail?PublicationID=P20170328079")</f>
        <v>https://www.airitibooks.com/Detail/Detail?PublicationID=P20170328079</v>
      </c>
      <c r="K2246" s="13" t="str">
        <f>HYPERLINK("https://ntsu.idm.oclc.org/login?url=https://www.airitibooks.com/Detail/Detail?PublicationID=P20170328079", "https://ntsu.idm.oclc.org/login?url=https://www.airitibooks.com/Detail/Detail?PublicationID=P20170328079")</f>
        <v>https://ntsu.idm.oclc.org/login?url=https://www.airitibooks.com/Detail/Detail?PublicationID=P20170328079</v>
      </c>
    </row>
    <row r="2247" spans="1:11" ht="51" x14ac:dyDescent="0.4">
      <c r="A2247" s="10" t="s">
        <v>6423</v>
      </c>
      <c r="B2247" s="10" t="s">
        <v>6424</v>
      </c>
      <c r="C2247" s="10" t="s">
        <v>292</v>
      </c>
      <c r="D2247" s="10" t="s">
        <v>6425</v>
      </c>
      <c r="E2247" s="10" t="s">
        <v>6182</v>
      </c>
      <c r="F2247" s="10" t="s">
        <v>138</v>
      </c>
      <c r="G2247" s="10" t="s">
        <v>87</v>
      </c>
      <c r="H2247" s="7" t="s">
        <v>24</v>
      </c>
      <c r="I2247" s="7" t="s">
        <v>25</v>
      </c>
      <c r="J2247" s="13" t="str">
        <f>HYPERLINK("https://www.airitibooks.com/Detail/Detail?PublicationID=P20170411080", "https://www.airitibooks.com/Detail/Detail?PublicationID=P20170411080")</f>
        <v>https://www.airitibooks.com/Detail/Detail?PublicationID=P20170411080</v>
      </c>
      <c r="K2247" s="13" t="str">
        <f>HYPERLINK("https://ntsu.idm.oclc.org/login?url=https://www.airitibooks.com/Detail/Detail?PublicationID=P20170411080", "https://ntsu.idm.oclc.org/login?url=https://www.airitibooks.com/Detail/Detail?PublicationID=P20170411080")</f>
        <v>https://ntsu.idm.oclc.org/login?url=https://www.airitibooks.com/Detail/Detail?PublicationID=P20170411080</v>
      </c>
    </row>
    <row r="2248" spans="1:11" ht="51" x14ac:dyDescent="0.4">
      <c r="A2248" s="10" t="s">
        <v>1729</v>
      </c>
      <c r="B2248" s="10" t="s">
        <v>6492</v>
      </c>
      <c r="C2248" s="10" t="s">
        <v>746</v>
      </c>
      <c r="D2248" s="10" t="s">
        <v>6493</v>
      </c>
      <c r="E2248" s="10" t="s">
        <v>6182</v>
      </c>
      <c r="F2248" s="10" t="s">
        <v>475</v>
      </c>
      <c r="G2248" s="10" t="s">
        <v>87</v>
      </c>
      <c r="H2248" s="7" t="s">
        <v>24</v>
      </c>
      <c r="I2248" s="7" t="s">
        <v>25</v>
      </c>
      <c r="J2248" s="13" t="str">
        <f>HYPERLINK("https://www.airitibooks.com/Detail/Detail?PublicationID=P20170502035", "https://www.airitibooks.com/Detail/Detail?PublicationID=P20170502035")</f>
        <v>https://www.airitibooks.com/Detail/Detail?PublicationID=P20170502035</v>
      </c>
      <c r="K2248" s="13" t="str">
        <f>HYPERLINK("https://ntsu.idm.oclc.org/login?url=https://www.airitibooks.com/Detail/Detail?PublicationID=P20170502035", "https://ntsu.idm.oclc.org/login?url=https://www.airitibooks.com/Detail/Detail?PublicationID=P20170502035")</f>
        <v>https://ntsu.idm.oclc.org/login?url=https://www.airitibooks.com/Detail/Detail?PublicationID=P20170502035</v>
      </c>
    </row>
    <row r="2249" spans="1:11" ht="68" x14ac:dyDescent="0.4">
      <c r="A2249" s="10" t="s">
        <v>6494</v>
      </c>
      <c r="B2249" s="10" t="s">
        <v>6495</v>
      </c>
      <c r="C2249" s="10" t="s">
        <v>746</v>
      </c>
      <c r="D2249" s="10" t="s">
        <v>6496</v>
      </c>
      <c r="E2249" s="10" t="s">
        <v>6182</v>
      </c>
      <c r="F2249" s="10" t="s">
        <v>475</v>
      </c>
      <c r="G2249" s="10" t="s">
        <v>87</v>
      </c>
      <c r="H2249" s="7" t="s">
        <v>24</v>
      </c>
      <c r="I2249" s="7" t="s">
        <v>25</v>
      </c>
      <c r="J2249" s="13" t="str">
        <f>HYPERLINK("https://www.airitibooks.com/Detail/Detail?PublicationID=P20170502036", "https://www.airitibooks.com/Detail/Detail?PublicationID=P20170502036")</f>
        <v>https://www.airitibooks.com/Detail/Detail?PublicationID=P20170502036</v>
      </c>
      <c r="K2249" s="13" t="str">
        <f>HYPERLINK("https://ntsu.idm.oclc.org/login?url=https://www.airitibooks.com/Detail/Detail?PublicationID=P20170502036", "https://ntsu.idm.oclc.org/login?url=https://www.airitibooks.com/Detail/Detail?PublicationID=P20170502036")</f>
        <v>https://ntsu.idm.oclc.org/login?url=https://www.airitibooks.com/Detail/Detail?PublicationID=P20170502036</v>
      </c>
    </row>
    <row r="2250" spans="1:11" ht="51" x14ac:dyDescent="0.4">
      <c r="A2250" s="10" t="s">
        <v>6497</v>
      </c>
      <c r="B2250" s="10" t="s">
        <v>6498</v>
      </c>
      <c r="C2250" s="10" t="s">
        <v>746</v>
      </c>
      <c r="D2250" s="10" t="s">
        <v>6499</v>
      </c>
      <c r="E2250" s="10" t="s">
        <v>6182</v>
      </c>
      <c r="F2250" s="10" t="s">
        <v>144</v>
      </c>
      <c r="G2250" s="10" t="s">
        <v>87</v>
      </c>
      <c r="H2250" s="7" t="s">
        <v>24</v>
      </c>
      <c r="I2250" s="7" t="s">
        <v>25</v>
      </c>
      <c r="J2250" s="13" t="str">
        <f>HYPERLINK("https://www.airitibooks.com/Detail/Detail?PublicationID=P20170502038", "https://www.airitibooks.com/Detail/Detail?PublicationID=P20170502038")</f>
        <v>https://www.airitibooks.com/Detail/Detail?PublicationID=P20170502038</v>
      </c>
      <c r="K2250" s="13" t="str">
        <f>HYPERLINK("https://ntsu.idm.oclc.org/login?url=https://www.airitibooks.com/Detail/Detail?PublicationID=P20170502038", "https://ntsu.idm.oclc.org/login?url=https://www.airitibooks.com/Detail/Detail?PublicationID=P20170502038")</f>
        <v>https://ntsu.idm.oclc.org/login?url=https://www.airitibooks.com/Detail/Detail?PublicationID=P20170502038</v>
      </c>
    </row>
    <row r="2251" spans="1:11" ht="51" x14ac:dyDescent="0.4">
      <c r="A2251" s="10" t="s">
        <v>6580</v>
      </c>
      <c r="B2251" s="10" t="s">
        <v>6581</v>
      </c>
      <c r="C2251" s="10" t="s">
        <v>938</v>
      </c>
      <c r="D2251" s="10" t="s">
        <v>2142</v>
      </c>
      <c r="E2251" s="10" t="s">
        <v>6182</v>
      </c>
      <c r="F2251" s="10" t="s">
        <v>6582</v>
      </c>
      <c r="G2251" s="10" t="s">
        <v>87</v>
      </c>
      <c r="H2251" s="7" t="s">
        <v>24</v>
      </c>
      <c r="I2251" s="7" t="s">
        <v>25</v>
      </c>
      <c r="J2251" s="13" t="str">
        <f>HYPERLINK("https://www.airitibooks.com/Detail/Detail?PublicationID=P20170517022", "https://www.airitibooks.com/Detail/Detail?PublicationID=P20170517022")</f>
        <v>https://www.airitibooks.com/Detail/Detail?PublicationID=P20170517022</v>
      </c>
      <c r="K2251" s="13" t="str">
        <f>HYPERLINK("https://ntsu.idm.oclc.org/login?url=https://www.airitibooks.com/Detail/Detail?PublicationID=P20170517022", "https://ntsu.idm.oclc.org/login?url=https://www.airitibooks.com/Detail/Detail?PublicationID=P20170517022")</f>
        <v>https://ntsu.idm.oclc.org/login?url=https://www.airitibooks.com/Detail/Detail?PublicationID=P20170517022</v>
      </c>
    </row>
    <row r="2252" spans="1:11" ht="51" x14ac:dyDescent="0.4">
      <c r="A2252" s="10" t="s">
        <v>6652</v>
      </c>
      <c r="B2252" s="10" t="s">
        <v>6653</v>
      </c>
      <c r="C2252" s="10" t="s">
        <v>544</v>
      </c>
      <c r="D2252" s="10" t="s">
        <v>6654</v>
      </c>
      <c r="E2252" s="10" t="s">
        <v>6182</v>
      </c>
      <c r="F2252" s="10" t="s">
        <v>6655</v>
      </c>
      <c r="G2252" s="10" t="s">
        <v>87</v>
      </c>
      <c r="H2252" s="7" t="s">
        <v>24</v>
      </c>
      <c r="I2252" s="7" t="s">
        <v>25</v>
      </c>
      <c r="J2252" s="13" t="str">
        <f>HYPERLINK("https://www.airitibooks.com/Detail/Detail?PublicationID=P20170517146", "https://www.airitibooks.com/Detail/Detail?PublicationID=P20170517146")</f>
        <v>https://www.airitibooks.com/Detail/Detail?PublicationID=P20170517146</v>
      </c>
      <c r="K2252" s="13" t="str">
        <f>HYPERLINK("https://ntsu.idm.oclc.org/login?url=https://www.airitibooks.com/Detail/Detail?PublicationID=P20170517146", "https://ntsu.idm.oclc.org/login?url=https://www.airitibooks.com/Detail/Detail?PublicationID=P20170517146")</f>
        <v>https://ntsu.idm.oclc.org/login?url=https://www.airitibooks.com/Detail/Detail?PublicationID=P20170517146</v>
      </c>
    </row>
    <row r="2253" spans="1:11" ht="51" x14ac:dyDescent="0.4">
      <c r="A2253" s="10" t="s">
        <v>7002</v>
      </c>
      <c r="B2253" s="10" t="s">
        <v>7003</v>
      </c>
      <c r="C2253" s="10" t="s">
        <v>568</v>
      </c>
      <c r="D2253" s="10" t="s">
        <v>7004</v>
      </c>
      <c r="E2253" s="10" t="s">
        <v>6182</v>
      </c>
      <c r="F2253" s="10" t="s">
        <v>1440</v>
      </c>
      <c r="G2253" s="10" t="s">
        <v>87</v>
      </c>
      <c r="H2253" s="7" t="s">
        <v>24</v>
      </c>
      <c r="I2253" s="7" t="s">
        <v>25</v>
      </c>
      <c r="J2253" s="13" t="str">
        <f>HYPERLINK("https://www.airitibooks.com/Detail/Detail?PublicationID=P20170717041", "https://www.airitibooks.com/Detail/Detail?PublicationID=P20170717041")</f>
        <v>https://www.airitibooks.com/Detail/Detail?PublicationID=P20170717041</v>
      </c>
      <c r="K2253" s="13" t="str">
        <f>HYPERLINK("https://ntsu.idm.oclc.org/login?url=https://www.airitibooks.com/Detail/Detail?PublicationID=P20170717041", "https://ntsu.idm.oclc.org/login?url=https://www.airitibooks.com/Detail/Detail?PublicationID=P20170717041")</f>
        <v>https://ntsu.idm.oclc.org/login?url=https://www.airitibooks.com/Detail/Detail?PublicationID=P20170717041</v>
      </c>
    </row>
    <row r="2254" spans="1:11" ht="85" x14ac:dyDescent="0.4">
      <c r="A2254" s="10" t="s">
        <v>7080</v>
      </c>
      <c r="B2254" s="10" t="s">
        <v>7081</v>
      </c>
      <c r="C2254" s="10" t="s">
        <v>6298</v>
      </c>
      <c r="D2254" s="10" t="s">
        <v>7082</v>
      </c>
      <c r="E2254" s="10" t="s">
        <v>6182</v>
      </c>
      <c r="F2254" s="10" t="s">
        <v>2063</v>
      </c>
      <c r="G2254" s="10" t="s">
        <v>87</v>
      </c>
      <c r="H2254" s="7" t="s">
        <v>24</v>
      </c>
      <c r="I2254" s="7" t="s">
        <v>25</v>
      </c>
      <c r="J2254" s="13" t="str">
        <f>HYPERLINK("https://www.airitibooks.com/Detail/Detail?PublicationID=P20170929064", "https://www.airitibooks.com/Detail/Detail?PublicationID=P20170929064")</f>
        <v>https://www.airitibooks.com/Detail/Detail?PublicationID=P20170929064</v>
      </c>
      <c r="K2254" s="13" t="str">
        <f>HYPERLINK("https://ntsu.idm.oclc.org/login?url=https://www.airitibooks.com/Detail/Detail?PublicationID=P20170929064", "https://ntsu.idm.oclc.org/login?url=https://www.airitibooks.com/Detail/Detail?PublicationID=P20170929064")</f>
        <v>https://ntsu.idm.oclc.org/login?url=https://www.airitibooks.com/Detail/Detail?PublicationID=P20170929064</v>
      </c>
    </row>
    <row r="2255" spans="1:11" ht="136" x14ac:dyDescent="0.4">
      <c r="A2255" s="10" t="s">
        <v>7107</v>
      </c>
      <c r="B2255" s="10" t="s">
        <v>7108</v>
      </c>
      <c r="C2255" s="10" t="s">
        <v>7085</v>
      </c>
      <c r="D2255" s="10" t="s">
        <v>7109</v>
      </c>
      <c r="E2255" s="10" t="s">
        <v>6182</v>
      </c>
      <c r="F2255" s="10" t="s">
        <v>2063</v>
      </c>
      <c r="G2255" s="10" t="s">
        <v>87</v>
      </c>
      <c r="H2255" s="7" t="s">
        <v>24</v>
      </c>
      <c r="I2255" s="7" t="s">
        <v>25</v>
      </c>
      <c r="J2255" s="13" t="str">
        <f>HYPERLINK("https://www.airitibooks.com/Detail/Detail?PublicationID=P20170929083", "https://www.airitibooks.com/Detail/Detail?PublicationID=P20170929083")</f>
        <v>https://www.airitibooks.com/Detail/Detail?PublicationID=P20170929083</v>
      </c>
      <c r="K2255" s="13" t="str">
        <f>HYPERLINK("https://ntsu.idm.oclc.org/login?url=https://www.airitibooks.com/Detail/Detail?PublicationID=P20170929083", "https://ntsu.idm.oclc.org/login?url=https://www.airitibooks.com/Detail/Detail?PublicationID=P20170929083")</f>
        <v>https://ntsu.idm.oclc.org/login?url=https://www.airitibooks.com/Detail/Detail?PublicationID=P20170929083</v>
      </c>
    </row>
    <row r="2256" spans="1:11" ht="119" x14ac:dyDescent="0.4">
      <c r="A2256" s="10" t="s">
        <v>7133</v>
      </c>
      <c r="B2256" s="10" t="s">
        <v>7134</v>
      </c>
      <c r="C2256" s="10" t="s">
        <v>1484</v>
      </c>
      <c r="D2256" s="10" t="s">
        <v>7135</v>
      </c>
      <c r="E2256" s="10" t="s">
        <v>6182</v>
      </c>
      <c r="F2256" s="10" t="s">
        <v>144</v>
      </c>
      <c r="G2256" s="10" t="s">
        <v>87</v>
      </c>
      <c r="H2256" s="7" t="s">
        <v>24</v>
      </c>
      <c r="I2256" s="7" t="s">
        <v>25</v>
      </c>
      <c r="J2256" s="13" t="str">
        <f>HYPERLINK("https://www.airitibooks.com/Detail/Detail?PublicationID=P20170929106", "https://www.airitibooks.com/Detail/Detail?PublicationID=P20170929106")</f>
        <v>https://www.airitibooks.com/Detail/Detail?PublicationID=P20170929106</v>
      </c>
      <c r="K2256" s="13" t="str">
        <f>HYPERLINK("https://ntsu.idm.oclc.org/login?url=https://www.airitibooks.com/Detail/Detail?PublicationID=P20170929106", "https://ntsu.idm.oclc.org/login?url=https://www.airitibooks.com/Detail/Detail?PublicationID=P20170929106")</f>
        <v>https://ntsu.idm.oclc.org/login?url=https://www.airitibooks.com/Detail/Detail?PublicationID=P20170929106</v>
      </c>
    </row>
    <row r="2257" spans="1:11" ht="51" x14ac:dyDescent="0.4">
      <c r="A2257" s="10" t="s">
        <v>7150</v>
      </c>
      <c r="B2257" s="10" t="s">
        <v>7151</v>
      </c>
      <c r="C2257" s="10" t="s">
        <v>568</v>
      </c>
      <c r="D2257" s="10" t="s">
        <v>7152</v>
      </c>
      <c r="E2257" s="10" t="s">
        <v>6182</v>
      </c>
      <c r="F2257" s="10" t="s">
        <v>7153</v>
      </c>
      <c r="G2257" s="10" t="s">
        <v>87</v>
      </c>
      <c r="H2257" s="7" t="s">
        <v>24</v>
      </c>
      <c r="I2257" s="7" t="s">
        <v>25</v>
      </c>
      <c r="J2257" s="13" t="str">
        <f>HYPERLINK("https://www.airitibooks.com/Detail/Detail?PublicationID=P20170929149", "https://www.airitibooks.com/Detail/Detail?PublicationID=P20170929149")</f>
        <v>https://www.airitibooks.com/Detail/Detail?PublicationID=P20170929149</v>
      </c>
      <c r="K2257" s="13" t="str">
        <f>HYPERLINK("https://ntsu.idm.oclc.org/login?url=https://www.airitibooks.com/Detail/Detail?PublicationID=P20170929149", "https://ntsu.idm.oclc.org/login?url=https://www.airitibooks.com/Detail/Detail?PublicationID=P20170929149")</f>
        <v>https://ntsu.idm.oclc.org/login?url=https://www.airitibooks.com/Detail/Detail?PublicationID=P20170929149</v>
      </c>
    </row>
    <row r="2258" spans="1:11" ht="51" x14ac:dyDescent="0.4">
      <c r="A2258" s="10" t="s">
        <v>7162</v>
      </c>
      <c r="B2258" s="10" t="s">
        <v>7163</v>
      </c>
      <c r="C2258" s="10" t="s">
        <v>7164</v>
      </c>
      <c r="D2258" s="10" t="s">
        <v>7165</v>
      </c>
      <c r="E2258" s="10" t="s">
        <v>6182</v>
      </c>
      <c r="F2258" s="10" t="s">
        <v>2795</v>
      </c>
      <c r="G2258" s="10" t="s">
        <v>87</v>
      </c>
      <c r="H2258" s="7" t="s">
        <v>24</v>
      </c>
      <c r="I2258" s="7" t="s">
        <v>25</v>
      </c>
      <c r="J2258" s="13" t="str">
        <f>HYPERLINK("https://www.airitibooks.com/Detail/Detail?PublicationID=P20170929184", "https://www.airitibooks.com/Detail/Detail?PublicationID=P20170929184")</f>
        <v>https://www.airitibooks.com/Detail/Detail?PublicationID=P20170929184</v>
      </c>
      <c r="K2258" s="13" t="str">
        <f>HYPERLINK("https://ntsu.idm.oclc.org/login?url=https://www.airitibooks.com/Detail/Detail?PublicationID=P20170929184", "https://ntsu.idm.oclc.org/login?url=https://www.airitibooks.com/Detail/Detail?PublicationID=P20170929184")</f>
        <v>https://ntsu.idm.oclc.org/login?url=https://www.airitibooks.com/Detail/Detail?PublicationID=P20170929184</v>
      </c>
    </row>
    <row r="2259" spans="1:11" ht="51" x14ac:dyDescent="0.4">
      <c r="A2259" s="10" t="s">
        <v>7166</v>
      </c>
      <c r="B2259" s="10" t="s">
        <v>7167</v>
      </c>
      <c r="C2259" s="10" t="s">
        <v>7164</v>
      </c>
      <c r="D2259" s="10" t="s">
        <v>7168</v>
      </c>
      <c r="E2259" s="10" t="s">
        <v>6182</v>
      </c>
      <c r="F2259" s="10" t="s">
        <v>475</v>
      </c>
      <c r="G2259" s="10" t="s">
        <v>87</v>
      </c>
      <c r="H2259" s="7" t="s">
        <v>24</v>
      </c>
      <c r="I2259" s="7" t="s">
        <v>25</v>
      </c>
      <c r="J2259" s="13" t="str">
        <f>HYPERLINK("https://www.airitibooks.com/Detail/Detail?PublicationID=P20170929185", "https://www.airitibooks.com/Detail/Detail?PublicationID=P20170929185")</f>
        <v>https://www.airitibooks.com/Detail/Detail?PublicationID=P20170929185</v>
      </c>
      <c r="K2259" s="13" t="str">
        <f>HYPERLINK("https://ntsu.idm.oclc.org/login?url=https://www.airitibooks.com/Detail/Detail?PublicationID=P20170929185", "https://ntsu.idm.oclc.org/login?url=https://www.airitibooks.com/Detail/Detail?PublicationID=P20170929185")</f>
        <v>https://ntsu.idm.oclc.org/login?url=https://www.airitibooks.com/Detail/Detail?PublicationID=P20170929185</v>
      </c>
    </row>
    <row r="2260" spans="1:11" ht="51" x14ac:dyDescent="0.4">
      <c r="A2260" s="10" t="s">
        <v>7169</v>
      </c>
      <c r="B2260" s="10" t="s">
        <v>7170</v>
      </c>
      <c r="C2260" s="10" t="s">
        <v>7164</v>
      </c>
      <c r="D2260" s="10" t="s">
        <v>7171</v>
      </c>
      <c r="E2260" s="10" t="s">
        <v>6182</v>
      </c>
      <c r="F2260" s="10" t="s">
        <v>5517</v>
      </c>
      <c r="G2260" s="10" t="s">
        <v>87</v>
      </c>
      <c r="H2260" s="7" t="s">
        <v>24</v>
      </c>
      <c r="I2260" s="7" t="s">
        <v>25</v>
      </c>
      <c r="J2260" s="13" t="str">
        <f>HYPERLINK("https://www.airitibooks.com/Detail/Detail?PublicationID=P20170929187", "https://www.airitibooks.com/Detail/Detail?PublicationID=P20170929187")</f>
        <v>https://www.airitibooks.com/Detail/Detail?PublicationID=P20170929187</v>
      </c>
      <c r="K2260" s="13" t="str">
        <f>HYPERLINK("https://ntsu.idm.oclc.org/login?url=https://www.airitibooks.com/Detail/Detail?PublicationID=P20170929187", "https://ntsu.idm.oclc.org/login?url=https://www.airitibooks.com/Detail/Detail?PublicationID=P20170929187")</f>
        <v>https://ntsu.idm.oclc.org/login?url=https://www.airitibooks.com/Detail/Detail?PublicationID=P20170929187</v>
      </c>
    </row>
    <row r="2261" spans="1:11" ht="51" x14ac:dyDescent="0.4">
      <c r="A2261" s="10" t="s">
        <v>7172</v>
      </c>
      <c r="B2261" s="10" t="s">
        <v>7173</v>
      </c>
      <c r="C2261" s="10" t="s">
        <v>7164</v>
      </c>
      <c r="D2261" s="10" t="s">
        <v>7174</v>
      </c>
      <c r="E2261" s="10" t="s">
        <v>6182</v>
      </c>
      <c r="F2261" s="10" t="s">
        <v>475</v>
      </c>
      <c r="G2261" s="10" t="s">
        <v>87</v>
      </c>
      <c r="H2261" s="7" t="s">
        <v>24</v>
      </c>
      <c r="I2261" s="7" t="s">
        <v>25</v>
      </c>
      <c r="J2261" s="13" t="str">
        <f>HYPERLINK("https://www.airitibooks.com/Detail/Detail?PublicationID=P20170929188", "https://www.airitibooks.com/Detail/Detail?PublicationID=P20170929188")</f>
        <v>https://www.airitibooks.com/Detail/Detail?PublicationID=P20170929188</v>
      </c>
      <c r="K2261" s="13" t="str">
        <f>HYPERLINK("https://ntsu.idm.oclc.org/login?url=https://www.airitibooks.com/Detail/Detail?PublicationID=P20170929188", "https://ntsu.idm.oclc.org/login?url=https://www.airitibooks.com/Detail/Detail?PublicationID=P20170929188")</f>
        <v>https://ntsu.idm.oclc.org/login?url=https://www.airitibooks.com/Detail/Detail?PublicationID=P20170929188</v>
      </c>
    </row>
    <row r="2262" spans="1:11" ht="51" x14ac:dyDescent="0.4">
      <c r="A2262" s="10" t="s">
        <v>7175</v>
      </c>
      <c r="B2262" s="10" t="s">
        <v>7176</v>
      </c>
      <c r="C2262" s="10" t="s">
        <v>7164</v>
      </c>
      <c r="D2262" s="10" t="s">
        <v>7177</v>
      </c>
      <c r="E2262" s="10" t="s">
        <v>6182</v>
      </c>
      <c r="F2262" s="10" t="s">
        <v>7178</v>
      </c>
      <c r="G2262" s="10" t="s">
        <v>87</v>
      </c>
      <c r="H2262" s="7" t="s">
        <v>24</v>
      </c>
      <c r="I2262" s="7" t="s">
        <v>25</v>
      </c>
      <c r="J2262" s="13" t="str">
        <f>HYPERLINK("https://www.airitibooks.com/Detail/Detail?PublicationID=P20170929190", "https://www.airitibooks.com/Detail/Detail?PublicationID=P20170929190")</f>
        <v>https://www.airitibooks.com/Detail/Detail?PublicationID=P20170929190</v>
      </c>
      <c r="K2262" s="13" t="str">
        <f>HYPERLINK("https://ntsu.idm.oclc.org/login?url=https://www.airitibooks.com/Detail/Detail?PublicationID=P20170929190", "https://ntsu.idm.oclc.org/login?url=https://www.airitibooks.com/Detail/Detail?PublicationID=P20170929190")</f>
        <v>https://ntsu.idm.oclc.org/login?url=https://www.airitibooks.com/Detail/Detail?PublicationID=P20170929190</v>
      </c>
    </row>
    <row r="2263" spans="1:11" ht="51" x14ac:dyDescent="0.4">
      <c r="A2263" s="10" t="s">
        <v>7179</v>
      </c>
      <c r="B2263" s="10" t="s">
        <v>7180</v>
      </c>
      <c r="C2263" s="10" t="s">
        <v>7164</v>
      </c>
      <c r="D2263" s="10" t="s">
        <v>7181</v>
      </c>
      <c r="E2263" s="10" t="s">
        <v>6182</v>
      </c>
      <c r="F2263" s="10" t="s">
        <v>7178</v>
      </c>
      <c r="G2263" s="10" t="s">
        <v>87</v>
      </c>
      <c r="H2263" s="7" t="s">
        <v>24</v>
      </c>
      <c r="I2263" s="7" t="s">
        <v>25</v>
      </c>
      <c r="J2263" s="13" t="str">
        <f>HYPERLINK("https://www.airitibooks.com/Detail/Detail?PublicationID=P20170929191", "https://www.airitibooks.com/Detail/Detail?PublicationID=P20170929191")</f>
        <v>https://www.airitibooks.com/Detail/Detail?PublicationID=P20170929191</v>
      </c>
      <c r="K2263" s="13" t="str">
        <f>HYPERLINK("https://ntsu.idm.oclc.org/login?url=https://www.airitibooks.com/Detail/Detail?PublicationID=P20170929191", "https://ntsu.idm.oclc.org/login?url=https://www.airitibooks.com/Detail/Detail?PublicationID=P20170929191")</f>
        <v>https://ntsu.idm.oclc.org/login?url=https://www.airitibooks.com/Detail/Detail?PublicationID=P20170929191</v>
      </c>
    </row>
    <row r="2264" spans="1:11" ht="51" x14ac:dyDescent="0.4">
      <c r="A2264" s="10" t="s">
        <v>7182</v>
      </c>
      <c r="B2264" s="10" t="s">
        <v>7183</v>
      </c>
      <c r="C2264" s="10" t="s">
        <v>7164</v>
      </c>
      <c r="D2264" s="10" t="s">
        <v>7184</v>
      </c>
      <c r="E2264" s="10" t="s">
        <v>6182</v>
      </c>
      <c r="F2264" s="10" t="s">
        <v>475</v>
      </c>
      <c r="G2264" s="10" t="s">
        <v>87</v>
      </c>
      <c r="H2264" s="7" t="s">
        <v>24</v>
      </c>
      <c r="I2264" s="7" t="s">
        <v>25</v>
      </c>
      <c r="J2264" s="13" t="str">
        <f>HYPERLINK("https://www.airitibooks.com/Detail/Detail?PublicationID=P20170929193", "https://www.airitibooks.com/Detail/Detail?PublicationID=P20170929193")</f>
        <v>https://www.airitibooks.com/Detail/Detail?PublicationID=P20170929193</v>
      </c>
      <c r="K2264" s="13" t="str">
        <f>HYPERLINK("https://ntsu.idm.oclc.org/login?url=https://www.airitibooks.com/Detail/Detail?PublicationID=P20170929193", "https://ntsu.idm.oclc.org/login?url=https://www.airitibooks.com/Detail/Detail?PublicationID=P20170929193")</f>
        <v>https://ntsu.idm.oclc.org/login?url=https://www.airitibooks.com/Detail/Detail?PublicationID=P20170929193</v>
      </c>
    </row>
    <row r="2265" spans="1:11" ht="51" x14ac:dyDescent="0.4">
      <c r="A2265" s="10" t="s">
        <v>7185</v>
      </c>
      <c r="B2265" s="10" t="s">
        <v>7186</v>
      </c>
      <c r="C2265" s="10" t="s">
        <v>7164</v>
      </c>
      <c r="D2265" s="10" t="s">
        <v>7187</v>
      </c>
      <c r="E2265" s="10" t="s">
        <v>6182</v>
      </c>
      <c r="F2265" s="10" t="s">
        <v>5517</v>
      </c>
      <c r="G2265" s="10" t="s">
        <v>87</v>
      </c>
      <c r="H2265" s="7" t="s">
        <v>24</v>
      </c>
      <c r="I2265" s="7" t="s">
        <v>25</v>
      </c>
      <c r="J2265" s="13" t="str">
        <f>HYPERLINK("https://www.airitibooks.com/Detail/Detail?PublicationID=P20170929197", "https://www.airitibooks.com/Detail/Detail?PublicationID=P20170929197")</f>
        <v>https://www.airitibooks.com/Detail/Detail?PublicationID=P20170929197</v>
      </c>
      <c r="K2265" s="13" t="str">
        <f>HYPERLINK("https://ntsu.idm.oclc.org/login?url=https://www.airitibooks.com/Detail/Detail?PublicationID=P20170929197", "https://ntsu.idm.oclc.org/login?url=https://www.airitibooks.com/Detail/Detail?PublicationID=P20170929197")</f>
        <v>https://ntsu.idm.oclc.org/login?url=https://www.airitibooks.com/Detail/Detail?PublicationID=P20170929197</v>
      </c>
    </row>
    <row r="2266" spans="1:11" ht="51" x14ac:dyDescent="0.4">
      <c r="A2266" s="10" t="s">
        <v>7188</v>
      </c>
      <c r="B2266" s="10" t="s">
        <v>7189</v>
      </c>
      <c r="C2266" s="10" t="s">
        <v>7164</v>
      </c>
      <c r="D2266" s="10" t="s">
        <v>7187</v>
      </c>
      <c r="E2266" s="10" t="s">
        <v>6182</v>
      </c>
      <c r="F2266" s="10" t="s">
        <v>5517</v>
      </c>
      <c r="G2266" s="10" t="s">
        <v>87</v>
      </c>
      <c r="H2266" s="7" t="s">
        <v>24</v>
      </c>
      <c r="I2266" s="7" t="s">
        <v>25</v>
      </c>
      <c r="J2266" s="13" t="str">
        <f>HYPERLINK("https://www.airitibooks.com/Detail/Detail?PublicationID=P20170929198", "https://www.airitibooks.com/Detail/Detail?PublicationID=P20170929198")</f>
        <v>https://www.airitibooks.com/Detail/Detail?PublicationID=P20170929198</v>
      </c>
      <c r="K2266" s="13" t="str">
        <f>HYPERLINK("https://ntsu.idm.oclc.org/login?url=https://www.airitibooks.com/Detail/Detail?PublicationID=P20170929198", "https://ntsu.idm.oclc.org/login?url=https://www.airitibooks.com/Detail/Detail?PublicationID=P20170929198")</f>
        <v>https://ntsu.idm.oclc.org/login?url=https://www.airitibooks.com/Detail/Detail?PublicationID=P20170929198</v>
      </c>
    </row>
    <row r="2267" spans="1:11" ht="51" x14ac:dyDescent="0.4">
      <c r="A2267" s="10" t="s">
        <v>7193</v>
      </c>
      <c r="B2267" s="10" t="s">
        <v>7194</v>
      </c>
      <c r="C2267" s="10" t="s">
        <v>7164</v>
      </c>
      <c r="D2267" s="10" t="s">
        <v>7195</v>
      </c>
      <c r="E2267" s="10" t="s">
        <v>6182</v>
      </c>
      <c r="F2267" s="10" t="s">
        <v>7178</v>
      </c>
      <c r="G2267" s="10" t="s">
        <v>87</v>
      </c>
      <c r="H2267" s="7" t="s">
        <v>24</v>
      </c>
      <c r="I2267" s="7" t="s">
        <v>25</v>
      </c>
      <c r="J2267" s="13" t="str">
        <f>HYPERLINK("https://www.airitibooks.com/Detail/Detail?PublicationID=P20170929201", "https://www.airitibooks.com/Detail/Detail?PublicationID=P20170929201")</f>
        <v>https://www.airitibooks.com/Detail/Detail?PublicationID=P20170929201</v>
      </c>
      <c r="K2267" s="13" t="str">
        <f>HYPERLINK("https://ntsu.idm.oclc.org/login?url=https://www.airitibooks.com/Detail/Detail?PublicationID=P20170929201", "https://ntsu.idm.oclc.org/login?url=https://www.airitibooks.com/Detail/Detail?PublicationID=P20170929201")</f>
        <v>https://ntsu.idm.oclc.org/login?url=https://www.airitibooks.com/Detail/Detail?PublicationID=P20170929201</v>
      </c>
    </row>
    <row r="2268" spans="1:11" ht="51" x14ac:dyDescent="0.4">
      <c r="A2268" s="10" t="s">
        <v>7197</v>
      </c>
      <c r="B2268" s="10" t="s">
        <v>7198</v>
      </c>
      <c r="C2268" s="10" t="s">
        <v>7164</v>
      </c>
      <c r="D2268" s="10" t="s">
        <v>7199</v>
      </c>
      <c r="E2268" s="10" t="s">
        <v>6182</v>
      </c>
      <c r="F2268" s="10" t="s">
        <v>7200</v>
      </c>
      <c r="G2268" s="10" t="s">
        <v>87</v>
      </c>
      <c r="H2268" s="7" t="s">
        <v>24</v>
      </c>
      <c r="I2268" s="7" t="s">
        <v>25</v>
      </c>
      <c r="J2268" s="13" t="str">
        <f>HYPERLINK("https://www.airitibooks.com/Detail/Detail?PublicationID=P20170929202", "https://www.airitibooks.com/Detail/Detail?PublicationID=P20170929202")</f>
        <v>https://www.airitibooks.com/Detail/Detail?PublicationID=P20170929202</v>
      </c>
      <c r="K2268" s="13" t="str">
        <f>HYPERLINK("https://ntsu.idm.oclc.org/login?url=https://www.airitibooks.com/Detail/Detail?PublicationID=P20170929202", "https://ntsu.idm.oclc.org/login?url=https://www.airitibooks.com/Detail/Detail?PublicationID=P20170929202")</f>
        <v>https://ntsu.idm.oclc.org/login?url=https://www.airitibooks.com/Detail/Detail?PublicationID=P20170929202</v>
      </c>
    </row>
    <row r="2269" spans="1:11" ht="51" x14ac:dyDescent="0.4">
      <c r="A2269" s="10" t="s">
        <v>7201</v>
      </c>
      <c r="B2269" s="10" t="s">
        <v>7202</v>
      </c>
      <c r="C2269" s="10" t="s">
        <v>7164</v>
      </c>
      <c r="D2269" s="10" t="s">
        <v>7203</v>
      </c>
      <c r="E2269" s="10" t="s">
        <v>6182</v>
      </c>
      <c r="F2269" s="10" t="s">
        <v>132</v>
      </c>
      <c r="G2269" s="10" t="s">
        <v>87</v>
      </c>
      <c r="H2269" s="7" t="s">
        <v>24</v>
      </c>
      <c r="I2269" s="7" t="s">
        <v>25</v>
      </c>
      <c r="J2269" s="13" t="str">
        <f>HYPERLINK("https://www.airitibooks.com/Detail/Detail?PublicationID=P20170929207", "https://www.airitibooks.com/Detail/Detail?PublicationID=P20170929207")</f>
        <v>https://www.airitibooks.com/Detail/Detail?PublicationID=P20170929207</v>
      </c>
      <c r="K2269" s="13" t="str">
        <f>HYPERLINK("https://ntsu.idm.oclc.org/login?url=https://www.airitibooks.com/Detail/Detail?PublicationID=P20170929207", "https://ntsu.idm.oclc.org/login?url=https://www.airitibooks.com/Detail/Detail?PublicationID=P20170929207")</f>
        <v>https://ntsu.idm.oclc.org/login?url=https://www.airitibooks.com/Detail/Detail?PublicationID=P20170929207</v>
      </c>
    </row>
    <row r="2270" spans="1:11" ht="51" x14ac:dyDescent="0.4">
      <c r="A2270" s="10" t="s">
        <v>7207</v>
      </c>
      <c r="B2270" s="10" t="s">
        <v>7208</v>
      </c>
      <c r="C2270" s="10" t="s">
        <v>7164</v>
      </c>
      <c r="D2270" s="10" t="s">
        <v>7209</v>
      </c>
      <c r="E2270" s="10" t="s">
        <v>6182</v>
      </c>
      <c r="F2270" s="10" t="s">
        <v>475</v>
      </c>
      <c r="G2270" s="10" t="s">
        <v>87</v>
      </c>
      <c r="H2270" s="7" t="s">
        <v>24</v>
      </c>
      <c r="I2270" s="7" t="s">
        <v>25</v>
      </c>
      <c r="J2270" s="13" t="str">
        <f>HYPERLINK("https://www.airitibooks.com/Detail/Detail?PublicationID=P20170929213", "https://www.airitibooks.com/Detail/Detail?PublicationID=P20170929213")</f>
        <v>https://www.airitibooks.com/Detail/Detail?PublicationID=P20170929213</v>
      </c>
      <c r="K2270" s="13" t="str">
        <f>HYPERLINK("https://ntsu.idm.oclc.org/login?url=https://www.airitibooks.com/Detail/Detail?PublicationID=P20170929213", "https://ntsu.idm.oclc.org/login?url=https://www.airitibooks.com/Detail/Detail?PublicationID=P20170929213")</f>
        <v>https://ntsu.idm.oclc.org/login?url=https://www.airitibooks.com/Detail/Detail?PublicationID=P20170929213</v>
      </c>
    </row>
    <row r="2271" spans="1:11" ht="51" x14ac:dyDescent="0.4">
      <c r="A2271" s="10" t="s">
        <v>7210</v>
      </c>
      <c r="B2271" s="10" t="s">
        <v>7211</v>
      </c>
      <c r="C2271" s="10" t="s">
        <v>7164</v>
      </c>
      <c r="D2271" s="10" t="s">
        <v>7212</v>
      </c>
      <c r="E2271" s="10" t="s">
        <v>6182</v>
      </c>
      <c r="F2271" s="10" t="s">
        <v>132</v>
      </c>
      <c r="G2271" s="10" t="s">
        <v>87</v>
      </c>
      <c r="H2271" s="7" t="s">
        <v>24</v>
      </c>
      <c r="I2271" s="7" t="s">
        <v>25</v>
      </c>
      <c r="J2271" s="13" t="str">
        <f>HYPERLINK("https://www.airitibooks.com/Detail/Detail?PublicationID=P20170929220", "https://www.airitibooks.com/Detail/Detail?PublicationID=P20170929220")</f>
        <v>https://www.airitibooks.com/Detail/Detail?PublicationID=P20170929220</v>
      </c>
      <c r="K2271" s="13" t="str">
        <f>HYPERLINK("https://ntsu.idm.oclc.org/login?url=https://www.airitibooks.com/Detail/Detail?PublicationID=P20170929220", "https://ntsu.idm.oclc.org/login?url=https://www.airitibooks.com/Detail/Detail?PublicationID=P20170929220")</f>
        <v>https://ntsu.idm.oclc.org/login?url=https://www.airitibooks.com/Detail/Detail?PublicationID=P20170929220</v>
      </c>
    </row>
    <row r="2272" spans="1:11" ht="51" x14ac:dyDescent="0.4">
      <c r="A2272" s="10" t="s">
        <v>7216</v>
      </c>
      <c r="B2272" s="10" t="s">
        <v>7217</v>
      </c>
      <c r="C2272" s="10" t="s">
        <v>7164</v>
      </c>
      <c r="D2272" s="10" t="s">
        <v>7218</v>
      </c>
      <c r="E2272" s="10" t="s">
        <v>6182</v>
      </c>
      <c r="F2272" s="10" t="s">
        <v>132</v>
      </c>
      <c r="G2272" s="10" t="s">
        <v>87</v>
      </c>
      <c r="H2272" s="7" t="s">
        <v>24</v>
      </c>
      <c r="I2272" s="7" t="s">
        <v>25</v>
      </c>
      <c r="J2272" s="13" t="str">
        <f>HYPERLINK("https://www.airitibooks.com/Detail/Detail?PublicationID=P20170929228", "https://www.airitibooks.com/Detail/Detail?PublicationID=P20170929228")</f>
        <v>https://www.airitibooks.com/Detail/Detail?PublicationID=P20170929228</v>
      </c>
      <c r="K2272" s="13" t="str">
        <f>HYPERLINK("https://ntsu.idm.oclc.org/login?url=https://www.airitibooks.com/Detail/Detail?PublicationID=P20170929228", "https://ntsu.idm.oclc.org/login?url=https://www.airitibooks.com/Detail/Detail?PublicationID=P20170929228")</f>
        <v>https://ntsu.idm.oclc.org/login?url=https://www.airitibooks.com/Detail/Detail?PublicationID=P20170929228</v>
      </c>
    </row>
    <row r="2273" spans="1:11" ht="51" x14ac:dyDescent="0.4">
      <c r="A2273" s="10" t="s">
        <v>7233</v>
      </c>
      <c r="B2273" s="10" t="s">
        <v>7234</v>
      </c>
      <c r="C2273" s="10" t="s">
        <v>7164</v>
      </c>
      <c r="D2273" s="10" t="s">
        <v>7215</v>
      </c>
      <c r="E2273" s="10" t="s">
        <v>6182</v>
      </c>
      <c r="F2273" s="10" t="s">
        <v>7178</v>
      </c>
      <c r="G2273" s="10" t="s">
        <v>87</v>
      </c>
      <c r="H2273" s="7" t="s">
        <v>24</v>
      </c>
      <c r="I2273" s="7" t="s">
        <v>25</v>
      </c>
      <c r="J2273" s="13" t="str">
        <f>HYPERLINK("https://www.airitibooks.com/Detail/Detail?PublicationID=P20170929288", "https://www.airitibooks.com/Detail/Detail?PublicationID=P20170929288")</f>
        <v>https://www.airitibooks.com/Detail/Detail?PublicationID=P20170929288</v>
      </c>
      <c r="K2273" s="13" t="str">
        <f>HYPERLINK("https://ntsu.idm.oclc.org/login?url=https://www.airitibooks.com/Detail/Detail?PublicationID=P20170929288", "https://ntsu.idm.oclc.org/login?url=https://www.airitibooks.com/Detail/Detail?PublicationID=P20170929288")</f>
        <v>https://ntsu.idm.oclc.org/login?url=https://www.airitibooks.com/Detail/Detail?PublicationID=P20170929288</v>
      </c>
    </row>
    <row r="2274" spans="1:11" ht="204" x14ac:dyDescent="0.4">
      <c r="A2274" s="10" t="s">
        <v>7241</v>
      </c>
      <c r="B2274" s="10" t="s">
        <v>7242</v>
      </c>
      <c r="C2274" s="10" t="s">
        <v>7243</v>
      </c>
      <c r="D2274" s="10" t="s">
        <v>7244</v>
      </c>
      <c r="E2274" s="10" t="s">
        <v>6182</v>
      </c>
      <c r="F2274" s="10" t="s">
        <v>399</v>
      </c>
      <c r="G2274" s="10" t="s">
        <v>87</v>
      </c>
      <c r="H2274" s="7" t="s">
        <v>24</v>
      </c>
      <c r="I2274" s="7" t="s">
        <v>25</v>
      </c>
      <c r="J2274" s="13" t="str">
        <f>HYPERLINK("https://www.airitibooks.com/Detail/Detail?PublicationID=P20170929386", "https://www.airitibooks.com/Detail/Detail?PublicationID=P20170929386")</f>
        <v>https://www.airitibooks.com/Detail/Detail?PublicationID=P20170929386</v>
      </c>
      <c r="K2274" s="13" t="str">
        <f>HYPERLINK("https://ntsu.idm.oclc.org/login?url=https://www.airitibooks.com/Detail/Detail?PublicationID=P20170929386", "https://ntsu.idm.oclc.org/login?url=https://www.airitibooks.com/Detail/Detail?PublicationID=P20170929386")</f>
        <v>https://ntsu.idm.oclc.org/login?url=https://www.airitibooks.com/Detail/Detail?PublicationID=P20170929386</v>
      </c>
    </row>
    <row r="2275" spans="1:11" ht="85" x14ac:dyDescent="0.4">
      <c r="A2275" s="10" t="s">
        <v>7272</v>
      </c>
      <c r="B2275" s="10" t="s">
        <v>7273</v>
      </c>
      <c r="C2275" s="10" t="s">
        <v>1484</v>
      </c>
      <c r="D2275" s="10" t="s">
        <v>7274</v>
      </c>
      <c r="E2275" s="10" t="s">
        <v>6182</v>
      </c>
      <c r="F2275" s="10" t="s">
        <v>144</v>
      </c>
      <c r="G2275" s="10" t="s">
        <v>87</v>
      </c>
      <c r="H2275" s="7" t="s">
        <v>24</v>
      </c>
      <c r="I2275" s="7" t="s">
        <v>25</v>
      </c>
      <c r="J2275" s="13" t="str">
        <f>HYPERLINK("https://www.airitibooks.com/Detail/Detail?PublicationID=P20170929401", "https://www.airitibooks.com/Detail/Detail?PublicationID=P20170929401")</f>
        <v>https://www.airitibooks.com/Detail/Detail?PublicationID=P20170929401</v>
      </c>
      <c r="K2275" s="13" t="str">
        <f>HYPERLINK("https://ntsu.idm.oclc.org/login?url=https://www.airitibooks.com/Detail/Detail?PublicationID=P20170929401", "https://ntsu.idm.oclc.org/login?url=https://www.airitibooks.com/Detail/Detail?PublicationID=P20170929401")</f>
        <v>https://ntsu.idm.oclc.org/login?url=https://www.airitibooks.com/Detail/Detail?PublicationID=P20170929401</v>
      </c>
    </row>
    <row r="2276" spans="1:11" ht="102" x14ac:dyDescent="0.4">
      <c r="A2276" s="10" t="s">
        <v>7279</v>
      </c>
      <c r="B2276" s="10" t="s">
        <v>7280</v>
      </c>
      <c r="C2276" s="10" t="s">
        <v>1484</v>
      </c>
      <c r="D2276" s="10" t="s">
        <v>7281</v>
      </c>
      <c r="E2276" s="10" t="s">
        <v>6182</v>
      </c>
      <c r="F2276" s="10" t="s">
        <v>2612</v>
      </c>
      <c r="G2276" s="10" t="s">
        <v>87</v>
      </c>
      <c r="H2276" s="7" t="s">
        <v>24</v>
      </c>
      <c r="I2276" s="7" t="s">
        <v>25</v>
      </c>
      <c r="J2276" s="13" t="str">
        <f>HYPERLINK("https://www.airitibooks.com/Detail/Detail?PublicationID=P20170929403", "https://www.airitibooks.com/Detail/Detail?PublicationID=P20170929403")</f>
        <v>https://www.airitibooks.com/Detail/Detail?PublicationID=P20170929403</v>
      </c>
      <c r="K2276" s="13" t="str">
        <f>HYPERLINK("https://ntsu.idm.oclc.org/login?url=https://www.airitibooks.com/Detail/Detail?PublicationID=P20170929403", "https://ntsu.idm.oclc.org/login?url=https://www.airitibooks.com/Detail/Detail?PublicationID=P20170929403")</f>
        <v>https://ntsu.idm.oclc.org/login?url=https://www.airitibooks.com/Detail/Detail?PublicationID=P20170929403</v>
      </c>
    </row>
    <row r="2277" spans="1:11" ht="85" x14ac:dyDescent="0.4">
      <c r="A2277" s="10" t="s">
        <v>7282</v>
      </c>
      <c r="B2277" s="10" t="s">
        <v>7283</v>
      </c>
      <c r="C2277" s="10" t="s">
        <v>568</v>
      </c>
      <c r="D2277" s="10" t="s">
        <v>7284</v>
      </c>
      <c r="E2277" s="10" t="s">
        <v>6182</v>
      </c>
      <c r="F2277" s="10" t="s">
        <v>7285</v>
      </c>
      <c r="G2277" s="10" t="s">
        <v>87</v>
      </c>
      <c r="H2277" s="7" t="s">
        <v>24</v>
      </c>
      <c r="I2277" s="7" t="s">
        <v>25</v>
      </c>
      <c r="J2277" s="13" t="str">
        <f>HYPERLINK("https://www.airitibooks.com/Detail/Detail?PublicationID=P20170929409", "https://www.airitibooks.com/Detail/Detail?PublicationID=P20170929409")</f>
        <v>https://www.airitibooks.com/Detail/Detail?PublicationID=P20170929409</v>
      </c>
      <c r="K2277" s="13" t="str">
        <f>HYPERLINK("https://ntsu.idm.oclc.org/login?url=https://www.airitibooks.com/Detail/Detail?PublicationID=P20170929409", "https://ntsu.idm.oclc.org/login?url=https://www.airitibooks.com/Detail/Detail?PublicationID=P20170929409")</f>
        <v>https://ntsu.idm.oclc.org/login?url=https://www.airitibooks.com/Detail/Detail?PublicationID=P20170929409</v>
      </c>
    </row>
    <row r="2278" spans="1:11" ht="51" x14ac:dyDescent="0.4">
      <c r="A2278" s="10" t="s">
        <v>7371</v>
      </c>
      <c r="B2278" s="10" t="s">
        <v>7372</v>
      </c>
      <c r="C2278" s="10" t="s">
        <v>7164</v>
      </c>
      <c r="D2278" s="10" t="s">
        <v>7373</v>
      </c>
      <c r="E2278" s="10" t="s">
        <v>6182</v>
      </c>
      <c r="F2278" s="10" t="s">
        <v>7200</v>
      </c>
      <c r="G2278" s="10" t="s">
        <v>87</v>
      </c>
      <c r="H2278" s="7" t="s">
        <v>24</v>
      </c>
      <c r="I2278" s="7" t="s">
        <v>25</v>
      </c>
      <c r="J2278" s="13" t="str">
        <f>HYPERLINK("https://www.airitibooks.com/Detail/Detail?PublicationID=P20171103158", "https://www.airitibooks.com/Detail/Detail?PublicationID=P20171103158")</f>
        <v>https://www.airitibooks.com/Detail/Detail?PublicationID=P20171103158</v>
      </c>
      <c r="K2278" s="13" t="str">
        <f>HYPERLINK("https://ntsu.idm.oclc.org/login?url=https://www.airitibooks.com/Detail/Detail?PublicationID=P20171103158", "https://ntsu.idm.oclc.org/login?url=https://www.airitibooks.com/Detail/Detail?PublicationID=P20171103158")</f>
        <v>https://ntsu.idm.oclc.org/login?url=https://www.airitibooks.com/Detail/Detail?PublicationID=P20171103158</v>
      </c>
    </row>
    <row r="2279" spans="1:11" ht="51" x14ac:dyDescent="0.4">
      <c r="A2279" s="10" t="s">
        <v>7400</v>
      </c>
      <c r="B2279" s="10" t="s">
        <v>7401</v>
      </c>
      <c r="C2279" s="10" t="s">
        <v>7164</v>
      </c>
      <c r="D2279" s="10" t="s">
        <v>7402</v>
      </c>
      <c r="E2279" s="10" t="s">
        <v>6182</v>
      </c>
      <c r="F2279" s="10" t="s">
        <v>475</v>
      </c>
      <c r="G2279" s="10" t="s">
        <v>87</v>
      </c>
      <c r="H2279" s="7" t="s">
        <v>24</v>
      </c>
      <c r="I2279" s="7" t="s">
        <v>25</v>
      </c>
      <c r="J2279" s="13" t="str">
        <f>HYPERLINK("https://www.airitibooks.com/Detail/Detail?PublicationID=P20171103174", "https://www.airitibooks.com/Detail/Detail?PublicationID=P20171103174")</f>
        <v>https://www.airitibooks.com/Detail/Detail?PublicationID=P20171103174</v>
      </c>
      <c r="K2279" s="13" t="str">
        <f>HYPERLINK("https://ntsu.idm.oclc.org/login?url=https://www.airitibooks.com/Detail/Detail?PublicationID=P20171103174", "https://ntsu.idm.oclc.org/login?url=https://www.airitibooks.com/Detail/Detail?PublicationID=P20171103174")</f>
        <v>https://ntsu.idm.oclc.org/login?url=https://www.airitibooks.com/Detail/Detail?PublicationID=P20171103174</v>
      </c>
    </row>
    <row r="2280" spans="1:11" ht="51" x14ac:dyDescent="0.4">
      <c r="A2280" s="10" t="s">
        <v>7417</v>
      </c>
      <c r="B2280" s="10" t="s">
        <v>7418</v>
      </c>
      <c r="C2280" s="10" t="s">
        <v>7164</v>
      </c>
      <c r="D2280" s="10" t="s">
        <v>7416</v>
      </c>
      <c r="E2280" s="10" t="s">
        <v>6182</v>
      </c>
      <c r="F2280" s="10" t="s">
        <v>7178</v>
      </c>
      <c r="G2280" s="10" t="s">
        <v>87</v>
      </c>
      <c r="H2280" s="7" t="s">
        <v>24</v>
      </c>
      <c r="I2280" s="7" t="s">
        <v>25</v>
      </c>
      <c r="J2280" s="13" t="str">
        <f>HYPERLINK("https://www.airitibooks.com/Detail/Detail?PublicationID=P20171103182", "https://www.airitibooks.com/Detail/Detail?PublicationID=P20171103182")</f>
        <v>https://www.airitibooks.com/Detail/Detail?PublicationID=P20171103182</v>
      </c>
      <c r="K2280" s="13" t="str">
        <f>HYPERLINK("https://ntsu.idm.oclc.org/login?url=https://www.airitibooks.com/Detail/Detail?PublicationID=P20171103182", "https://ntsu.idm.oclc.org/login?url=https://www.airitibooks.com/Detail/Detail?PublicationID=P20171103182")</f>
        <v>https://ntsu.idm.oclc.org/login?url=https://www.airitibooks.com/Detail/Detail?PublicationID=P20171103182</v>
      </c>
    </row>
    <row r="2281" spans="1:11" ht="51" x14ac:dyDescent="0.4">
      <c r="A2281" s="10" t="s">
        <v>7463</v>
      </c>
      <c r="B2281" s="10" t="s">
        <v>7464</v>
      </c>
      <c r="C2281" s="10" t="s">
        <v>7164</v>
      </c>
      <c r="D2281" s="10" t="s">
        <v>7465</v>
      </c>
      <c r="E2281" s="10" t="s">
        <v>6182</v>
      </c>
      <c r="F2281" s="10" t="s">
        <v>7200</v>
      </c>
      <c r="G2281" s="10" t="s">
        <v>87</v>
      </c>
      <c r="H2281" s="7" t="s">
        <v>24</v>
      </c>
      <c r="I2281" s="7" t="s">
        <v>25</v>
      </c>
      <c r="J2281" s="13" t="str">
        <f>HYPERLINK("https://www.airitibooks.com/Detail/Detail?PublicationID=P20171103302", "https://www.airitibooks.com/Detail/Detail?PublicationID=P20171103302")</f>
        <v>https://www.airitibooks.com/Detail/Detail?PublicationID=P20171103302</v>
      </c>
      <c r="K2281" s="13" t="str">
        <f>HYPERLINK("https://ntsu.idm.oclc.org/login?url=https://www.airitibooks.com/Detail/Detail?PublicationID=P20171103302", "https://ntsu.idm.oclc.org/login?url=https://www.airitibooks.com/Detail/Detail?PublicationID=P20171103302")</f>
        <v>https://ntsu.idm.oclc.org/login?url=https://www.airitibooks.com/Detail/Detail?PublicationID=P20171103302</v>
      </c>
    </row>
    <row r="2282" spans="1:11" ht="51" x14ac:dyDescent="0.4">
      <c r="A2282" s="10" t="s">
        <v>7470</v>
      </c>
      <c r="B2282" s="10" t="s">
        <v>7471</v>
      </c>
      <c r="C2282" s="10" t="s">
        <v>7164</v>
      </c>
      <c r="D2282" s="10" t="s">
        <v>7472</v>
      </c>
      <c r="E2282" s="10" t="s">
        <v>6182</v>
      </c>
      <c r="F2282" s="10" t="s">
        <v>475</v>
      </c>
      <c r="G2282" s="10" t="s">
        <v>87</v>
      </c>
      <c r="H2282" s="7" t="s">
        <v>24</v>
      </c>
      <c r="I2282" s="7" t="s">
        <v>25</v>
      </c>
      <c r="J2282" s="13" t="str">
        <f>HYPERLINK("https://www.airitibooks.com/Detail/Detail?PublicationID=P20171103322", "https://www.airitibooks.com/Detail/Detail?PublicationID=P20171103322")</f>
        <v>https://www.airitibooks.com/Detail/Detail?PublicationID=P20171103322</v>
      </c>
      <c r="K2282" s="13" t="str">
        <f>HYPERLINK("https://ntsu.idm.oclc.org/login?url=https://www.airitibooks.com/Detail/Detail?PublicationID=P20171103322", "https://ntsu.idm.oclc.org/login?url=https://www.airitibooks.com/Detail/Detail?PublicationID=P20171103322")</f>
        <v>https://ntsu.idm.oclc.org/login?url=https://www.airitibooks.com/Detail/Detail?PublicationID=P20171103322</v>
      </c>
    </row>
    <row r="2283" spans="1:11" ht="51" x14ac:dyDescent="0.4">
      <c r="A2283" s="10" t="s">
        <v>7511</v>
      </c>
      <c r="B2283" s="10" t="s">
        <v>7512</v>
      </c>
      <c r="C2283" s="10" t="s">
        <v>7164</v>
      </c>
      <c r="D2283" s="10" t="s">
        <v>7513</v>
      </c>
      <c r="E2283" s="10" t="s">
        <v>6182</v>
      </c>
      <c r="F2283" s="10" t="s">
        <v>475</v>
      </c>
      <c r="G2283" s="10" t="s">
        <v>87</v>
      </c>
      <c r="H2283" s="7" t="s">
        <v>24</v>
      </c>
      <c r="I2283" s="7" t="s">
        <v>25</v>
      </c>
      <c r="J2283" s="13" t="str">
        <f>HYPERLINK("https://www.airitibooks.com/Detail/Detail?PublicationID=P20171103408", "https://www.airitibooks.com/Detail/Detail?PublicationID=P20171103408")</f>
        <v>https://www.airitibooks.com/Detail/Detail?PublicationID=P20171103408</v>
      </c>
      <c r="K2283" s="13" t="str">
        <f>HYPERLINK("https://ntsu.idm.oclc.org/login?url=https://www.airitibooks.com/Detail/Detail?PublicationID=P20171103408", "https://ntsu.idm.oclc.org/login?url=https://www.airitibooks.com/Detail/Detail?PublicationID=P20171103408")</f>
        <v>https://ntsu.idm.oclc.org/login?url=https://www.airitibooks.com/Detail/Detail?PublicationID=P20171103408</v>
      </c>
    </row>
    <row r="2284" spans="1:11" ht="51" x14ac:dyDescent="0.4">
      <c r="A2284" s="10" t="s">
        <v>7514</v>
      </c>
      <c r="B2284" s="10" t="s">
        <v>7515</v>
      </c>
      <c r="C2284" s="10" t="s">
        <v>7164</v>
      </c>
      <c r="D2284" s="10" t="s">
        <v>7516</v>
      </c>
      <c r="E2284" s="10" t="s">
        <v>6182</v>
      </c>
      <c r="F2284" s="10" t="s">
        <v>1707</v>
      </c>
      <c r="G2284" s="10" t="s">
        <v>87</v>
      </c>
      <c r="H2284" s="7" t="s">
        <v>24</v>
      </c>
      <c r="I2284" s="7" t="s">
        <v>25</v>
      </c>
      <c r="J2284" s="13" t="str">
        <f>HYPERLINK("https://www.airitibooks.com/Detail/Detail?PublicationID=P20171103411", "https://www.airitibooks.com/Detail/Detail?PublicationID=P20171103411")</f>
        <v>https://www.airitibooks.com/Detail/Detail?PublicationID=P20171103411</v>
      </c>
      <c r="K2284" s="13" t="str">
        <f>HYPERLINK("https://ntsu.idm.oclc.org/login?url=https://www.airitibooks.com/Detail/Detail?PublicationID=P20171103411", "https://ntsu.idm.oclc.org/login?url=https://www.airitibooks.com/Detail/Detail?PublicationID=P20171103411")</f>
        <v>https://ntsu.idm.oclc.org/login?url=https://www.airitibooks.com/Detail/Detail?PublicationID=P20171103411</v>
      </c>
    </row>
    <row r="2285" spans="1:11" ht="51" x14ac:dyDescent="0.4">
      <c r="A2285" s="10" t="s">
        <v>7527</v>
      </c>
      <c r="B2285" s="10" t="s">
        <v>7528</v>
      </c>
      <c r="C2285" s="10" t="s">
        <v>7164</v>
      </c>
      <c r="D2285" s="10" t="s">
        <v>7529</v>
      </c>
      <c r="E2285" s="10" t="s">
        <v>6182</v>
      </c>
      <c r="F2285" s="10" t="s">
        <v>1707</v>
      </c>
      <c r="G2285" s="10" t="s">
        <v>87</v>
      </c>
      <c r="H2285" s="7" t="s">
        <v>24</v>
      </c>
      <c r="I2285" s="7" t="s">
        <v>25</v>
      </c>
      <c r="J2285" s="13" t="str">
        <f>HYPERLINK("https://www.airitibooks.com/Detail/Detail?PublicationID=P20171103438", "https://www.airitibooks.com/Detail/Detail?PublicationID=P20171103438")</f>
        <v>https://www.airitibooks.com/Detail/Detail?PublicationID=P20171103438</v>
      </c>
      <c r="K2285" s="13" t="str">
        <f>HYPERLINK("https://ntsu.idm.oclc.org/login?url=https://www.airitibooks.com/Detail/Detail?PublicationID=P20171103438", "https://ntsu.idm.oclc.org/login?url=https://www.airitibooks.com/Detail/Detail?PublicationID=P20171103438")</f>
        <v>https://ntsu.idm.oclc.org/login?url=https://www.airitibooks.com/Detail/Detail?PublicationID=P20171103438</v>
      </c>
    </row>
    <row r="2286" spans="1:11" ht="51" x14ac:dyDescent="0.4">
      <c r="A2286" s="10" t="s">
        <v>7530</v>
      </c>
      <c r="B2286" s="10" t="s">
        <v>7531</v>
      </c>
      <c r="C2286" s="10" t="s">
        <v>7164</v>
      </c>
      <c r="D2286" s="10" t="s">
        <v>7532</v>
      </c>
      <c r="E2286" s="10" t="s">
        <v>6182</v>
      </c>
      <c r="F2286" s="10" t="s">
        <v>475</v>
      </c>
      <c r="G2286" s="10" t="s">
        <v>87</v>
      </c>
      <c r="H2286" s="7" t="s">
        <v>24</v>
      </c>
      <c r="I2286" s="7" t="s">
        <v>25</v>
      </c>
      <c r="J2286" s="13" t="str">
        <f>HYPERLINK("https://www.airitibooks.com/Detail/Detail?PublicationID=P20171103440", "https://www.airitibooks.com/Detail/Detail?PublicationID=P20171103440")</f>
        <v>https://www.airitibooks.com/Detail/Detail?PublicationID=P20171103440</v>
      </c>
      <c r="K2286" s="13" t="str">
        <f>HYPERLINK("https://ntsu.idm.oclc.org/login?url=https://www.airitibooks.com/Detail/Detail?PublicationID=P20171103440", "https://ntsu.idm.oclc.org/login?url=https://www.airitibooks.com/Detail/Detail?PublicationID=P20171103440")</f>
        <v>https://ntsu.idm.oclc.org/login?url=https://www.airitibooks.com/Detail/Detail?PublicationID=P20171103440</v>
      </c>
    </row>
    <row r="2287" spans="1:11" ht="51" x14ac:dyDescent="0.4">
      <c r="A2287" s="10" t="s">
        <v>7535</v>
      </c>
      <c r="B2287" s="10" t="s">
        <v>7536</v>
      </c>
      <c r="C2287" s="10" t="s">
        <v>7164</v>
      </c>
      <c r="D2287" s="10" t="s">
        <v>7516</v>
      </c>
      <c r="E2287" s="10" t="s">
        <v>6182</v>
      </c>
      <c r="F2287" s="10" t="s">
        <v>5517</v>
      </c>
      <c r="G2287" s="10" t="s">
        <v>87</v>
      </c>
      <c r="H2287" s="7" t="s">
        <v>24</v>
      </c>
      <c r="I2287" s="7" t="s">
        <v>25</v>
      </c>
      <c r="J2287" s="13" t="str">
        <f>HYPERLINK("https://www.airitibooks.com/Detail/Detail?PublicationID=P20171103459", "https://www.airitibooks.com/Detail/Detail?PublicationID=P20171103459")</f>
        <v>https://www.airitibooks.com/Detail/Detail?PublicationID=P20171103459</v>
      </c>
      <c r="K2287" s="13" t="str">
        <f>HYPERLINK("https://ntsu.idm.oclc.org/login?url=https://www.airitibooks.com/Detail/Detail?PublicationID=P20171103459", "https://ntsu.idm.oclc.org/login?url=https://www.airitibooks.com/Detail/Detail?PublicationID=P20171103459")</f>
        <v>https://ntsu.idm.oclc.org/login?url=https://www.airitibooks.com/Detail/Detail?PublicationID=P20171103459</v>
      </c>
    </row>
    <row r="2288" spans="1:11" ht="51" x14ac:dyDescent="0.4">
      <c r="A2288" s="10" t="s">
        <v>7537</v>
      </c>
      <c r="B2288" s="10" t="s">
        <v>7538</v>
      </c>
      <c r="C2288" s="10" t="s">
        <v>7164</v>
      </c>
      <c r="D2288" s="10" t="s">
        <v>7516</v>
      </c>
      <c r="E2288" s="10" t="s">
        <v>6182</v>
      </c>
      <c r="F2288" s="10" t="s">
        <v>5517</v>
      </c>
      <c r="G2288" s="10" t="s">
        <v>87</v>
      </c>
      <c r="H2288" s="7" t="s">
        <v>24</v>
      </c>
      <c r="I2288" s="7" t="s">
        <v>25</v>
      </c>
      <c r="J2288" s="13" t="str">
        <f>HYPERLINK("https://www.airitibooks.com/Detail/Detail?PublicationID=P20171103470", "https://www.airitibooks.com/Detail/Detail?PublicationID=P20171103470")</f>
        <v>https://www.airitibooks.com/Detail/Detail?PublicationID=P20171103470</v>
      </c>
      <c r="K2288" s="13" t="str">
        <f>HYPERLINK("https://ntsu.idm.oclc.org/login?url=https://www.airitibooks.com/Detail/Detail?PublicationID=P20171103470", "https://ntsu.idm.oclc.org/login?url=https://www.airitibooks.com/Detail/Detail?PublicationID=P20171103470")</f>
        <v>https://ntsu.idm.oclc.org/login?url=https://www.airitibooks.com/Detail/Detail?PublicationID=P20171103470</v>
      </c>
    </row>
    <row r="2289" spans="1:11" ht="51" x14ac:dyDescent="0.4">
      <c r="A2289" s="10" t="s">
        <v>7542</v>
      </c>
      <c r="B2289" s="10" t="s">
        <v>7543</v>
      </c>
      <c r="C2289" s="10" t="s">
        <v>7164</v>
      </c>
      <c r="D2289" s="10" t="s">
        <v>7544</v>
      </c>
      <c r="E2289" s="10" t="s">
        <v>6182</v>
      </c>
      <c r="F2289" s="10" t="s">
        <v>7545</v>
      </c>
      <c r="G2289" s="10" t="s">
        <v>87</v>
      </c>
      <c r="H2289" s="7" t="s">
        <v>24</v>
      </c>
      <c r="I2289" s="7" t="s">
        <v>25</v>
      </c>
      <c r="J2289" s="13" t="str">
        <f>HYPERLINK("https://www.airitibooks.com/Detail/Detail?PublicationID=P20171103475", "https://www.airitibooks.com/Detail/Detail?PublicationID=P20171103475")</f>
        <v>https://www.airitibooks.com/Detail/Detail?PublicationID=P20171103475</v>
      </c>
      <c r="K2289" s="13" t="str">
        <f>HYPERLINK("https://ntsu.idm.oclc.org/login?url=https://www.airitibooks.com/Detail/Detail?PublicationID=P20171103475", "https://ntsu.idm.oclc.org/login?url=https://www.airitibooks.com/Detail/Detail?PublicationID=P20171103475")</f>
        <v>https://ntsu.idm.oclc.org/login?url=https://www.airitibooks.com/Detail/Detail?PublicationID=P20171103475</v>
      </c>
    </row>
    <row r="2290" spans="1:11" ht="51" x14ac:dyDescent="0.4">
      <c r="A2290" s="10" t="s">
        <v>7546</v>
      </c>
      <c r="B2290" s="10" t="s">
        <v>7547</v>
      </c>
      <c r="C2290" s="10" t="s">
        <v>7164</v>
      </c>
      <c r="D2290" s="10" t="s">
        <v>7548</v>
      </c>
      <c r="E2290" s="10" t="s">
        <v>6182</v>
      </c>
      <c r="F2290" s="10" t="s">
        <v>5517</v>
      </c>
      <c r="G2290" s="10" t="s">
        <v>87</v>
      </c>
      <c r="H2290" s="7" t="s">
        <v>24</v>
      </c>
      <c r="I2290" s="7" t="s">
        <v>25</v>
      </c>
      <c r="J2290" s="13" t="str">
        <f>HYPERLINK("https://www.airitibooks.com/Detail/Detail?PublicationID=P20171103479", "https://www.airitibooks.com/Detail/Detail?PublicationID=P20171103479")</f>
        <v>https://www.airitibooks.com/Detail/Detail?PublicationID=P20171103479</v>
      </c>
      <c r="K2290" s="13" t="str">
        <f>HYPERLINK("https://ntsu.idm.oclc.org/login?url=https://www.airitibooks.com/Detail/Detail?PublicationID=P20171103479", "https://ntsu.idm.oclc.org/login?url=https://www.airitibooks.com/Detail/Detail?PublicationID=P20171103479")</f>
        <v>https://ntsu.idm.oclc.org/login?url=https://www.airitibooks.com/Detail/Detail?PublicationID=P20171103479</v>
      </c>
    </row>
    <row r="2291" spans="1:11" ht="51" x14ac:dyDescent="0.4">
      <c r="A2291" s="10" t="s">
        <v>7555</v>
      </c>
      <c r="B2291" s="10" t="s">
        <v>7556</v>
      </c>
      <c r="C2291" s="10" t="s">
        <v>7164</v>
      </c>
      <c r="D2291" s="10" t="s">
        <v>7557</v>
      </c>
      <c r="E2291" s="10" t="s">
        <v>6182</v>
      </c>
      <c r="F2291" s="10" t="s">
        <v>475</v>
      </c>
      <c r="G2291" s="10" t="s">
        <v>87</v>
      </c>
      <c r="H2291" s="7" t="s">
        <v>24</v>
      </c>
      <c r="I2291" s="7" t="s">
        <v>25</v>
      </c>
      <c r="J2291" s="13" t="str">
        <f>HYPERLINK("https://www.airitibooks.com/Detail/Detail?PublicationID=P20171103489", "https://www.airitibooks.com/Detail/Detail?PublicationID=P20171103489")</f>
        <v>https://www.airitibooks.com/Detail/Detail?PublicationID=P20171103489</v>
      </c>
      <c r="K2291" s="13" t="str">
        <f>HYPERLINK("https://ntsu.idm.oclc.org/login?url=https://www.airitibooks.com/Detail/Detail?PublicationID=P20171103489", "https://ntsu.idm.oclc.org/login?url=https://www.airitibooks.com/Detail/Detail?PublicationID=P20171103489")</f>
        <v>https://ntsu.idm.oclc.org/login?url=https://www.airitibooks.com/Detail/Detail?PublicationID=P20171103489</v>
      </c>
    </row>
    <row r="2292" spans="1:11" ht="51" x14ac:dyDescent="0.4">
      <c r="A2292" s="10" t="s">
        <v>7558</v>
      </c>
      <c r="B2292" s="10" t="s">
        <v>7559</v>
      </c>
      <c r="C2292" s="10" t="s">
        <v>7164</v>
      </c>
      <c r="D2292" s="10" t="s">
        <v>7516</v>
      </c>
      <c r="E2292" s="10" t="s">
        <v>6182</v>
      </c>
      <c r="F2292" s="10" t="s">
        <v>5517</v>
      </c>
      <c r="G2292" s="10" t="s">
        <v>87</v>
      </c>
      <c r="H2292" s="7" t="s">
        <v>24</v>
      </c>
      <c r="I2292" s="7" t="s">
        <v>25</v>
      </c>
      <c r="J2292" s="13" t="str">
        <f>HYPERLINK("https://www.airitibooks.com/Detail/Detail?PublicationID=P20171103492", "https://www.airitibooks.com/Detail/Detail?PublicationID=P20171103492")</f>
        <v>https://www.airitibooks.com/Detail/Detail?PublicationID=P20171103492</v>
      </c>
      <c r="K2292" s="13" t="str">
        <f>HYPERLINK("https://ntsu.idm.oclc.org/login?url=https://www.airitibooks.com/Detail/Detail?PublicationID=P20171103492", "https://ntsu.idm.oclc.org/login?url=https://www.airitibooks.com/Detail/Detail?PublicationID=P20171103492")</f>
        <v>https://ntsu.idm.oclc.org/login?url=https://www.airitibooks.com/Detail/Detail?PublicationID=P20171103492</v>
      </c>
    </row>
    <row r="2293" spans="1:11" ht="51" x14ac:dyDescent="0.4">
      <c r="A2293" s="10" t="s">
        <v>7560</v>
      </c>
      <c r="B2293" s="10" t="s">
        <v>7561</v>
      </c>
      <c r="C2293" s="10" t="s">
        <v>7164</v>
      </c>
      <c r="D2293" s="10" t="s">
        <v>7516</v>
      </c>
      <c r="E2293" s="10" t="s">
        <v>6182</v>
      </c>
      <c r="F2293" s="10" t="s">
        <v>5517</v>
      </c>
      <c r="G2293" s="10" t="s">
        <v>87</v>
      </c>
      <c r="H2293" s="7" t="s">
        <v>24</v>
      </c>
      <c r="I2293" s="7" t="s">
        <v>25</v>
      </c>
      <c r="J2293" s="13" t="str">
        <f>HYPERLINK("https://www.airitibooks.com/Detail/Detail?PublicationID=P20171103512", "https://www.airitibooks.com/Detail/Detail?PublicationID=P20171103512")</f>
        <v>https://www.airitibooks.com/Detail/Detail?PublicationID=P20171103512</v>
      </c>
      <c r="K2293" s="13" t="str">
        <f>HYPERLINK("https://ntsu.idm.oclc.org/login?url=https://www.airitibooks.com/Detail/Detail?PublicationID=P20171103512", "https://ntsu.idm.oclc.org/login?url=https://www.airitibooks.com/Detail/Detail?PublicationID=P20171103512")</f>
        <v>https://ntsu.idm.oclc.org/login?url=https://www.airitibooks.com/Detail/Detail?PublicationID=P20171103512</v>
      </c>
    </row>
    <row r="2294" spans="1:11" ht="51" x14ac:dyDescent="0.4">
      <c r="A2294" s="10" t="s">
        <v>7562</v>
      </c>
      <c r="B2294" s="10" t="s">
        <v>7563</v>
      </c>
      <c r="C2294" s="10" t="s">
        <v>7164</v>
      </c>
      <c r="D2294" s="10" t="s">
        <v>7516</v>
      </c>
      <c r="E2294" s="10" t="s">
        <v>6182</v>
      </c>
      <c r="F2294" s="10" t="s">
        <v>5517</v>
      </c>
      <c r="G2294" s="10" t="s">
        <v>87</v>
      </c>
      <c r="H2294" s="7" t="s">
        <v>24</v>
      </c>
      <c r="I2294" s="7" t="s">
        <v>25</v>
      </c>
      <c r="J2294" s="13" t="str">
        <f>HYPERLINK("https://www.airitibooks.com/Detail/Detail?PublicationID=P20171103513", "https://www.airitibooks.com/Detail/Detail?PublicationID=P20171103513")</f>
        <v>https://www.airitibooks.com/Detail/Detail?PublicationID=P20171103513</v>
      </c>
      <c r="K2294" s="13" t="str">
        <f>HYPERLINK("https://ntsu.idm.oclc.org/login?url=https://www.airitibooks.com/Detail/Detail?PublicationID=P20171103513", "https://ntsu.idm.oclc.org/login?url=https://www.airitibooks.com/Detail/Detail?PublicationID=P20171103513")</f>
        <v>https://ntsu.idm.oclc.org/login?url=https://www.airitibooks.com/Detail/Detail?PublicationID=P20171103513</v>
      </c>
    </row>
    <row r="2295" spans="1:11" ht="51" x14ac:dyDescent="0.4">
      <c r="A2295" s="10" t="s">
        <v>7564</v>
      </c>
      <c r="B2295" s="10" t="s">
        <v>7565</v>
      </c>
      <c r="C2295" s="10" t="s">
        <v>7164</v>
      </c>
      <c r="D2295" s="10" t="s">
        <v>7516</v>
      </c>
      <c r="E2295" s="10" t="s">
        <v>6182</v>
      </c>
      <c r="F2295" s="10" t="s">
        <v>5517</v>
      </c>
      <c r="G2295" s="10" t="s">
        <v>87</v>
      </c>
      <c r="H2295" s="7" t="s">
        <v>24</v>
      </c>
      <c r="I2295" s="7" t="s">
        <v>25</v>
      </c>
      <c r="J2295" s="13" t="str">
        <f>HYPERLINK("https://www.airitibooks.com/Detail/Detail?PublicationID=P20171103514", "https://www.airitibooks.com/Detail/Detail?PublicationID=P20171103514")</f>
        <v>https://www.airitibooks.com/Detail/Detail?PublicationID=P20171103514</v>
      </c>
      <c r="K2295" s="13" t="str">
        <f>HYPERLINK("https://ntsu.idm.oclc.org/login?url=https://www.airitibooks.com/Detail/Detail?PublicationID=P20171103514", "https://ntsu.idm.oclc.org/login?url=https://www.airitibooks.com/Detail/Detail?PublicationID=P20171103514")</f>
        <v>https://ntsu.idm.oclc.org/login?url=https://www.airitibooks.com/Detail/Detail?PublicationID=P20171103514</v>
      </c>
    </row>
    <row r="2296" spans="1:11" ht="51" x14ac:dyDescent="0.4">
      <c r="A2296" s="10" t="s">
        <v>7569</v>
      </c>
      <c r="B2296" s="10" t="s">
        <v>7570</v>
      </c>
      <c r="C2296" s="10" t="s">
        <v>7164</v>
      </c>
      <c r="D2296" s="10" t="s">
        <v>7529</v>
      </c>
      <c r="E2296" s="10" t="s">
        <v>6182</v>
      </c>
      <c r="F2296" s="10" t="s">
        <v>809</v>
      </c>
      <c r="G2296" s="10" t="s">
        <v>87</v>
      </c>
      <c r="H2296" s="7" t="s">
        <v>24</v>
      </c>
      <c r="I2296" s="7" t="s">
        <v>25</v>
      </c>
      <c r="J2296" s="13" t="str">
        <f>HYPERLINK("https://www.airitibooks.com/Detail/Detail?PublicationID=P20171103528", "https://www.airitibooks.com/Detail/Detail?PublicationID=P20171103528")</f>
        <v>https://www.airitibooks.com/Detail/Detail?PublicationID=P20171103528</v>
      </c>
      <c r="K2296" s="13" t="str">
        <f>HYPERLINK("https://ntsu.idm.oclc.org/login?url=https://www.airitibooks.com/Detail/Detail?PublicationID=P20171103528", "https://ntsu.idm.oclc.org/login?url=https://www.airitibooks.com/Detail/Detail?PublicationID=P20171103528")</f>
        <v>https://ntsu.idm.oclc.org/login?url=https://www.airitibooks.com/Detail/Detail?PublicationID=P20171103528</v>
      </c>
    </row>
    <row r="2297" spans="1:11" ht="51" x14ac:dyDescent="0.4">
      <c r="A2297" s="10" t="s">
        <v>7571</v>
      </c>
      <c r="B2297" s="10" t="s">
        <v>7572</v>
      </c>
      <c r="C2297" s="10" t="s">
        <v>7164</v>
      </c>
      <c r="D2297" s="10" t="s">
        <v>7573</v>
      </c>
      <c r="E2297" s="10" t="s">
        <v>6182</v>
      </c>
      <c r="F2297" s="10" t="s">
        <v>475</v>
      </c>
      <c r="G2297" s="10" t="s">
        <v>87</v>
      </c>
      <c r="H2297" s="7" t="s">
        <v>24</v>
      </c>
      <c r="I2297" s="7" t="s">
        <v>25</v>
      </c>
      <c r="J2297" s="13" t="str">
        <f>HYPERLINK("https://www.airitibooks.com/Detail/Detail?PublicationID=P20171103539", "https://www.airitibooks.com/Detail/Detail?PublicationID=P20171103539")</f>
        <v>https://www.airitibooks.com/Detail/Detail?PublicationID=P20171103539</v>
      </c>
      <c r="K2297" s="13" t="str">
        <f>HYPERLINK("https://ntsu.idm.oclc.org/login?url=https://www.airitibooks.com/Detail/Detail?PublicationID=P20171103539", "https://ntsu.idm.oclc.org/login?url=https://www.airitibooks.com/Detail/Detail?PublicationID=P20171103539")</f>
        <v>https://ntsu.idm.oclc.org/login?url=https://www.airitibooks.com/Detail/Detail?PublicationID=P20171103539</v>
      </c>
    </row>
    <row r="2298" spans="1:11" ht="51" x14ac:dyDescent="0.4">
      <c r="A2298" s="10" t="s">
        <v>7586</v>
      </c>
      <c r="B2298" s="10" t="s">
        <v>7587</v>
      </c>
      <c r="C2298" s="10" t="s">
        <v>7164</v>
      </c>
      <c r="D2298" s="10" t="s">
        <v>7588</v>
      </c>
      <c r="E2298" s="10" t="s">
        <v>6182</v>
      </c>
      <c r="F2298" s="10" t="s">
        <v>475</v>
      </c>
      <c r="G2298" s="10" t="s">
        <v>87</v>
      </c>
      <c r="H2298" s="7" t="s">
        <v>24</v>
      </c>
      <c r="I2298" s="7" t="s">
        <v>25</v>
      </c>
      <c r="J2298" s="13" t="str">
        <f>HYPERLINK("https://www.airitibooks.com/Detail/Detail?PublicationID=P20171103604", "https://www.airitibooks.com/Detail/Detail?PublicationID=P20171103604")</f>
        <v>https://www.airitibooks.com/Detail/Detail?PublicationID=P20171103604</v>
      </c>
      <c r="K2298" s="13" t="str">
        <f>HYPERLINK("https://ntsu.idm.oclc.org/login?url=https://www.airitibooks.com/Detail/Detail?PublicationID=P20171103604", "https://ntsu.idm.oclc.org/login?url=https://www.airitibooks.com/Detail/Detail?PublicationID=P20171103604")</f>
        <v>https://ntsu.idm.oclc.org/login?url=https://www.airitibooks.com/Detail/Detail?PublicationID=P20171103604</v>
      </c>
    </row>
    <row r="2299" spans="1:11" ht="51" x14ac:dyDescent="0.4">
      <c r="A2299" s="10" t="s">
        <v>7591</v>
      </c>
      <c r="B2299" s="10" t="s">
        <v>7592</v>
      </c>
      <c r="C2299" s="10" t="s">
        <v>7164</v>
      </c>
      <c r="D2299" s="10" t="s">
        <v>7588</v>
      </c>
      <c r="E2299" s="10" t="s">
        <v>6182</v>
      </c>
      <c r="F2299" s="10" t="s">
        <v>475</v>
      </c>
      <c r="G2299" s="10" t="s">
        <v>87</v>
      </c>
      <c r="H2299" s="7" t="s">
        <v>24</v>
      </c>
      <c r="I2299" s="7" t="s">
        <v>25</v>
      </c>
      <c r="J2299" s="13" t="str">
        <f>HYPERLINK("https://www.airitibooks.com/Detail/Detail?PublicationID=P20171103613", "https://www.airitibooks.com/Detail/Detail?PublicationID=P20171103613")</f>
        <v>https://www.airitibooks.com/Detail/Detail?PublicationID=P20171103613</v>
      </c>
      <c r="K2299" s="13" t="str">
        <f>HYPERLINK("https://ntsu.idm.oclc.org/login?url=https://www.airitibooks.com/Detail/Detail?PublicationID=P20171103613", "https://ntsu.idm.oclc.org/login?url=https://www.airitibooks.com/Detail/Detail?PublicationID=P20171103613")</f>
        <v>https://ntsu.idm.oclc.org/login?url=https://www.airitibooks.com/Detail/Detail?PublicationID=P20171103613</v>
      </c>
    </row>
    <row r="2300" spans="1:11" ht="51" x14ac:dyDescent="0.4">
      <c r="A2300" s="10" t="s">
        <v>7601</v>
      </c>
      <c r="B2300" s="10" t="s">
        <v>7602</v>
      </c>
      <c r="C2300" s="10" t="s">
        <v>7164</v>
      </c>
      <c r="D2300" s="10" t="s">
        <v>7588</v>
      </c>
      <c r="E2300" s="10" t="s">
        <v>6182</v>
      </c>
      <c r="F2300" s="10" t="s">
        <v>7200</v>
      </c>
      <c r="G2300" s="10" t="s">
        <v>87</v>
      </c>
      <c r="H2300" s="7" t="s">
        <v>24</v>
      </c>
      <c r="I2300" s="7" t="s">
        <v>25</v>
      </c>
      <c r="J2300" s="13" t="str">
        <f>HYPERLINK("https://www.airitibooks.com/Detail/Detail?PublicationID=P20171103704", "https://www.airitibooks.com/Detail/Detail?PublicationID=P20171103704")</f>
        <v>https://www.airitibooks.com/Detail/Detail?PublicationID=P20171103704</v>
      </c>
      <c r="K2300" s="13" t="str">
        <f>HYPERLINK("https://ntsu.idm.oclc.org/login?url=https://www.airitibooks.com/Detail/Detail?PublicationID=P20171103704", "https://ntsu.idm.oclc.org/login?url=https://www.airitibooks.com/Detail/Detail?PublicationID=P20171103704")</f>
        <v>https://ntsu.idm.oclc.org/login?url=https://www.airitibooks.com/Detail/Detail?PublicationID=P20171103704</v>
      </c>
    </row>
    <row r="2301" spans="1:11" ht="51" x14ac:dyDescent="0.4">
      <c r="A2301" s="10" t="s">
        <v>7603</v>
      </c>
      <c r="B2301" s="10" t="s">
        <v>7604</v>
      </c>
      <c r="C2301" s="10" t="s">
        <v>7164</v>
      </c>
      <c r="D2301" s="10" t="s">
        <v>7588</v>
      </c>
      <c r="E2301" s="10" t="s">
        <v>6182</v>
      </c>
      <c r="F2301" s="10" t="s">
        <v>7200</v>
      </c>
      <c r="G2301" s="10" t="s">
        <v>87</v>
      </c>
      <c r="H2301" s="7" t="s">
        <v>24</v>
      </c>
      <c r="I2301" s="7" t="s">
        <v>25</v>
      </c>
      <c r="J2301" s="13" t="str">
        <f>HYPERLINK("https://www.airitibooks.com/Detail/Detail?PublicationID=P20171103705", "https://www.airitibooks.com/Detail/Detail?PublicationID=P20171103705")</f>
        <v>https://www.airitibooks.com/Detail/Detail?PublicationID=P20171103705</v>
      </c>
      <c r="K2301" s="13" t="str">
        <f>HYPERLINK("https://ntsu.idm.oclc.org/login?url=https://www.airitibooks.com/Detail/Detail?PublicationID=P20171103705", "https://ntsu.idm.oclc.org/login?url=https://www.airitibooks.com/Detail/Detail?PublicationID=P20171103705")</f>
        <v>https://ntsu.idm.oclc.org/login?url=https://www.airitibooks.com/Detail/Detail?PublicationID=P20171103705</v>
      </c>
    </row>
    <row r="2302" spans="1:11" ht="51" x14ac:dyDescent="0.4">
      <c r="A2302" s="10" t="s">
        <v>7605</v>
      </c>
      <c r="B2302" s="10" t="s">
        <v>7606</v>
      </c>
      <c r="C2302" s="10" t="s">
        <v>7164</v>
      </c>
      <c r="D2302" s="10" t="s">
        <v>7588</v>
      </c>
      <c r="E2302" s="10" t="s">
        <v>6182</v>
      </c>
      <c r="F2302" s="10" t="s">
        <v>5517</v>
      </c>
      <c r="G2302" s="10" t="s">
        <v>87</v>
      </c>
      <c r="H2302" s="7" t="s">
        <v>24</v>
      </c>
      <c r="I2302" s="7" t="s">
        <v>25</v>
      </c>
      <c r="J2302" s="13" t="str">
        <f>HYPERLINK("https://www.airitibooks.com/Detail/Detail?PublicationID=P20171103706", "https://www.airitibooks.com/Detail/Detail?PublicationID=P20171103706")</f>
        <v>https://www.airitibooks.com/Detail/Detail?PublicationID=P20171103706</v>
      </c>
      <c r="K2302" s="13" t="str">
        <f>HYPERLINK("https://ntsu.idm.oclc.org/login?url=https://www.airitibooks.com/Detail/Detail?PublicationID=P20171103706", "https://ntsu.idm.oclc.org/login?url=https://www.airitibooks.com/Detail/Detail?PublicationID=P20171103706")</f>
        <v>https://ntsu.idm.oclc.org/login?url=https://www.airitibooks.com/Detail/Detail?PublicationID=P20171103706</v>
      </c>
    </row>
    <row r="2303" spans="1:11" ht="51" x14ac:dyDescent="0.4">
      <c r="A2303" s="10" t="s">
        <v>7607</v>
      </c>
      <c r="B2303" s="10" t="s">
        <v>7608</v>
      </c>
      <c r="C2303" s="10" t="s">
        <v>7164</v>
      </c>
      <c r="D2303" s="10" t="s">
        <v>7588</v>
      </c>
      <c r="E2303" s="10" t="s">
        <v>6182</v>
      </c>
      <c r="F2303" s="10" t="s">
        <v>5517</v>
      </c>
      <c r="G2303" s="10" t="s">
        <v>87</v>
      </c>
      <c r="H2303" s="7" t="s">
        <v>24</v>
      </c>
      <c r="I2303" s="7" t="s">
        <v>25</v>
      </c>
      <c r="J2303" s="13" t="str">
        <f>HYPERLINK("https://www.airitibooks.com/Detail/Detail?PublicationID=P20171103732", "https://www.airitibooks.com/Detail/Detail?PublicationID=P20171103732")</f>
        <v>https://www.airitibooks.com/Detail/Detail?PublicationID=P20171103732</v>
      </c>
      <c r="K2303" s="13" t="str">
        <f>HYPERLINK("https://ntsu.idm.oclc.org/login?url=https://www.airitibooks.com/Detail/Detail?PublicationID=P20171103732", "https://ntsu.idm.oclc.org/login?url=https://www.airitibooks.com/Detail/Detail?PublicationID=P20171103732")</f>
        <v>https://ntsu.idm.oclc.org/login?url=https://www.airitibooks.com/Detail/Detail?PublicationID=P20171103732</v>
      </c>
    </row>
    <row r="2304" spans="1:11" ht="51" x14ac:dyDescent="0.4">
      <c r="A2304" s="10" t="s">
        <v>7621</v>
      </c>
      <c r="B2304" s="10" t="s">
        <v>7622</v>
      </c>
      <c r="C2304" s="10" t="s">
        <v>7164</v>
      </c>
      <c r="D2304" s="10" t="s">
        <v>7544</v>
      </c>
      <c r="E2304" s="10" t="s">
        <v>6182</v>
      </c>
      <c r="F2304" s="10" t="s">
        <v>475</v>
      </c>
      <c r="G2304" s="10" t="s">
        <v>87</v>
      </c>
      <c r="H2304" s="7" t="s">
        <v>24</v>
      </c>
      <c r="I2304" s="7" t="s">
        <v>25</v>
      </c>
      <c r="J2304" s="13" t="str">
        <f>HYPERLINK("https://www.airitibooks.com/Detail/Detail?PublicationID=P20171103755", "https://www.airitibooks.com/Detail/Detail?PublicationID=P20171103755")</f>
        <v>https://www.airitibooks.com/Detail/Detail?PublicationID=P20171103755</v>
      </c>
      <c r="K2304" s="13" t="str">
        <f>HYPERLINK("https://ntsu.idm.oclc.org/login?url=https://www.airitibooks.com/Detail/Detail?PublicationID=P20171103755", "https://ntsu.idm.oclc.org/login?url=https://www.airitibooks.com/Detail/Detail?PublicationID=P20171103755")</f>
        <v>https://ntsu.idm.oclc.org/login?url=https://www.airitibooks.com/Detail/Detail?PublicationID=P20171103755</v>
      </c>
    </row>
    <row r="2305" spans="1:11" ht="51" x14ac:dyDescent="0.4">
      <c r="A2305" s="10" t="s">
        <v>7629</v>
      </c>
      <c r="B2305" s="10" t="s">
        <v>7630</v>
      </c>
      <c r="C2305" s="10" t="s">
        <v>7164</v>
      </c>
      <c r="D2305" s="10" t="s">
        <v>7631</v>
      </c>
      <c r="E2305" s="10" t="s">
        <v>6182</v>
      </c>
      <c r="F2305" s="10" t="s">
        <v>475</v>
      </c>
      <c r="G2305" s="10" t="s">
        <v>87</v>
      </c>
      <c r="H2305" s="7" t="s">
        <v>24</v>
      </c>
      <c r="I2305" s="7" t="s">
        <v>25</v>
      </c>
      <c r="J2305" s="13" t="str">
        <f>HYPERLINK("https://www.airitibooks.com/Detail/Detail?PublicationID=P20171103778", "https://www.airitibooks.com/Detail/Detail?PublicationID=P20171103778")</f>
        <v>https://www.airitibooks.com/Detail/Detail?PublicationID=P20171103778</v>
      </c>
      <c r="K2305" s="13" t="str">
        <f>HYPERLINK("https://ntsu.idm.oclc.org/login?url=https://www.airitibooks.com/Detail/Detail?PublicationID=P20171103778", "https://ntsu.idm.oclc.org/login?url=https://www.airitibooks.com/Detail/Detail?PublicationID=P20171103778")</f>
        <v>https://ntsu.idm.oclc.org/login?url=https://www.airitibooks.com/Detail/Detail?PublicationID=P20171103778</v>
      </c>
    </row>
    <row r="2306" spans="1:11" ht="51" x14ac:dyDescent="0.4">
      <c r="A2306" s="10" t="s">
        <v>7637</v>
      </c>
      <c r="B2306" s="10" t="s">
        <v>7638</v>
      </c>
      <c r="C2306" s="10" t="s">
        <v>7164</v>
      </c>
      <c r="D2306" s="10" t="s">
        <v>7639</v>
      </c>
      <c r="E2306" s="10" t="s">
        <v>6182</v>
      </c>
      <c r="F2306" s="10" t="s">
        <v>475</v>
      </c>
      <c r="G2306" s="10" t="s">
        <v>87</v>
      </c>
      <c r="H2306" s="7" t="s">
        <v>24</v>
      </c>
      <c r="I2306" s="7" t="s">
        <v>25</v>
      </c>
      <c r="J2306" s="13" t="str">
        <f>HYPERLINK("https://www.airitibooks.com/Detail/Detail?PublicationID=P20171103792", "https://www.airitibooks.com/Detail/Detail?PublicationID=P20171103792")</f>
        <v>https://www.airitibooks.com/Detail/Detail?PublicationID=P20171103792</v>
      </c>
      <c r="K2306" s="13" t="str">
        <f>HYPERLINK("https://ntsu.idm.oclc.org/login?url=https://www.airitibooks.com/Detail/Detail?PublicationID=P20171103792", "https://ntsu.idm.oclc.org/login?url=https://www.airitibooks.com/Detail/Detail?PublicationID=P20171103792")</f>
        <v>https://ntsu.idm.oclc.org/login?url=https://www.airitibooks.com/Detail/Detail?PublicationID=P20171103792</v>
      </c>
    </row>
    <row r="2307" spans="1:11" ht="51" x14ac:dyDescent="0.4">
      <c r="A2307" s="10" t="s">
        <v>7640</v>
      </c>
      <c r="B2307" s="10" t="s">
        <v>7641</v>
      </c>
      <c r="C2307" s="10" t="s">
        <v>7164</v>
      </c>
      <c r="D2307" s="10" t="s">
        <v>7642</v>
      </c>
      <c r="E2307" s="10" t="s">
        <v>6182</v>
      </c>
      <c r="F2307" s="10" t="s">
        <v>475</v>
      </c>
      <c r="G2307" s="10" t="s">
        <v>87</v>
      </c>
      <c r="H2307" s="7" t="s">
        <v>24</v>
      </c>
      <c r="I2307" s="7" t="s">
        <v>25</v>
      </c>
      <c r="J2307" s="13" t="str">
        <f>HYPERLINK("https://www.airitibooks.com/Detail/Detail?PublicationID=P20171103797", "https://www.airitibooks.com/Detail/Detail?PublicationID=P20171103797")</f>
        <v>https://www.airitibooks.com/Detail/Detail?PublicationID=P20171103797</v>
      </c>
      <c r="K2307" s="13" t="str">
        <f>HYPERLINK("https://ntsu.idm.oclc.org/login?url=https://www.airitibooks.com/Detail/Detail?PublicationID=P20171103797", "https://ntsu.idm.oclc.org/login?url=https://www.airitibooks.com/Detail/Detail?PublicationID=P20171103797")</f>
        <v>https://ntsu.idm.oclc.org/login?url=https://www.airitibooks.com/Detail/Detail?PublicationID=P20171103797</v>
      </c>
    </row>
    <row r="2308" spans="1:11" ht="51" x14ac:dyDescent="0.4">
      <c r="A2308" s="10" t="s">
        <v>7654</v>
      </c>
      <c r="B2308" s="10" t="s">
        <v>7655</v>
      </c>
      <c r="C2308" s="10" t="s">
        <v>7164</v>
      </c>
      <c r="D2308" s="10" t="s">
        <v>7529</v>
      </c>
      <c r="E2308" s="10" t="s">
        <v>6182</v>
      </c>
      <c r="F2308" s="10" t="s">
        <v>475</v>
      </c>
      <c r="G2308" s="10" t="s">
        <v>87</v>
      </c>
      <c r="H2308" s="7" t="s">
        <v>24</v>
      </c>
      <c r="I2308" s="7" t="s">
        <v>25</v>
      </c>
      <c r="J2308" s="13" t="str">
        <f>HYPERLINK("https://www.airitibooks.com/Detail/Detail?PublicationID=P20171103806", "https://www.airitibooks.com/Detail/Detail?PublicationID=P20171103806")</f>
        <v>https://www.airitibooks.com/Detail/Detail?PublicationID=P20171103806</v>
      </c>
      <c r="K2308" s="13" t="str">
        <f>HYPERLINK("https://ntsu.idm.oclc.org/login?url=https://www.airitibooks.com/Detail/Detail?PublicationID=P20171103806", "https://ntsu.idm.oclc.org/login?url=https://www.airitibooks.com/Detail/Detail?PublicationID=P20171103806")</f>
        <v>https://ntsu.idm.oclc.org/login?url=https://www.airitibooks.com/Detail/Detail?PublicationID=P20171103806</v>
      </c>
    </row>
    <row r="2309" spans="1:11" ht="51" x14ac:dyDescent="0.4">
      <c r="A2309" s="10" t="s">
        <v>7659</v>
      </c>
      <c r="B2309" s="10" t="s">
        <v>7660</v>
      </c>
      <c r="C2309" s="10" t="s">
        <v>7164</v>
      </c>
      <c r="D2309" s="10" t="s">
        <v>7661</v>
      </c>
      <c r="E2309" s="10" t="s">
        <v>6182</v>
      </c>
      <c r="F2309" s="10" t="s">
        <v>5517</v>
      </c>
      <c r="G2309" s="10" t="s">
        <v>87</v>
      </c>
      <c r="H2309" s="7" t="s">
        <v>24</v>
      </c>
      <c r="I2309" s="7" t="s">
        <v>25</v>
      </c>
      <c r="J2309" s="13" t="str">
        <f>HYPERLINK("https://www.airitibooks.com/Detail/Detail?PublicationID=P20171103812", "https://www.airitibooks.com/Detail/Detail?PublicationID=P20171103812")</f>
        <v>https://www.airitibooks.com/Detail/Detail?PublicationID=P20171103812</v>
      </c>
      <c r="K2309" s="13" t="str">
        <f>HYPERLINK("https://ntsu.idm.oclc.org/login?url=https://www.airitibooks.com/Detail/Detail?PublicationID=P20171103812", "https://ntsu.idm.oclc.org/login?url=https://www.airitibooks.com/Detail/Detail?PublicationID=P20171103812")</f>
        <v>https://ntsu.idm.oclc.org/login?url=https://www.airitibooks.com/Detail/Detail?PublicationID=P20171103812</v>
      </c>
    </row>
    <row r="2310" spans="1:11" ht="51" x14ac:dyDescent="0.4">
      <c r="A2310" s="10" t="s">
        <v>7668</v>
      </c>
      <c r="B2310" s="10" t="s">
        <v>7669</v>
      </c>
      <c r="C2310" s="10" t="s">
        <v>7164</v>
      </c>
      <c r="D2310" s="10" t="s">
        <v>7639</v>
      </c>
      <c r="E2310" s="10" t="s">
        <v>6182</v>
      </c>
      <c r="F2310" s="10" t="s">
        <v>475</v>
      </c>
      <c r="G2310" s="10" t="s">
        <v>87</v>
      </c>
      <c r="H2310" s="7" t="s">
        <v>24</v>
      </c>
      <c r="I2310" s="7" t="s">
        <v>25</v>
      </c>
      <c r="J2310" s="13" t="str">
        <f>HYPERLINK("https://www.airitibooks.com/Detail/Detail?PublicationID=P20171103823", "https://www.airitibooks.com/Detail/Detail?PublicationID=P20171103823")</f>
        <v>https://www.airitibooks.com/Detail/Detail?PublicationID=P20171103823</v>
      </c>
      <c r="K2310" s="13" t="str">
        <f>HYPERLINK("https://ntsu.idm.oclc.org/login?url=https://www.airitibooks.com/Detail/Detail?PublicationID=P20171103823", "https://ntsu.idm.oclc.org/login?url=https://www.airitibooks.com/Detail/Detail?PublicationID=P20171103823")</f>
        <v>https://ntsu.idm.oclc.org/login?url=https://www.airitibooks.com/Detail/Detail?PublicationID=P20171103823</v>
      </c>
    </row>
    <row r="2311" spans="1:11" ht="51" x14ac:dyDescent="0.4">
      <c r="A2311" s="10" t="s">
        <v>7670</v>
      </c>
      <c r="B2311" s="10" t="s">
        <v>7671</v>
      </c>
      <c r="C2311" s="10" t="s">
        <v>7164</v>
      </c>
      <c r="D2311" s="10" t="s">
        <v>7544</v>
      </c>
      <c r="E2311" s="10" t="s">
        <v>6182</v>
      </c>
      <c r="F2311" s="10" t="s">
        <v>475</v>
      </c>
      <c r="G2311" s="10" t="s">
        <v>87</v>
      </c>
      <c r="H2311" s="7" t="s">
        <v>24</v>
      </c>
      <c r="I2311" s="7" t="s">
        <v>25</v>
      </c>
      <c r="J2311" s="13" t="str">
        <f>HYPERLINK("https://www.airitibooks.com/Detail/Detail?PublicationID=P20171103839", "https://www.airitibooks.com/Detail/Detail?PublicationID=P20171103839")</f>
        <v>https://www.airitibooks.com/Detail/Detail?PublicationID=P20171103839</v>
      </c>
      <c r="K2311" s="13" t="str">
        <f>HYPERLINK("https://ntsu.idm.oclc.org/login?url=https://www.airitibooks.com/Detail/Detail?PublicationID=P20171103839", "https://ntsu.idm.oclc.org/login?url=https://www.airitibooks.com/Detail/Detail?PublicationID=P20171103839")</f>
        <v>https://ntsu.idm.oclc.org/login?url=https://www.airitibooks.com/Detail/Detail?PublicationID=P20171103839</v>
      </c>
    </row>
    <row r="2312" spans="1:11" ht="51" x14ac:dyDescent="0.4">
      <c r="A2312" s="10" t="s">
        <v>7674</v>
      </c>
      <c r="B2312" s="10" t="s">
        <v>7675</v>
      </c>
      <c r="C2312" s="10" t="s">
        <v>7164</v>
      </c>
      <c r="D2312" s="10" t="s">
        <v>7573</v>
      </c>
      <c r="E2312" s="10" t="s">
        <v>6182</v>
      </c>
      <c r="F2312" s="10" t="s">
        <v>475</v>
      </c>
      <c r="G2312" s="10" t="s">
        <v>87</v>
      </c>
      <c r="H2312" s="7" t="s">
        <v>24</v>
      </c>
      <c r="I2312" s="7" t="s">
        <v>25</v>
      </c>
      <c r="J2312" s="13" t="str">
        <f>HYPERLINK("https://www.airitibooks.com/Detail/Detail?PublicationID=P20171103845", "https://www.airitibooks.com/Detail/Detail?PublicationID=P20171103845")</f>
        <v>https://www.airitibooks.com/Detail/Detail?PublicationID=P20171103845</v>
      </c>
      <c r="K2312" s="13" t="str">
        <f>HYPERLINK("https://ntsu.idm.oclc.org/login?url=https://www.airitibooks.com/Detail/Detail?PublicationID=P20171103845", "https://ntsu.idm.oclc.org/login?url=https://www.airitibooks.com/Detail/Detail?PublicationID=P20171103845")</f>
        <v>https://ntsu.idm.oclc.org/login?url=https://www.airitibooks.com/Detail/Detail?PublicationID=P20171103845</v>
      </c>
    </row>
    <row r="2313" spans="1:11" ht="51" x14ac:dyDescent="0.4">
      <c r="A2313" s="10" t="s">
        <v>7676</v>
      </c>
      <c r="B2313" s="10" t="s">
        <v>7677</v>
      </c>
      <c r="C2313" s="10" t="s">
        <v>7164</v>
      </c>
      <c r="D2313" s="10" t="s">
        <v>7678</v>
      </c>
      <c r="E2313" s="10" t="s">
        <v>6182</v>
      </c>
      <c r="F2313" s="10" t="s">
        <v>5517</v>
      </c>
      <c r="G2313" s="10" t="s">
        <v>87</v>
      </c>
      <c r="H2313" s="7" t="s">
        <v>24</v>
      </c>
      <c r="I2313" s="7" t="s">
        <v>25</v>
      </c>
      <c r="J2313" s="13" t="str">
        <f>HYPERLINK("https://www.airitibooks.com/Detail/Detail?PublicationID=P20171103846", "https://www.airitibooks.com/Detail/Detail?PublicationID=P20171103846")</f>
        <v>https://www.airitibooks.com/Detail/Detail?PublicationID=P20171103846</v>
      </c>
      <c r="K2313" s="13" t="str">
        <f>HYPERLINK("https://ntsu.idm.oclc.org/login?url=https://www.airitibooks.com/Detail/Detail?PublicationID=P20171103846", "https://ntsu.idm.oclc.org/login?url=https://www.airitibooks.com/Detail/Detail?PublicationID=P20171103846")</f>
        <v>https://ntsu.idm.oclc.org/login?url=https://www.airitibooks.com/Detail/Detail?PublicationID=P20171103846</v>
      </c>
    </row>
    <row r="2314" spans="1:11" ht="51" x14ac:dyDescent="0.4">
      <c r="A2314" s="10" t="s">
        <v>7686</v>
      </c>
      <c r="B2314" s="10" t="s">
        <v>7687</v>
      </c>
      <c r="C2314" s="10" t="s">
        <v>7164</v>
      </c>
      <c r="D2314" s="10" t="s">
        <v>7688</v>
      </c>
      <c r="E2314" s="10" t="s">
        <v>6182</v>
      </c>
      <c r="F2314" s="10" t="s">
        <v>475</v>
      </c>
      <c r="G2314" s="10" t="s">
        <v>87</v>
      </c>
      <c r="H2314" s="7" t="s">
        <v>24</v>
      </c>
      <c r="I2314" s="7" t="s">
        <v>25</v>
      </c>
      <c r="J2314" s="13" t="str">
        <f>HYPERLINK("https://www.airitibooks.com/Detail/Detail?PublicationID=P20171103861", "https://www.airitibooks.com/Detail/Detail?PublicationID=P20171103861")</f>
        <v>https://www.airitibooks.com/Detail/Detail?PublicationID=P20171103861</v>
      </c>
      <c r="K2314" s="13" t="str">
        <f>HYPERLINK("https://ntsu.idm.oclc.org/login?url=https://www.airitibooks.com/Detail/Detail?PublicationID=P20171103861", "https://ntsu.idm.oclc.org/login?url=https://www.airitibooks.com/Detail/Detail?PublicationID=P20171103861")</f>
        <v>https://ntsu.idm.oclc.org/login?url=https://www.airitibooks.com/Detail/Detail?PublicationID=P20171103861</v>
      </c>
    </row>
    <row r="2315" spans="1:11" ht="51" x14ac:dyDescent="0.4">
      <c r="A2315" s="10" t="s">
        <v>7689</v>
      </c>
      <c r="B2315" s="10" t="s">
        <v>7690</v>
      </c>
      <c r="C2315" s="10" t="s">
        <v>7164</v>
      </c>
      <c r="D2315" s="10" t="s">
        <v>7691</v>
      </c>
      <c r="E2315" s="10" t="s">
        <v>6182</v>
      </c>
      <c r="F2315" s="10" t="s">
        <v>475</v>
      </c>
      <c r="G2315" s="10" t="s">
        <v>87</v>
      </c>
      <c r="H2315" s="7" t="s">
        <v>24</v>
      </c>
      <c r="I2315" s="7" t="s">
        <v>25</v>
      </c>
      <c r="J2315" s="13" t="str">
        <f>HYPERLINK("https://www.airitibooks.com/Detail/Detail?PublicationID=P20171103865", "https://www.airitibooks.com/Detail/Detail?PublicationID=P20171103865")</f>
        <v>https://www.airitibooks.com/Detail/Detail?PublicationID=P20171103865</v>
      </c>
      <c r="K2315" s="13" t="str">
        <f>HYPERLINK("https://ntsu.idm.oclc.org/login?url=https://www.airitibooks.com/Detail/Detail?PublicationID=P20171103865", "https://ntsu.idm.oclc.org/login?url=https://www.airitibooks.com/Detail/Detail?PublicationID=P20171103865")</f>
        <v>https://ntsu.idm.oclc.org/login?url=https://www.airitibooks.com/Detail/Detail?PublicationID=P20171103865</v>
      </c>
    </row>
    <row r="2316" spans="1:11" ht="51" x14ac:dyDescent="0.4">
      <c r="A2316" s="10" t="s">
        <v>7692</v>
      </c>
      <c r="B2316" s="10" t="s">
        <v>7693</v>
      </c>
      <c r="C2316" s="10" t="s">
        <v>7164</v>
      </c>
      <c r="D2316" s="10" t="s">
        <v>7694</v>
      </c>
      <c r="E2316" s="10" t="s">
        <v>6182</v>
      </c>
      <c r="F2316" s="10" t="s">
        <v>475</v>
      </c>
      <c r="G2316" s="10" t="s">
        <v>87</v>
      </c>
      <c r="H2316" s="7" t="s">
        <v>24</v>
      </c>
      <c r="I2316" s="7" t="s">
        <v>25</v>
      </c>
      <c r="J2316" s="13" t="str">
        <f>HYPERLINK("https://www.airitibooks.com/Detail/Detail?PublicationID=P20171103867", "https://www.airitibooks.com/Detail/Detail?PublicationID=P20171103867")</f>
        <v>https://www.airitibooks.com/Detail/Detail?PublicationID=P20171103867</v>
      </c>
      <c r="K2316" s="13" t="str">
        <f>HYPERLINK("https://ntsu.idm.oclc.org/login?url=https://www.airitibooks.com/Detail/Detail?PublicationID=P20171103867", "https://ntsu.idm.oclc.org/login?url=https://www.airitibooks.com/Detail/Detail?PublicationID=P20171103867")</f>
        <v>https://ntsu.idm.oclc.org/login?url=https://www.airitibooks.com/Detail/Detail?PublicationID=P20171103867</v>
      </c>
    </row>
    <row r="2317" spans="1:11" ht="51" x14ac:dyDescent="0.4">
      <c r="A2317" s="10" t="s">
        <v>7695</v>
      </c>
      <c r="B2317" s="10" t="s">
        <v>7696</v>
      </c>
      <c r="C2317" s="10" t="s">
        <v>7164</v>
      </c>
      <c r="D2317" s="10" t="s">
        <v>7697</v>
      </c>
      <c r="E2317" s="10" t="s">
        <v>6182</v>
      </c>
      <c r="F2317" s="10" t="s">
        <v>475</v>
      </c>
      <c r="G2317" s="10" t="s">
        <v>87</v>
      </c>
      <c r="H2317" s="7" t="s">
        <v>24</v>
      </c>
      <c r="I2317" s="7" t="s">
        <v>25</v>
      </c>
      <c r="J2317" s="13" t="str">
        <f>HYPERLINK("https://www.airitibooks.com/Detail/Detail?PublicationID=P20171103869", "https://www.airitibooks.com/Detail/Detail?PublicationID=P20171103869")</f>
        <v>https://www.airitibooks.com/Detail/Detail?PublicationID=P20171103869</v>
      </c>
      <c r="K2317" s="13" t="str">
        <f>HYPERLINK("https://ntsu.idm.oclc.org/login?url=https://www.airitibooks.com/Detail/Detail?PublicationID=P20171103869", "https://ntsu.idm.oclc.org/login?url=https://www.airitibooks.com/Detail/Detail?PublicationID=P20171103869")</f>
        <v>https://ntsu.idm.oclc.org/login?url=https://www.airitibooks.com/Detail/Detail?PublicationID=P20171103869</v>
      </c>
    </row>
    <row r="2318" spans="1:11" ht="51" x14ac:dyDescent="0.4">
      <c r="A2318" s="10" t="s">
        <v>7698</v>
      </c>
      <c r="B2318" s="10" t="s">
        <v>7699</v>
      </c>
      <c r="C2318" s="10" t="s">
        <v>7164</v>
      </c>
      <c r="D2318" s="10" t="s">
        <v>7700</v>
      </c>
      <c r="E2318" s="10" t="s">
        <v>6182</v>
      </c>
      <c r="F2318" s="10" t="s">
        <v>475</v>
      </c>
      <c r="G2318" s="10" t="s">
        <v>87</v>
      </c>
      <c r="H2318" s="7" t="s">
        <v>24</v>
      </c>
      <c r="I2318" s="7" t="s">
        <v>25</v>
      </c>
      <c r="J2318" s="13" t="str">
        <f>HYPERLINK("https://www.airitibooks.com/Detail/Detail?PublicationID=P20171103872", "https://www.airitibooks.com/Detail/Detail?PublicationID=P20171103872")</f>
        <v>https://www.airitibooks.com/Detail/Detail?PublicationID=P20171103872</v>
      </c>
      <c r="K2318" s="13" t="str">
        <f>HYPERLINK("https://ntsu.idm.oclc.org/login?url=https://www.airitibooks.com/Detail/Detail?PublicationID=P20171103872", "https://ntsu.idm.oclc.org/login?url=https://www.airitibooks.com/Detail/Detail?PublicationID=P20171103872")</f>
        <v>https://ntsu.idm.oclc.org/login?url=https://www.airitibooks.com/Detail/Detail?PublicationID=P20171103872</v>
      </c>
    </row>
    <row r="2319" spans="1:11" ht="68" x14ac:dyDescent="0.4">
      <c r="A2319" s="10" t="s">
        <v>7762</v>
      </c>
      <c r="B2319" s="10" t="s">
        <v>7763</v>
      </c>
      <c r="C2319" s="10" t="s">
        <v>428</v>
      </c>
      <c r="D2319" s="10" t="s">
        <v>7764</v>
      </c>
      <c r="E2319" s="10" t="s">
        <v>6182</v>
      </c>
      <c r="F2319" s="10" t="s">
        <v>144</v>
      </c>
      <c r="G2319" s="10" t="s">
        <v>87</v>
      </c>
      <c r="H2319" s="7" t="s">
        <v>24</v>
      </c>
      <c r="I2319" s="7" t="s">
        <v>25</v>
      </c>
      <c r="J2319" s="13" t="str">
        <f>HYPERLINK("https://www.airitibooks.com/Detail/Detail?PublicationID=P20171127048", "https://www.airitibooks.com/Detail/Detail?PublicationID=P20171127048")</f>
        <v>https://www.airitibooks.com/Detail/Detail?PublicationID=P20171127048</v>
      </c>
      <c r="K2319" s="13" t="str">
        <f>HYPERLINK("https://ntsu.idm.oclc.org/login?url=https://www.airitibooks.com/Detail/Detail?PublicationID=P20171127048", "https://ntsu.idm.oclc.org/login?url=https://www.airitibooks.com/Detail/Detail?PublicationID=P20171127048")</f>
        <v>https://ntsu.idm.oclc.org/login?url=https://www.airitibooks.com/Detail/Detail?PublicationID=P20171127048</v>
      </c>
    </row>
    <row r="2320" spans="1:11" ht="51" x14ac:dyDescent="0.4">
      <c r="A2320" s="10" t="s">
        <v>7765</v>
      </c>
      <c r="B2320" s="10" t="s">
        <v>7766</v>
      </c>
      <c r="C2320" s="10" t="s">
        <v>428</v>
      </c>
      <c r="D2320" s="10" t="s">
        <v>7767</v>
      </c>
      <c r="E2320" s="10" t="s">
        <v>6182</v>
      </c>
      <c r="F2320" s="10" t="s">
        <v>475</v>
      </c>
      <c r="G2320" s="10" t="s">
        <v>87</v>
      </c>
      <c r="H2320" s="7" t="s">
        <v>24</v>
      </c>
      <c r="I2320" s="7" t="s">
        <v>25</v>
      </c>
      <c r="J2320" s="13" t="str">
        <f>HYPERLINK("https://www.airitibooks.com/Detail/Detail?PublicationID=P20171127049", "https://www.airitibooks.com/Detail/Detail?PublicationID=P20171127049")</f>
        <v>https://www.airitibooks.com/Detail/Detail?PublicationID=P20171127049</v>
      </c>
      <c r="K2320" s="13" t="str">
        <f>HYPERLINK("https://ntsu.idm.oclc.org/login?url=https://www.airitibooks.com/Detail/Detail?PublicationID=P20171127049", "https://ntsu.idm.oclc.org/login?url=https://www.airitibooks.com/Detail/Detail?PublicationID=P20171127049")</f>
        <v>https://ntsu.idm.oclc.org/login?url=https://www.airitibooks.com/Detail/Detail?PublicationID=P20171127049</v>
      </c>
    </row>
    <row r="2321" spans="1:11" ht="68" x14ac:dyDescent="0.4">
      <c r="A2321" s="10" t="s">
        <v>7768</v>
      </c>
      <c r="B2321" s="10" t="s">
        <v>7769</v>
      </c>
      <c r="C2321" s="10" t="s">
        <v>428</v>
      </c>
      <c r="D2321" s="10" t="s">
        <v>7770</v>
      </c>
      <c r="E2321" s="10" t="s">
        <v>6182</v>
      </c>
      <c r="F2321" s="10" t="s">
        <v>232</v>
      </c>
      <c r="G2321" s="10" t="s">
        <v>87</v>
      </c>
      <c r="H2321" s="7" t="s">
        <v>24</v>
      </c>
      <c r="I2321" s="7" t="s">
        <v>25</v>
      </c>
      <c r="J2321" s="13" t="str">
        <f>HYPERLINK("https://www.airitibooks.com/Detail/Detail?PublicationID=P20171127050", "https://www.airitibooks.com/Detail/Detail?PublicationID=P20171127050")</f>
        <v>https://www.airitibooks.com/Detail/Detail?PublicationID=P20171127050</v>
      </c>
      <c r="K2321" s="13" t="str">
        <f>HYPERLINK("https://ntsu.idm.oclc.org/login?url=https://www.airitibooks.com/Detail/Detail?PublicationID=P20171127050", "https://ntsu.idm.oclc.org/login?url=https://www.airitibooks.com/Detail/Detail?PublicationID=P20171127050")</f>
        <v>https://ntsu.idm.oclc.org/login?url=https://www.airitibooks.com/Detail/Detail?PublicationID=P20171127050</v>
      </c>
    </row>
    <row r="2322" spans="1:11" ht="51" x14ac:dyDescent="0.4">
      <c r="A2322" s="10" t="s">
        <v>7771</v>
      </c>
      <c r="B2322" s="10" t="s">
        <v>7772</v>
      </c>
      <c r="C2322" s="10" t="s">
        <v>428</v>
      </c>
      <c r="D2322" s="10" t="s">
        <v>7773</v>
      </c>
      <c r="E2322" s="10" t="s">
        <v>6182</v>
      </c>
      <c r="F2322" s="10" t="s">
        <v>232</v>
      </c>
      <c r="G2322" s="10" t="s">
        <v>87</v>
      </c>
      <c r="H2322" s="7" t="s">
        <v>24</v>
      </c>
      <c r="I2322" s="7" t="s">
        <v>25</v>
      </c>
      <c r="J2322" s="13" t="str">
        <f>HYPERLINK("https://www.airitibooks.com/Detail/Detail?PublicationID=P20171127051", "https://www.airitibooks.com/Detail/Detail?PublicationID=P20171127051")</f>
        <v>https://www.airitibooks.com/Detail/Detail?PublicationID=P20171127051</v>
      </c>
      <c r="K2322" s="13" t="str">
        <f>HYPERLINK("https://ntsu.idm.oclc.org/login?url=https://www.airitibooks.com/Detail/Detail?PublicationID=P20171127051", "https://ntsu.idm.oclc.org/login?url=https://www.airitibooks.com/Detail/Detail?PublicationID=P20171127051")</f>
        <v>https://ntsu.idm.oclc.org/login?url=https://www.airitibooks.com/Detail/Detail?PublicationID=P20171127051</v>
      </c>
    </row>
    <row r="2323" spans="1:11" ht="51" x14ac:dyDescent="0.4">
      <c r="A2323" s="10" t="s">
        <v>7774</v>
      </c>
      <c r="B2323" s="10" t="s">
        <v>7775</v>
      </c>
      <c r="C2323" s="10" t="s">
        <v>428</v>
      </c>
      <c r="D2323" s="10" t="s">
        <v>7776</v>
      </c>
      <c r="E2323" s="10" t="s">
        <v>6182</v>
      </c>
      <c r="F2323" s="10" t="s">
        <v>144</v>
      </c>
      <c r="G2323" s="10" t="s">
        <v>87</v>
      </c>
      <c r="H2323" s="7" t="s">
        <v>24</v>
      </c>
      <c r="I2323" s="7" t="s">
        <v>25</v>
      </c>
      <c r="J2323" s="13" t="str">
        <f>HYPERLINK("https://www.airitibooks.com/Detail/Detail?PublicationID=P20171127052", "https://www.airitibooks.com/Detail/Detail?PublicationID=P20171127052")</f>
        <v>https://www.airitibooks.com/Detail/Detail?PublicationID=P20171127052</v>
      </c>
      <c r="K2323" s="13" t="str">
        <f>HYPERLINK("https://ntsu.idm.oclc.org/login?url=https://www.airitibooks.com/Detail/Detail?PublicationID=P20171127052", "https://ntsu.idm.oclc.org/login?url=https://www.airitibooks.com/Detail/Detail?PublicationID=P20171127052")</f>
        <v>https://ntsu.idm.oclc.org/login?url=https://www.airitibooks.com/Detail/Detail?PublicationID=P20171127052</v>
      </c>
    </row>
    <row r="2324" spans="1:11" ht="153" x14ac:dyDescent="0.4">
      <c r="A2324" s="10" t="s">
        <v>8037</v>
      </c>
      <c r="B2324" s="10" t="s">
        <v>8038</v>
      </c>
      <c r="C2324" s="10" t="s">
        <v>791</v>
      </c>
      <c r="D2324" s="10" t="s">
        <v>8039</v>
      </c>
      <c r="E2324" s="10" t="s">
        <v>6182</v>
      </c>
      <c r="F2324" s="10" t="s">
        <v>8040</v>
      </c>
      <c r="G2324" s="10" t="s">
        <v>87</v>
      </c>
      <c r="H2324" s="7" t="s">
        <v>24</v>
      </c>
      <c r="I2324" s="7" t="s">
        <v>25</v>
      </c>
      <c r="J2324" s="13" t="str">
        <f>HYPERLINK("https://www.airitibooks.com/Detail/Detail?PublicationID=P20171130133", "https://www.airitibooks.com/Detail/Detail?PublicationID=P20171130133")</f>
        <v>https://www.airitibooks.com/Detail/Detail?PublicationID=P20171130133</v>
      </c>
      <c r="K2324" s="13" t="str">
        <f>HYPERLINK("https://ntsu.idm.oclc.org/login?url=https://www.airitibooks.com/Detail/Detail?PublicationID=P20171130133", "https://ntsu.idm.oclc.org/login?url=https://www.airitibooks.com/Detail/Detail?PublicationID=P20171130133")</f>
        <v>https://ntsu.idm.oclc.org/login?url=https://www.airitibooks.com/Detail/Detail?PublicationID=P20171130133</v>
      </c>
    </row>
    <row r="2325" spans="1:11" ht="51" x14ac:dyDescent="0.4">
      <c r="A2325" s="10" t="s">
        <v>8063</v>
      </c>
      <c r="B2325" s="10" t="s">
        <v>8064</v>
      </c>
      <c r="C2325" s="10" t="s">
        <v>7051</v>
      </c>
      <c r="D2325" s="10" t="s">
        <v>8065</v>
      </c>
      <c r="E2325" s="10" t="s">
        <v>6182</v>
      </c>
      <c r="F2325" s="10" t="s">
        <v>475</v>
      </c>
      <c r="G2325" s="10" t="s">
        <v>87</v>
      </c>
      <c r="H2325" s="7" t="s">
        <v>24</v>
      </c>
      <c r="I2325" s="7" t="s">
        <v>25</v>
      </c>
      <c r="J2325" s="13" t="str">
        <f>HYPERLINK("https://www.airitibooks.com/Detail/Detail?PublicationID=P20171213008", "https://www.airitibooks.com/Detail/Detail?PublicationID=P20171213008")</f>
        <v>https://www.airitibooks.com/Detail/Detail?PublicationID=P20171213008</v>
      </c>
      <c r="K2325" s="13" t="str">
        <f>HYPERLINK("https://ntsu.idm.oclc.org/login?url=https://www.airitibooks.com/Detail/Detail?PublicationID=P20171213008", "https://ntsu.idm.oclc.org/login?url=https://www.airitibooks.com/Detail/Detail?PublicationID=P20171213008")</f>
        <v>https://ntsu.idm.oclc.org/login?url=https://www.airitibooks.com/Detail/Detail?PublicationID=P20171213008</v>
      </c>
    </row>
    <row r="2326" spans="1:11" ht="136" x14ac:dyDescent="0.4">
      <c r="A2326" s="10" t="s">
        <v>8159</v>
      </c>
      <c r="B2326" s="10" t="s">
        <v>8160</v>
      </c>
      <c r="C2326" s="10" t="s">
        <v>1484</v>
      </c>
      <c r="D2326" s="10" t="s">
        <v>8161</v>
      </c>
      <c r="E2326" s="10" t="s">
        <v>6182</v>
      </c>
      <c r="F2326" s="10" t="s">
        <v>2795</v>
      </c>
      <c r="G2326" s="10" t="s">
        <v>87</v>
      </c>
      <c r="H2326" s="7" t="s">
        <v>24</v>
      </c>
      <c r="I2326" s="7" t="s">
        <v>25</v>
      </c>
      <c r="J2326" s="13" t="str">
        <f>HYPERLINK("https://www.airitibooks.com/Detail/Detail?PublicationID=P20171228031", "https://www.airitibooks.com/Detail/Detail?PublicationID=P20171228031")</f>
        <v>https://www.airitibooks.com/Detail/Detail?PublicationID=P20171228031</v>
      </c>
      <c r="K2326" s="13" t="str">
        <f>HYPERLINK("https://ntsu.idm.oclc.org/login?url=https://www.airitibooks.com/Detail/Detail?PublicationID=P20171228031", "https://ntsu.idm.oclc.org/login?url=https://www.airitibooks.com/Detail/Detail?PublicationID=P20171228031")</f>
        <v>https://ntsu.idm.oclc.org/login?url=https://www.airitibooks.com/Detail/Detail?PublicationID=P20171228031</v>
      </c>
    </row>
    <row r="2327" spans="1:11" ht="51" x14ac:dyDescent="0.4">
      <c r="A2327" s="10" t="s">
        <v>8162</v>
      </c>
      <c r="B2327" s="10" t="s">
        <v>8163</v>
      </c>
      <c r="C2327" s="10" t="s">
        <v>7164</v>
      </c>
      <c r="D2327" s="10" t="s">
        <v>8164</v>
      </c>
      <c r="E2327" s="10" t="s">
        <v>6182</v>
      </c>
      <c r="F2327" s="10" t="s">
        <v>475</v>
      </c>
      <c r="G2327" s="10" t="s">
        <v>87</v>
      </c>
      <c r="H2327" s="7" t="s">
        <v>24</v>
      </c>
      <c r="I2327" s="7" t="s">
        <v>25</v>
      </c>
      <c r="J2327" s="13" t="str">
        <f>HYPERLINK("https://www.airitibooks.com/Detail/Detail?PublicationID=P20171228211", "https://www.airitibooks.com/Detail/Detail?PublicationID=P20171228211")</f>
        <v>https://www.airitibooks.com/Detail/Detail?PublicationID=P20171228211</v>
      </c>
      <c r="K2327" s="13" t="str">
        <f>HYPERLINK("https://ntsu.idm.oclc.org/login?url=https://www.airitibooks.com/Detail/Detail?PublicationID=P20171228211", "https://ntsu.idm.oclc.org/login?url=https://www.airitibooks.com/Detail/Detail?PublicationID=P20171228211")</f>
        <v>https://ntsu.idm.oclc.org/login?url=https://www.airitibooks.com/Detail/Detail?PublicationID=P20171228211</v>
      </c>
    </row>
    <row r="2328" spans="1:11" ht="221" x14ac:dyDescent="0.4">
      <c r="A2328" s="10" t="s">
        <v>8168</v>
      </c>
      <c r="B2328" s="10" t="s">
        <v>8169</v>
      </c>
      <c r="C2328" s="10" t="s">
        <v>568</v>
      </c>
      <c r="D2328" s="10" t="s">
        <v>8170</v>
      </c>
      <c r="E2328" s="10" t="s">
        <v>6182</v>
      </c>
      <c r="F2328" s="10" t="s">
        <v>1440</v>
      </c>
      <c r="G2328" s="10" t="s">
        <v>87</v>
      </c>
      <c r="H2328" s="7" t="s">
        <v>24</v>
      </c>
      <c r="I2328" s="7" t="s">
        <v>25</v>
      </c>
      <c r="J2328" s="13" t="str">
        <f>HYPERLINK("https://www.airitibooks.com/Detail/Detail?PublicationID=P20180104004", "https://www.airitibooks.com/Detail/Detail?PublicationID=P20180104004")</f>
        <v>https://www.airitibooks.com/Detail/Detail?PublicationID=P20180104004</v>
      </c>
      <c r="K2328" s="13" t="str">
        <f>HYPERLINK("https://ntsu.idm.oclc.org/login?url=https://www.airitibooks.com/Detail/Detail?PublicationID=P20180104004", "https://ntsu.idm.oclc.org/login?url=https://www.airitibooks.com/Detail/Detail?PublicationID=P20180104004")</f>
        <v>https://ntsu.idm.oclc.org/login?url=https://www.airitibooks.com/Detail/Detail?PublicationID=P20180104004</v>
      </c>
    </row>
    <row r="2329" spans="1:11" ht="51" x14ac:dyDescent="0.4">
      <c r="A2329" s="10" t="s">
        <v>8822</v>
      </c>
      <c r="B2329" s="10" t="s">
        <v>8823</v>
      </c>
      <c r="C2329" s="10" t="s">
        <v>544</v>
      </c>
      <c r="D2329" s="10" t="s">
        <v>8824</v>
      </c>
      <c r="E2329" s="10" t="s">
        <v>6182</v>
      </c>
      <c r="F2329" s="10" t="s">
        <v>8825</v>
      </c>
      <c r="G2329" s="10" t="s">
        <v>87</v>
      </c>
      <c r="H2329" s="7" t="s">
        <v>24</v>
      </c>
      <c r="I2329" s="7" t="s">
        <v>25</v>
      </c>
      <c r="J2329" s="13" t="str">
        <f>HYPERLINK("https://www.airitibooks.com/Detail/Detail?PublicationID=P20180330031", "https://www.airitibooks.com/Detail/Detail?PublicationID=P20180330031")</f>
        <v>https://www.airitibooks.com/Detail/Detail?PublicationID=P20180330031</v>
      </c>
      <c r="K2329" s="13" t="str">
        <f>HYPERLINK("https://ntsu.idm.oclc.org/login?url=https://www.airitibooks.com/Detail/Detail?PublicationID=P20180330031", "https://ntsu.idm.oclc.org/login?url=https://www.airitibooks.com/Detail/Detail?PublicationID=P20180330031")</f>
        <v>https://ntsu.idm.oclc.org/login?url=https://www.airitibooks.com/Detail/Detail?PublicationID=P20180330031</v>
      </c>
    </row>
    <row r="2330" spans="1:11" ht="51" x14ac:dyDescent="0.4">
      <c r="A2330" s="10" t="s">
        <v>8826</v>
      </c>
      <c r="B2330" s="10" t="s">
        <v>8827</v>
      </c>
      <c r="C2330" s="10" t="s">
        <v>544</v>
      </c>
      <c r="D2330" s="10" t="s">
        <v>8824</v>
      </c>
      <c r="E2330" s="10" t="s">
        <v>6182</v>
      </c>
      <c r="F2330" s="10" t="s">
        <v>8825</v>
      </c>
      <c r="G2330" s="10" t="s">
        <v>87</v>
      </c>
      <c r="H2330" s="7" t="s">
        <v>24</v>
      </c>
      <c r="I2330" s="7" t="s">
        <v>25</v>
      </c>
      <c r="J2330" s="13" t="str">
        <f>HYPERLINK("https://www.airitibooks.com/Detail/Detail?PublicationID=P20180330032", "https://www.airitibooks.com/Detail/Detail?PublicationID=P20180330032")</f>
        <v>https://www.airitibooks.com/Detail/Detail?PublicationID=P20180330032</v>
      </c>
      <c r="K2330" s="13" t="str">
        <f>HYPERLINK("https://ntsu.idm.oclc.org/login?url=https://www.airitibooks.com/Detail/Detail?PublicationID=P20180330032", "https://ntsu.idm.oclc.org/login?url=https://www.airitibooks.com/Detail/Detail?PublicationID=P20180330032")</f>
        <v>https://ntsu.idm.oclc.org/login?url=https://www.airitibooks.com/Detail/Detail?PublicationID=P20180330032</v>
      </c>
    </row>
    <row r="2331" spans="1:11" ht="51" x14ac:dyDescent="0.4">
      <c r="A2331" s="10" t="s">
        <v>8911</v>
      </c>
      <c r="B2331" s="10" t="s">
        <v>8912</v>
      </c>
      <c r="C2331" s="10" t="s">
        <v>938</v>
      </c>
      <c r="D2331" s="10" t="s">
        <v>4463</v>
      </c>
      <c r="E2331" s="10" t="s">
        <v>6182</v>
      </c>
      <c r="F2331" s="10" t="s">
        <v>8913</v>
      </c>
      <c r="G2331" s="10" t="s">
        <v>87</v>
      </c>
      <c r="H2331" s="7" t="s">
        <v>24</v>
      </c>
      <c r="I2331" s="7" t="s">
        <v>25</v>
      </c>
      <c r="J2331" s="13" t="str">
        <f>HYPERLINK("https://www.airitibooks.com/Detail/Detail?PublicationID=P20180413034", "https://www.airitibooks.com/Detail/Detail?PublicationID=P20180413034")</f>
        <v>https://www.airitibooks.com/Detail/Detail?PublicationID=P20180413034</v>
      </c>
      <c r="K2331" s="13" t="str">
        <f>HYPERLINK("https://ntsu.idm.oclc.org/login?url=https://www.airitibooks.com/Detail/Detail?PublicationID=P20180413034", "https://ntsu.idm.oclc.org/login?url=https://www.airitibooks.com/Detail/Detail?PublicationID=P20180413034")</f>
        <v>https://ntsu.idm.oclc.org/login?url=https://www.airitibooks.com/Detail/Detail?PublicationID=P20180413034</v>
      </c>
    </row>
    <row r="2332" spans="1:11" ht="85" x14ac:dyDescent="0.4">
      <c r="A2332" s="10" t="s">
        <v>8976</v>
      </c>
      <c r="B2332" s="10" t="s">
        <v>8977</v>
      </c>
      <c r="C2332" s="10" t="s">
        <v>791</v>
      </c>
      <c r="D2332" s="10" t="s">
        <v>8978</v>
      </c>
      <c r="E2332" s="10" t="s">
        <v>6182</v>
      </c>
      <c r="F2332" s="10" t="s">
        <v>144</v>
      </c>
      <c r="G2332" s="10" t="s">
        <v>87</v>
      </c>
      <c r="H2332" s="7" t="s">
        <v>24</v>
      </c>
      <c r="I2332" s="7" t="s">
        <v>25</v>
      </c>
      <c r="J2332" s="13" t="str">
        <f>HYPERLINK("https://www.airitibooks.com/Detail/Detail?PublicationID=P20180413082", "https://www.airitibooks.com/Detail/Detail?PublicationID=P20180413082")</f>
        <v>https://www.airitibooks.com/Detail/Detail?PublicationID=P20180413082</v>
      </c>
      <c r="K2332" s="13" t="str">
        <f>HYPERLINK("https://ntsu.idm.oclc.org/login?url=https://www.airitibooks.com/Detail/Detail?PublicationID=P20180413082", "https://ntsu.idm.oclc.org/login?url=https://www.airitibooks.com/Detail/Detail?PublicationID=P20180413082")</f>
        <v>https://ntsu.idm.oclc.org/login?url=https://www.airitibooks.com/Detail/Detail?PublicationID=P20180413082</v>
      </c>
    </row>
    <row r="2333" spans="1:11" ht="51" x14ac:dyDescent="0.4">
      <c r="A2333" s="10" t="s">
        <v>8997</v>
      </c>
      <c r="B2333" s="10" t="s">
        <v>8998</v>
      </c>
      <c r="C2333" s="10" t="s">
        <v>428</v>
      </c>
      <c r="D2333" s="10" t="s">
        <v>7773</v>
      </c>
      <c r="E2333" s="10" t="s">
        <v>6182</v>
      </c>
      <c r="F2333" s="10" t="s">
        <v>232</v>
      </c>
      <c r="G2333" s="10" t="s">
        <v>87</v>
      </c>
      <c r="H2333" s="7" t="s">
        <v>24</v>
      </c>
      <c r="I2333" s="7" t="s">
        <v>25</v>
      </c>
      <c r="J2333" s="13" t="str">
        <f>HYPERLINK("https://www.airitibooks.com/Detail/Detail?PublicationID=P20180413092", "https://www.airitibooks.com/Detail/Detail?PublicationID=P20180413092")</f>
        <v>https://www.airitibooks.com/Detail/Detail?PublicationID=P20180413092</v>
      </c>
      <c r="K2333" s="13" t="str">
        <f>HYPERLINK("https://ntsu.idm.oclc.org/login?url=https://www.airitibooks.com/Detail/Detail?PublicationID=P20180413092", "https://ntsu.idm.oclc.org/login?url=https://www.airitibooks.com/Detail/Detail?PublicationID=P20180413092")</f>
        <v>https://ntsu.idm.oclc.org/login?url=https://www.airitibooks.com/Detail/Detail?PublicationID=P20180413092</v>
      </c>
    </row>
    <row r="2334" spans="1:11" ht="51" x14ac:dyDescent="0.4">
      <c r="A2334" s="10" t="s">
        <v>8999</v>
      </c>
      <c r="B2334" s="10" t="s">
        <v>9000</v>
      </c>
      <c r="C2334" s="10" t="s">
        <v>428</v>
      </c>
      <c r="D2334" s="10" t="s">
        <v>9001</v>
      </c>
      <c r="E2334" s="10" t="s">
        <v>6182</v>
      </c>
      <c r="F2334" s="10" t="s">
        <v>138</v>
      </c>
      <c r="G2334" s="10" t="s">
        <v>87</v>
      </c>
      <c r="H2334" s="7" t="s">
        <v>24</v>
      </c>
      <c r="I2334" s="7" t="s">
        <v>25</v>
      </c>
      <c r="J2334" s="13" t="str">
        <f>HYPERLINK("https://www.airitibooks.com/Detail/Detail?PublicationID=P20180413093", "https://www.airitibooks.com/Detail/Detail?PublicationID=P20180413093")</f>
        <v>https://www.airitibooks.com/Detail/Detail?PublicationID=P20180413093</v>
      </c>
      <c r="K2334" s="13" t="str">
        <f>HYPERLINK("https://ntsu.idm.oclc.org/login?url=https://www.airitibooks.com/Detail/Detail?PublicationID=P20180413093", "https://ntsu.idm.oclc.org/login?url=https://www.airitibooks.com/Detail/Detail?PublicationID=P20180413093")</f>
        <v>https://ntsu.idm.oclc.org/login?url=https://www.airitibooks.com/Detail/Detail?PublicationID=P20180413093</v>
      </c>
    </row>
    <row r="2335" spans="1:11" ht="51" x14ac:dyDescent="0.4">
      <c r="A2335" s="10" t="s">
        <v>9106</v>
      </c>
      <c r="B2335" s="10" t="s">
        <v>9107</v>
      </c>
      <c r="C2335" s="10" t="s">
        <v>627</v>
      </c>
      <c r="D2335" s="10" t="s">
        <v>9108</v>
      </c>
      <c r="E2335" s="10" t="s">
        <v>6182</v>
      </c>
      <c r="F2335" s="10" t="s">
        <v>633</v>
      </c>
      <c r="G2335" s="10" t="s">
        <v>87</v>
      </c>
      <c r="H2335" s="7" t="s">
        <v>24</v>
      </c>
      <c r="I2335" s="7" t="s">
        <v>25</v>
      </c>
      <c r="J2335" s="13" t="str">
        <f>HYPERLINK("https://www.airitibooks.com/Detail/Detail?PublicationID=P20180427025", "https://www.airitibooks.com/Detail/Detail?PublicationID=P20180427025")</f>
        <v>https://www.airitibooks.com/Detail/Detail?PublicationID=P20180427025</v>
      </c>
      <c r="K2335" s="13" t="str">
        <f>HYPERLINK("https://ntsu.idm.oclc.org/login?url=https://www.airitibooks.com/Detail/Detail?PublicationID=P20180427025", "https://ntsu.idm.oclc.org/login?url=https://www.airitibooks.com/Detail/Detail?PublicationID=P20180427025")</f>
        <v>https://ntsu.idm.oclc.org/login?url=https://www.airitibooks.com/Detail/Detail?PublicationID=P20180427025</v>
      </c>
    </row>
    <row r="2336" spans="1:11" ht="51" x14ac:dyDescent="0.4">
      <c r="A2336" s="10" t="s">
        <v>9109</v>
      </c>
      <c r="B2336" s="10" t="s">
        <v>9110</v>
      </c>
      <c r="C2336" s="10" t="s">
        <v>627</v>
      </c>
      <c r="D2336" s="10" t="s">
        <v>9108</v>
      </c>
      <c r="E2336" s="10" t="s">
        <v>6182</v>
      </c>
      <c r="F2336" s="10" t="s">
        <v>633</v>
      </c>
      <c r="G2336" s="10" t="s">
        <v>87</v>
      </c>
      <c r="H2336" s="7" t="s">
        <v>24</v>
      </c>
      <c r="I2336" s="7" t="s">
        <v>25</v>
      </c>
      <c r="J2336" s="13" t="str">
        <f>HYPERLINK("https://www.airitibooks.com/Detail/Detail?PublicationID=P20180427027", "https://www.airitibooks.com/Detail/Detail?PublicationID=P20180427027")</f>
        <v>https://www.airitibooks.com/Detail/Detail?PublicationID=P20180427027</v>
      </c>
      <c r="K2336" s="13" t="str">
        <f>HYPERLINK("https://ntsu.idm.oclc.org/login?url=https://www.airitibooks.com/Detail/Detail?PublicationID=P20180427027", "https://ntsu.idm.oclc.org/login?url=https://www.airitibooks.com/Detail/Detail?PublicationID=P20180427027")</f>
        <v>https://ntsu.idm.oclc.org/login?url=https://www.airitibooks.com/Detail/Detail?PublicationID=P20180427027</v>
      </c>
    </row>
    <row r="2337" spans="1:11" ht="51" x14ac:dyDescent="0.4">
      <c r="A2337" s="10" t="s">
        <v>9111</v>
      </c>
      <c r="B2337" s="10" t="s">
        <v>9112</v>
      </c>
      <c r="C2337" s="10" t="s">
        <v>627</v>
      </c>
      <c r="D2337" s="10" t="s">
        <v>9113</v>
      </c>
      <c r="E2337" s="10" t="s">
        <v>6182</v>
      </c>
      <c r="F2337" s="10" t="s">
        <v>144</v>
      </c>
      <c r="G2337" s="10" t="s">
        <v>87</v>
      </c>
      <c r="H2337" s="7" t="s">
        <v>24</v>
      </c>
      <c r="I2337" s="7" t="s">
        <v>25</v>
      </c>
      <c r="J2337" s="13" t="str">
        <f>HYPERLINK("https://www.airitibooks.com/Detail/Detail?PublicationID=P20180427028", "https://www.airitibooks.com/Detail/Detail?PublicationID=P20180427028")</f>
        <v>https://www.airitibooks.com/Detail/Detail?PublicationID=P20180427028</v>
      </c>
      <c r="K2337" s="13" t="str">
        <f>HYPERLINK("https://ntsu.idm.oclc.org/login?url=https://www.airitibooks.com/Detail/Detail?PublicationID=P20180427028", "https://ntsu.idm.oclc.org/login?url=https://www.airitibooks.com/Detail/Detail?PublicationID=P20180427028")</f>
        <v>https://ntsu.idm.oclc.org/login?url=https://www.airitibooks.com/Detail/Detail?PublicationID=P20180427028</v>
      </c>
    </row>
    <row r="2338" spans="1:11" ht="51" x14ac:dyDescent="0.4">
      <c r="A2338" s="10" t="s">
        <v>9114</v>
      </c>
      <c r="B2338" s="10" t="s">
        <v>9115</v>
      </c>
      <c r="C2338" s="10" t="s">
        <v>627</v>
      </c>
      <c r="D2338" s="10" t="s">
        <v>9116</v>
      </c>
      <c r="E2338" s="10" t="s">
        <v>6182</v>
      </c>
      <c r="F2338" s="10" t="s">
        <v>633</v>
      </c>
      <c r="G2338" s="10" t="s">
        <v>87</v>
      </c>
      <c r="H2338" s="7" t="s">
        <v>24</v>
      </c>
      <c r="I2338" s="7" t="s">
        <v>25</v>
      </c>
      <c r="J2338" s="13" t="str">
        <f>HYPERLINK("https://www.airitibooks.com/Detail/Detail?PublicationID=P20180427040", "https://www.airitibooks.com/Detail/Detail?PublicationID=P20180427040")</f>
        <v>https://www.airitibooks.com/Detail/Detail?PublicationID=P20180427040</v>
      </c>
      <c r="K2338" s="13" t="str">
        <f>HYPERLINK("https://ntsu.idm.oclc.org/login?url=https://www.airitibooks.com/Detail/Detail?PublicationID=P20180427040", "https://ntsu.idm.oclc.org/login?url=https://www.airitibooks.com/Detail/Detail?PublicationID=P20180427040")</f>
        <v>https://ntsu.idm.oclc.org/login?url=https://www.airitibooks.com/Detail/Detail?PublicationID=P20180427040</v>
      </c>
    </row>
    <row r="2339" spans="1:11" ht="68" x14ac:dyDescent="0.4">
      <c r="A2339" s="10" t="s">
        <v>9245</v>
      </c>
      <c r="B2339" s="10" t="s">
        <v>9246</v>
      </c>
      <c r="C2339" s="10" t="s">
        <v>2616</v>
      </c>
      <c r="D2339" s="10" t="s">
        <v>9247</v>
      </c>
      <c r="E2339" s="10" t="s">
        <v>6182</v>
      </c>
      <c r="F2339" s="10" t="s">
        <v>475</v>
      </c>
      <c r="G2339" s="10" t="s">
        <v>87</v>
      </c>
      <c r="H2339" s="7" t="s">
        <v>24</v>
      </c>
      <c r="I2339" s="7" t="s">
        <v>25</v>
      </c>
      <c r="J2339" s="13" t="str">
        <f>HYPERLINK("https://www.airitibooks.com/Detail/Detail?PublicationID=P20180518027", "https://www.airitibooks.com/Detail/Detail?PublicationID=P20180518027")</f>
        <v>https://www.airitibooks.com/Detail/Detail?PublicationID=P20180518027</v>
      </c>
      <c r="K2339" s="13" t="str">
        <f>HYPERLINK("https://ntsu.idm.oclc.org/login?url=https://www.airitibooks.com/Detail/Detail?PublicationID=P20180518027", "https://ntsu.idm.oclc.org/login?url=https://www.airitibooks.com/Detail/Detail?PublicationID=P20180518027")</f>
        <v>https://ntsu.idm.oclc.org/login?url=https://www.airitibooks.com/Detail/Detail?PublicationID=P20180518027</v>
      </c>
    </row>
    <row r="2340" spans="1:11" ht="170" x14ac:dyDescent="0.4">
      <c r="A2340" s="10" t="s">
        <v>9276</v>
      </c>
      <c r="B2340" s="10" t="s">
        <v>9277</v>
      </c>
      <c r="C2340" s="10" t="s">
        <v>791</v>
      </c>
      <c r="D2340" s="10" t="s">
        <v>9278</v>
      </c>
      <c r="E2340" s="10" t="s">
        <v>6182</v>
      </c>
      <c r="F2340" s="10" t="s">
        <v>2063</v>
      </c>
      <c r="G2340" s="10" t="s">
        <v>87</v>
      </c>
      <c r="H2340" s="7" t="s">
        <v>24</v>
      </c>
      <c r="I2340" s="7" t="s">
        <v>25</v>
      </c>
      <c r="J2340" s="13" t="str">
        <f>HYPERLINK("https://www.airitibooks.com/Detail/Detail?PublicationID=P20180525026", "https://www.airitibooks.com/Detail/Detail?PublicationID=P20180525026")</f>
        <v>https://www.airitibooks.com/Detail/Detail?PublicationID=P20180525026</v>
      </c>
      <c r="K2340" s="13" t="str">
        <f>HYPERLINK("https://ntsu.idm.oclc.org/login?url=https://www.airitibooks.com/Detail/Detail?PublicationID=P20180525026", "https://ntsu.idm.oclc.org/login?url=https://www.airitibooks.com/Detail/Detail?PublicationID=P20180525026")</f>
        <v>https://ntsu.idm.oclc.org/login?url=https://www.airitibooks.com/Detail/Detail?PublicationID=P20180525026</v>
      </c>
    </row>
    <row r="2341" spans="1:11" ht="51" x14ac:dyDescent="0.4">
      <c r="A2341" s="10" t="s">
        <v>9706</v>
      </c>
      <c r="B2341" s="10" t="s">
        <v>9707</v>
      </c>
      <c r="C2341" s="10" t="s">
        <v>467</v>
      </c>
      <c r="D2341" s="10" t="s">
        <v>9708</v>
      </c>
      <c r="E2341" s="10" t="s">
        <v>6182</v>
      </c>
      <c r="F2341" s="10" t="s">
        <v>9709</v>
      </c>
      <c r="G2341" s="10" t="s">
        <v>87</v>
      </c>
      <c r="H2341" s="7" t="s">
        <v>24</v>
      </c>
      <c r="I2341" s="7" t="s">
        <v>25</v>
      </c>
      <c r="J2341" s="13" t="str">
        <f>HYPERLINK("https://www.airitibooks.com/Detail/Detail?PublicationID=P20180817011", "https://www.airitibooks.com/Detail/Detail?PublicationID=P20180817011")</f>
        <v>https://www.airitibooks.com/Detail/Detail?PublicationID=P20180817011</v>
      </c>
      <c r="K2341" s="13" t="str">
        <f>HYPERLINK("https://ntsu.idm.oclc.org/login?url=https://www.airitibooks.com/Detail/Detail?PublicationID=P20180817011", "https://ntsu.idm.oclc.org/login?url=https://www.airitibooks.com/Detail/Detail?PublicationID=P20180817011")</f>
        <v>https://ntsu.idm.oclc.org/login?url=https://www.airitibooks.com/Detail/Detail?PublicationID=P20180817011</v>
      </c>
    </row>
    <row r="2342" spans="1:11" ht="51" x14ac:dyDescent="0.4">
      <c r="A2342" s="10" t="s">
        <v>9755</v>
      </c>
      <c r="B2342" s="10" t="s">
        <v>9756</v>
      </c>
      <c r="C2342" s="10" t="s">
        <v>1296</v>
      </c>
      <c r="D2342" s="10" t="s">
        <v>9757</v>
      </c>
      <c r="E2342" s="10" t="s">
        <v>6182</v>
      </c>
      <c r="F2342" s="10" t="s">
        <v>144</v>
      </c>
      <c r="G2342" s="10" t="s">
        <v>87</v>
      </c>
      <c r="H2342" s="7" t="s">
        <v>24</v>
      </c>
      <c r="I2342" s="7" t="s">
        <v>25</v>
      </c>
      <c r="J2342" s="13" t="str">
        <f>HYPERLINK("https://www.airitibooks.com/Detail/Detail?PublicationID=P20180828012", "https://www.airitibooks.com/Detail/Detail?PublicationID=P20180828012")</f>
        <v>https://www.airitibooks.com/Detail/Detail?PublicationID=P20180828012</v>
      </c>
      <c r="K2342" s="13" t="str">
        <f>HYPERLINK("https://ntsu.idm.oclc.org/login?url=https://www.airitibooks.com/Detail/Detail?PublicationID=P20180828012", "https://ntsu.idm.oclc.org/login?url=https://www.airitibooks.com/Detail/Detail?PublicationID=P20180828012")</f>
        <v>https://ntsu.idm.oclc.org/login?url=https://www.airitibooks.com/Detail/Detail?PublicationID=P20180828012</v>
      </c>
    </row>
    <row r="2343" spans="1:11" ht="51" x14ac:dyDescent="0.4">
      <c r="A2343" s="10" t="s">
        <v>10158</v>
      </c>
      <c r="B2343" s="10" t="s">
        <v>10159</v>
      </c>
      <c r="C2343" s="10" t="s">
        <v>10156</v>
      </c>
      <c r="D2343" s="10" t="s">
        <v>10160</v>
      </c>
      <c r="E2343" s="10" t="s">
        <v>6182</v>
      </c>
      <c r="F2343" s="10" t="s">
        <v>5517</v>
      </c>
      <c r="G2343" s="10" t="s">
        <v>87</v>
      </c>
      <c r="H2343" s="7" t="s">
        <v>24</v>
      </c>
      <c r="I2343" s="7" t="s">
        <v>25</v>
      </c>
      <c r="J2343" s="13" t="str">
        <f>HYPERLINK("https://www.airitibooks.com/Detail/Detail?PublicationID=P20181123013", "https://www.airitibooks.com/Detail/Detail?PublicationID=P20181123013")</f>
        <v>https://www.airitibooks.com/Detail/Detail?PublicationID=P20181123013</v>
      </c>
      <c r="K2343" s="13" t="str">
        <f>HYPERLINK("https://ntsu.idm.oclc.org/login?url=https://www.airitibooks.com/Detail/Detail?PublicationID=P20181123013", "https://ntsu.idm.oclc.org/login?url=https://www.airitibooks.com/Detail/Detail?PublicationID=P20181123013")</f>
        <v>https://ntsu.idm.oclc.org/login?url=https://www.airitibooks.com/Detail/Detail?PublicationID=P20181123013</v>
      </c>
    </row>
    <row r="2344" spans="1:11" ht="51" x14ac:dyDescent="0.4">
      <c r="A2344" s="10" t="s">
        <v>10161</v>
      </c>
      <c r="B2344" s="10" t="s">
        <v>10162</v>
      </c>
      <c r="C2344" s="10" t="s">
        <v>10156</v>
      </c>
      <c r="D2344" s="10" t="s">
        <v>10160</v>
      </c>
      <c r="E2344" s="10" t="s">
        <v>6182</v>
      </c>
      <c r="F2344" s="10" t="s">
        <v>5517</v>
      </c>
      <c r="G2344" s="10" t="s">
        <v>87</v>
      </c>
      <c r="H2344" s="7" t="s">
        <v>24</v>
      </c>
      <c r="I2344" s="7" t="s">
        <v>25</v>
      </c>
      <c r="J2344" s="13" t="str">
        <f>HYPERLINK("https://www.airitibooks.com/Detail/Detail?PublicationID=P20181123014", "https://www.airitibooks.com/Detail/Detail?PublicationID=P20181123014")</f>
        <v>https://www.airitibooks.com/Detail/Detail?PublicationID=P20181123014</v>
      </c>
      <c r="K2344" s="13" t="str">
        <f>HYPERLINK("https://ntsu.idm.oclc.org/login?url=https://www.airitibooks.com/Detail/Detail?PublicationID=P20181123014", "https://ntsu.idm.oclc.org/login?url=https://www.airitibooks.com/Detail/Detail?PublicationID=P20181123014")</f>
        <v>https://ntsu.idm.oclc.org/login?url=https://www.airitibooks.com/Detail/Detail?PublicationID=P20181123014</v>
      </c>
    </row>
    <row r="2345" spans="1:11" ht="51" x14ac:dyDescent="0.4">
      <c r="A2345" s="10" t="s">
        <v>10218</v>
      </c>
      <c r="B2345" s="10" t="s">
        <v>10219</v>
      </c>
      <c r="C2345" s="10" t="s">
        <v>10220</v>
      </c>
      <c r="D2345" s="10" t="s">
        <v>10221</v>
      </c>
      <c r="E2345" s="10" t="s">
        <v>6182</v>
      </c>
      <c r="F2345" s="10" t="s">
        <v>138</v>
      </c>
      <c r="G2345" s="10" t="s">
        <v>87</v>
      </c>
      <c r="H2345" s="7" t="s">
        <v>24</v>
      </c>
      <c r="I2345" s="7" t="s">
        <v>25</v>
      </c>
      <c r="J2345" s="13" t="str">
        <f>HYPERLINK("https://www.airitibooks.com/Detail/Detail?PublicationID=P20181130030", "https://www.airitibooks.com/Detail/Detail?PublicationID=P20181130030")</f>
        <v>https://www.airitibooks.com/Detail/Detail?PublicationID=P20181130030</v>
      </c>
      <c r="K2345" s="13" t="str">
        <f>HYPERLINK("https://ntsu.idm.oclc.org/login?url=https://www.airitibooks.com/Detail/Detail?PublicationID=P20181130030", "https://ntsu.idm.oclc.org/login?url=https://www.airitibooks.com/Detail/Detail?PublicationID=P20181130030")</f>
        <v>https://ntsu.idm.oclc.org/login?url=https://www.airitibooks.com/Detail/Detail?PublicationID=P20181130030</v>
      </c>
    </row>
    <row r="2346" spans="1:11" ht="85" x14ac:dyDescent="0.4">
      <c r="A2346" s="10" t="s">
        <v>10806</v>
      </c>
      <c r="B2346" s="10" t="s">
        <v>10807</v>
      </c>
      <c r="C2346" s="10" t="s">
        <v>277</v>
      </c>
      <c r="D2346" s="10" t="s">
        <v>10808</v>
      </c>
      <c r="E2346" s="10" t="s">
        <v>6182</v>
      </c>
      <c r="F2346" s="10" t="s">
        <v>10809</v>
      </c>
      <c r="G2346" s="10" t="s">
        <v>87</v>
      </c>
      <c r="H2346" s="7" t="s">
        <v>24</v>
      </c>
      <c r="I2346" s="7" t="s">
        <v>25</v>
      </c>
      <c r="J2346" s="13" t="str">
        <f>HYPERLINK("https://www.airitibooks.com/Detail/Detail?PublicationID=P20190220030", "https://www.airitibooks.com/Detail/Detail?PublicationID=P20190220030")</f>
        <v>https://www.airitibooks.com/Detail/Detail?PublicationID=P20190220030</v>
      </c>
      <c r="K2346" s="13" t="str">
        <f>HYPERLINK("https://ntsu.idm.oclc.org/login?url=https://www.airitibooks.com/Detail/Detail?PublicationID=P20190220030", "https://ntsu.idm.oclc.org/login?url=https://www.airitibooks.com/Detail/Detail?PublicationID=P20190220030")</f>
        <v>https://ntsu.idm.oclc.org/login?url=https://www.airitibooks.com/Detail/Detail?PublicationID=P20190220030</v>
      </c>
    </row>
    <row r="2347" spans="1:11" ht="51" x14ac:dyDescent="0.4">
      <c r="A2347" s="10" t="s">
        <v>11001</v>
      </c>
      <c r="B2347" s="10" t="s">
        <v>11002</v>
      </c>
      <c r="C2347" s="10" t="s">
        <v>10921</v>
      </c>
      <c r="D2347" s="10" t="s">
        <v>11003</v>
      </c>
      <c r="E2347" s="10" t="s">
        <v>6182</v>
      </c>
      <c r="F2347" s="10" t="s">
        <v>11004</v>
      </c>
      <c r="G2347" s="10" t="s">
        <v>87</v>
      </c>
      <c r="H2347" s="7" t="s">
        <v>24</v>
      </c>
      <c r="I2347" s="7" t="s">
        <v>25</v>
      </c>
      <c r="J2347" s="13" t="str">
        <f>HYPERLINK("https://www.airitibooks.com/Detail/Detail?PublicationID=P20190329110", "https://www.airitibooks.com/Detail/Detail?PublicationID=P20190329110")</f>
        <v>https://www.airitibooks.com/Detail/Detail?PublicationID=P20190329110</v>
      </c>
      <c r="K2347" s="13" t="str">
        <f>HYPERLINK("https://ntsu.idm.oclc.org/login?url=https://www.airitibooks.com/Detail/Detail?PublicationID=P20190329110", "https://ntsu.idm.oclc.org/login?url=https://www.airitibooks.com/Detail/Detail?PublicationID=P20190329110")</f>
        <v>https://ntsu.idm.oclc.org/login?url=https://www.airitibooks.com/Detail/Detail?PublicationID=P20190329110</v>
      </c>
    </row>
    <row r="2348" spans="1:11" ht="51" x14ac:dyDescent="0.4">
      <c r="A2348" s="10" t="s">
        <v>11147</v>
      </c>
      <c r="B2348" s="10" t="s">
        <v>11148</v>
      </c>
      <c r="C2348" s="10" t="s">
        <v>467</v>
      </c>
      <c r="D2348" s="10" t="s">
        <v>11149</v>
      </c>
      <c r="E2348" s="10" t="s">
        <v>6182</v>
      </c>
      <c r="F2348" s="10" t="s">
        <v>1892</v>
      </c>
      <c r="G2348" s="10" t="s">
        <v>87</v>
      </c>
      <c r="H2348" s="7" t="s">
        <v>24</v>
      </c>
      <c r="I2348" s="7" t="s">
        <v>25</v>
      </c>
      <c r="J2348" s="13" t="str">
        <f>HYPERLINK("https://www.airitibooks.com/Detail/Detail?PublicationID=P20190425009", "https://www.airitibooks.com/Detail/Detail?PublicationID=P20190425009")</f>
        <v>https://www.airitibooks.com/Detail/Detail?PublicationID=P20190425009</v>
      </c>
      <c r="K2348" s="13" t="str">
        <f>HYPERLINK("https://ntsu.idm.oclc.org/login?url=https://www.airitibooks.com/Detail/Detail?PublicationID=P20190425009", "https://ntsu.idm.oclc.org/login?url=https://www.airitibooks.com/Detail/Detail?PublicationID=P20190425009")</f>
        <v>https://ntsu.idm.oclc.org/login?url=https://www.airitibooks.com/Detail/Detail?PublicationID=P20190425009</v>
      </c>
    </row>
    <row r="2349" spans="1:11" ht="68" x14ac:dyDescent="0.4">
      <c r="A2349" s="10" t="s">
        <v>11565</v>
      </c>
      <c r="B2349" s="10" t="s">
        <v>11566</v>
      </c>
      <c r="C2349" s="10" t="s">
        <v>4873</v>
      </c>
      <c r="D2349" s="10" t="s">
        <v>11567</v>
      </c>
      <c r="E2349" s="10" t="s">
        <v>6182</v>
      </c>
      <c r="F2349" s="10" t="s">
        <v>2063</v>
      </c>
      <c r="G2349" s="10" t="s">
        <v>87</v>
      </c>
      <c r="H2349" s="7" t="s">
        <v>24</v>
      </c>
      <c r="I2349" s="7" t="s">
        <v>25</v>
      </c>
      <c r="J2349" s="13" t="str">
        <f>HYPERLINK("https://www.airitibooks.com/Detail/Detail?PublicationID=P20190531020", "https://www.airitibooks.com/Detail/Detail?PublicationID=P20190531020")</f>
        <v>https://www.airitibooks.com/Detail/Detail?PublicationID=P20190531020</v>
      </c>
      <c r="K2349" s="13" t="str">
        <f>HYPERLINK("https://ntsu.idm.oclc.org/login?url=https://www.airitibooks.com/Detail/Detail?PublicationID=P20190531020", "https://ntsu.idm.oclc.org/login?url=https://www.airitibooks.com/Detail/Detail?PublicationID=P20190531020")</f>
        <v>https://ntsu.idm.oclc.org/login?url=https://www.airitibooks.com/Detail/Detail?PublicationID=P20190531020</v>
      </c>
    </row>
    <row r="2350" spans="1:11" ht="85" x14ac:dyDescent="0.4">
      <c r="A2350" s="10" t="s">
        <v>11568</v>
      </c>
      <c r="B2350" s="10" t="s">
        <v>11569</v>
      </c>
      <c r="C2350" s="10" t="s">
        <v>197</v>
      </c>
      <c r="D2350" s="10" t="s">
        <v>11570</v>
      </c>
      <c r="E2350" s="10" t="s">
        <v>6182</v>
      </c>
      <c r="F2350" s="10" t="s">
        <v>11571</v>
      </c>
      <c r="G2350" s="10" t="s">
        <v>87</v>
      </c>
      <c r="H2350" s="7" t="s">
        <v>24</v>
      </c>
      <c r="I2350" s="7" t="s">
        <v>25</v>
      </c>
      <c r="J2350" s="13" t="str">
        <f>HYPERLINK("https://www.airitibooks.com/Detail/Detail?PublicationID=P20190531024", "https://www.airitibooks.com/Detail/Detail?PublicationID=P20190531024")</f>
        <v>https://www.airitibooks.com/Detail/Detail?PublicationID=P20190531024</v>
      </c>
      <c r="K2350" s="13" t="str">
        <f>HYPERLINK("https://ntsu.idm.oclc.org/login?url=https://www.airitibooks.com/Detail/Detail?PublicationID=P20190531024", "https://ntsu.idm.oclc.org/login?url=https://www.airitibooks.com/Detail/Detail?PublicationID=P20190531024")</f>
        <v>https://ntsu.idm.oclc.org/login?url=https://www.airitibooks.com/Detail/Detail?PublicationID=P20190531024</v>
      </c>
    </row>
    <row r="2351" spans="1:11" ht="68" x14ac:dyDescent="0.4">
      <c r="A2351" s="10" t="s">
        <v>11599</v>
      </c>
      <c r="B2351" s="10" t="s">
        <v>11600</v>
      </c>
      <c r="C2351" s="10" t="s">
        <v>746</v>
      </c>
      <c r="D2351" s="10" t="s">
        <v>11601</v>
      </c>
      <c r="E2351" s="10" t="s">
        <v>6182</v>
      </c>
      <c r="F2351" s="10" t="s">
        <v>144</v>
      </c>
      <c r="G2351" s="10" t="s">
        <v>87</v>
      </c>
      <c r="H2351" s="7" t="s">
        <v>24</v>
      </c>
      <c r="I2351" s="7" t="s">
        <v>25</v>
      </c>
      <c r="J2351" s="13" t="str">
        <f>HYPERLINK("https://www.airitibooks.com/Detail/Detail?PublicationID=P20190531140", "https://www.airitibooks.com/Detail/Detail?PublicationID=P20190531140")</f>
        <v>https://www.airitibooks.com/Detail/Detail?PublicationID=P20190531140</v>
      </c>
      <c r="K2351" s="13" t="str">
        <f>HYPERLINK("https://ntsu.idm.oclc.org/login?url=https://www.airitibooks.com/Detail/Detail?PublicationID=P20190531140", "https://ntsu.idm.oclc.org/login?url=https://www.airitibooks.com/Detail/Detail?PublicationID=P20190531140")</f>
        <v>https://ntsu.idm.oclc.org/login?url=https://www.airitibooks.com/Detail/Detail?PublicationID=P20190531140</v>
      </c>
    </row>
    <row r="2352" spans="1:11" ht="51" x14ac:dyDescent="0.4">
      <c r="A2352" s="10" t="s">
        <v>11611</v>
      </c>
      <c r="B2352" s="10" t="s">
        <v>11612</v>
      </c>
      <c r="C2352" s="10" t="s">
        <v>147</v>
      </c>
      <c r="D2352" s="10" t="s">
        <v>11613</v>
      </c>
      <c r="E2352" s="10" t="s">
        <v>6182</v>
      </c>
      <c r="F2352" s="10" t="s">
        <v>144</v>
      </c>
      <c r="G2352" s="10" t="s">
        <v>87</v>
      </c>
      <c r="H2352" s="7" t="s">
        <v>24</v>
      </c>
      <c r="I2352" s="7" t="s">
        <v>25</v>
      </c>
      <c r="J2352" s="13" t="str">
        <f>HYPERLINK("https://www.airitibooks.com/Detail/Detail?PublicationID=P20190606045", "https://www.airitibooks.com/Detail/Detail?PublicationID=P20190606045")</f>
        <v>https://www.airitibooks.com/Detail/Detail?PublicationID=P20190606045</v>
      </c>
      <c r="K2352" s="13" t="str">
        <f>HYPERLINK("https://ntsu.idm.oclc.org/login?url=https://www.airitibooks.com/Detail/Detail?PublicationID=P20190606045", "https://ntsu.idm.oclc.org/login?url=https://www.airitibooks.com/Detail/Detail?PublicationID=P20190606045")</f>
        <v>https://ntsu.idm.oclc.org/login?url=https://www.airitibooks.com/Detail/Detail?PublicationID=P20190606045</v>
      </c>
    </row>
    <row r="2353" spans="1:11" ht="51" x14ac:dyDescent="0.4">
      <c r="A2353" s="10" t="s">
        <v>11614</v>
      </c>
      <c r="B2353" s="10" t="s">
        <v>11615</v>
      </c>
      <c r="C2353" s="10" t="s">
        <v>428</v>
      </c>
      <c r="D2353" s="10" t="s">
        <v>11616</v>
      </c>
      <c r="E2353" s="10" t="s">
        <v>6182</v>
      </c>
      <c r="F2353" s="10" t="s">
        <v>138</v>
      </c>
      <c r="G2353" s="10" t="s">
        <v>87</v>
      </c>
      <c r="H2353" s="7" t="s">
        <v>24</v>
      </c>
      <c r="I2353" s="7" t="s">
        <v>25</v>
      </c>
      <c r="J2353" s="13" t="str">
        <f>HYPERLINK("https://www.airitibooks.com/Detail/Detail?PublicationID=P20190606058", "https://www.airitibooks.com/Detail/Detail?PublicationID=P20190606058")</f>
        <v>https://www.airitibooks.com/Detail/Detail?PublicationID=P20190606058</v>
      </c>
      <c r="K2353" s="13" t="str">
        <f>HYPERLINK("https://ntsu.idm.oclc.org/login?url=https://www.airitibooks.com/Detail/Detail?PublicationID=P20190606058", "https://ntsu.idm.oclc.org/login?url=https://www.airitibooks.com/Detail/Detail?PublicationID=P20190606058")</f>
        <v>https://ntsu.idm.oclc.org/login?url=https://www.airitibooks.com/Detail/Detail?PublicationID=P20190606058</v>
      </c>
    </row>
    <row r="2354" spans="1:11" ht="51" x14ac:dyDescent="0.4">
      <c r="A2354" s="10" t="s">
        <v>12508</v>
      </c>
      <c r="B2354" s="10" t="s">
        <v>12509</v>
      </c>
      <c r="C2354" s="10" t="s">
        <v>12510</v>
      </c>
      <c r="D2354" s="10" t="s">
        <v>12511</v>
      </c>
      <c r="E2354" s="10" t="s">
        <v>6182</v>
      </c>
      <c r="F2354" s="10" t="s">
        <v>7200</v>
      </c>
      <c r="G2354" s="10" t="s">
        <v>87</v>
      </c>
      <c r="H2354" s="7" t="s">
        <v>1031</v>
      </c>
      <c r="I2354" s="7" t="s">
        <v>25</v>
      </c>
      <c r="J2354" s="13" t="str">
        <f>HYPERLINK("https://www.airitibooks.com/Detail/Detail?PublicationID=P20191005150", "https://www.airitibooks.com/Detail/Detail?PublicationID=P20191005150")</f>
        <v>https://www.airitibooks.com/Detail/Detail?PublicationID=P20191005150</v>
      </c>
      <c r="K2354" s="13" t="str">
        <f>HYPERLINK("https://ntsu.idm.oclc.org/login?url=https://www.airitibooks.com/Detail/Detail?PublicationID=P20191005150", "https://ntsu.idm.oclc.org/login?url=https://www.airitibooks.com/Detail/Detail?PublicationID=P20191005150")</f>
        <v>https://ntsu.idm.oclc.org/login?url=https://www.airitibooks.com/Detail/Detail?PublicationID=P20191005150</v>
      </c>
    </row>
    <row r="2355" spans="1:11" ht="51" x14ac:dyDescent="0.4">
      <c r="A2355" s="10" t="s">
        <v>12589</v>
      </c>
      <c r="B2355" s="10" t="s">
        <v>12590</v>
      </c>
      <c r="C2355" s="10" t="s">
        <v>12510</v>
      </c>
      <c r="D2355" s="10" t="s">
        <v>12591</v>
      </c>
      <c r="E2355" s="10" t="s">
        <v>6182</v>
      </c>
      <c r="F2355" s="10" t="s">
        <v>12592</v>
      </c>
      <c r="G2355" s="10" t="s">
        <v>87</v>
      </c>
      <c r="H2355" s="7" t="s">
        <v>1467</v>
      </c>
      <c r="I2355" s="7" t="s">
        <v>25</v>
      </c>
      <c r="J2355" s="13" t="str">
        <f>HYPERLINK("https://www.airitibooks.com/Detail/Detail?PublicationID=P20191009158", "https://www.airitibooks.com/Detail/Detail?PublicationID=P20191009158")</f>
        <v>https://www.airitibooks.com/Detail/Detail?PublicationID=P20191009158</v>
      </c>
      <c r="K2355" s="13" t="str">
        <f>HYPERLINK("https://ntsu.idm.oclc.org/login?url=https://www.airitibooks.com/Detail/Detail?PublicationID=P20191009158", "https://ntsu.idm.oclc.org/login?url=https://www.airitibooks.com/Detail/Detail?PublicationID=P20191009158")</f>
        <v>https://ntsu.idm.oclc.org/login?url=https://www.airitibooks.com/Detail/Detail?PublicationID=P20191009158</v>
      </c>
    </row>
    <row r="2356" spans="1:11" ht="51" x14ac:dyDescent="0.4">
      <c r="A2356" s="10" t="s">
        <v>14263</v>
      </c>
      <c r="B2356" s="10" t="s">
        <v>14264</v>
      </c>
      <c r="C2356" s="10" t="s">
        <v>627</v>
      </c>
      <c r="D2356" s="10" t="s">
        <v>1237</v>
      </c>
      <c r="E2356" s="10" t="s">
        <v>6182</v>
      </c>
      <c r="F2356" s="10" t="s">
        <v>399</v>
      </c>
      <c r="G2356" s="10" t="s">
        <v>87</v>
      </c>
      <c r="H2356" s="7" t="s">
        <v>24</v>
      </c>
      <c r="I2356" s="7" t="s">
        <v>25</v>
      </c>
      <c r="J2356" s="13" t="str">
        <f>HYPERLINK("https://www.airitibooks.com/Detail/Detail?PublicationID=P20200528129", "https://www.airitibooks.com/Detail/Detail?PublicationID=P20200528129")</f>
        <v>https://www.airitibooks.com/Detail/Detail?PublicationID=P20200528129</v>
      </c>
      <c r="K2356" s="13" t="str">
        <f>HYPERLINK("https://ntsu.idm.oclc.org/login?url=https://www.airitibooks.com/Detail/Detail?PublicationID=P20200528129", "https://ntsu.idm.oclc.org/login?url=https://www.airitibooks.com/Detail/Detail?PublicationID=P20200528129")</f>
        <v>https://ntsu.idm.oclc.org/login?url=https://www.airitibooks.com/Detail/Detail?PublicationID=P20200528129</v>
      </c>
    </row>
    <row r="2357" spans="1:11" ht="51" x14ac:dyDescent="0.4">
      <c r="A2357" s="10" t="s">
        <v>6227</v>
      </c>
      <c r="B2357" s="10" t="s">
        <v>6228</v>
      </c>
      <c r="C2357" s="10" t="s">
        <v>6229</v>
      </c>
      <c r="D2357" s="10" t="s">
        <v>6230</v>
      </c>
      <c r="E2357" s="10" t="s">
        <v>6182</v>
      </c>
      <c r="F2357" s="10" t="s">
        <v>4993</v>
      </c>
      <c r="G2357" s="10" t="s">
        <v>23</v>
      </c>
      <c r="H2357" s="7" t="s">
        <v>24</v>
      </c>
      <c r="I2357" s="7" t="s">
        <v>25</v>
      </c>
      <c r="J2357" s="13" t="str">
        <f>HYPERLINK("https://www.airitibooks.com/Detail/Detail?PublicationID=P20170227006", "https://www.airitibooks.com/Detail/Detail?PublicationID=P20170227006")</f>
        <v>https://www.airitibooks.com/Detail/Detail?PublicationID=P20170227006</v>
      </c>
      <c r="K2357" s="13" t="str">
        <f>HYPERLINK("https://ntsu.idm.oclc.org/login?url=https://www.airitibooks.com/Detail/Detail?PublicationID=P20170227006", "https://ntsu.idm.oclc.org/login?url=https://www.airitibooks.com/Detail/Detail?PublicationID=P20170227006")</f>
        <v>https://ntsu.idm.oclc.org/login?url=https://www.airitibooks.com/Detail/Detail?PublicationID=P20170227006</v>
      </c>
    </row>
    <row r="2358" spans="1:11" ht="51" x14ac:dyDescent="0.4">
      <c r="A2358" s="10" t="s">
        <v>6231</v>
      </c>
      <c r="B2358" s="10" t="s">
        <v>6232</v>
      </c>
      <c r="C2358" s="10" t="s">
        <v>6229</v>
      </c>
      <c r="D2358" s="10" t="s">
        <v>6230</v>
      </c>
      <c r="E2358" s="10" t="s">
        <v>6182</v>
      </c>
      <c r="F2358" s="10" t="s">
        <v>4993</v>
      </c>
      <c r="G2358" s="10" t="s">
        <v>23</v>
      </c>
      <c r="H2358" s="7" t="s">
        <v>24</v>
      </c>
      <c r="I2358" s="7" t="s">
        <v>25</v>
      </c>
      <c r="J2358" s="13" t="str">
        <f>HYPERLINK("https://www.airitibooks.com/Detail/Detail?PublicationID=P20170227007", "https://www.airitibooks.com/Detail/Detail?PublicationID=P20170227007")</f>
        <v>https://www.airitibooks.com/Detail/Detail?PublicationID=P20170227007</v>
      </c>
      <c r="K2358" s="13" t="str">
        <f>HYPERLINK("https://ntsu.idm.oclc.org/login?url=https://www.airitibooks.com/Detail/Detail?PublicationID=P20170227007", "https://ntsu.idm.oclc.org/login?url=https://www.airitibooks.com/Detail/Detail?PublicationID=P20170227007")</f>
        <v>https://ntsu.idm.oclc.org/login?url=https://www.airitibooks.com/Detail/Detail?PublicationID=P20170227007</v>
      </c>
    </row>
    <row r="2359" spans="1:11" ht="51" x14ac:dyDescent="0.4">
      <c r="A2359" s="10" t="s">
        <v>6233</v>
      </c>
      <c r="B2359" s="10" t="s">
        <v>6234</v>
      </c>
      <c r="C2359" s="10" t="s">
        <v>6229</v>
      </c>
      <c r="D2359" s="10" t="s">
        <v>6230</v>
      </c>
      <c r="E2359" s="10" t="s">
        <v>6182</v>
      </c>
      <c r="F2359" s="10" t="s">
        <v>4993</v>
      </c>
      <c r="G2359" s="10" t="s">
        <v>23</v>
      </c>
      <c r="H2359" s="7" t="s">
        <v>24</v>
      </c>
      <c r="I2359" s="7" t="s">
        <v>25</v>
      </c>
      <c r="J2359" s="13" t="str">
        <f>HYPERLINK("https://www.airitibooks.com/Detail/Detail?PublicationID=P20170227008", "https://www.airitibooks.com/Detail/Detail?PublicationID=P20170227008")</f>
        <v>https://www.airitibooks.com/Detail/Detail?PublicationID=P20170227008</v>
      </c>
      <c r="K2359" s="13" t="str">
        <f>HYPERLINK("https://ntsu.idm.oclc.org/login?url=https://www.airitibooks.com/Detail/Detail?PublicationID=P20170227008", "https://ntsu.idm.oclc.org/login?url=https://www.airitibooks.com/Detail/Detail?PublicationID=P20170227008")</f>
        <v>https://ntsu.idm.oclc.org/login?url=https://www.airitibooks.com/Detail/Detail?PublicationID=P20170227008</v>
      </c>
    </row>
    <row r="2360" spans="1:11" ht="51" x14ac:dyDescent="0.4">
      <c r="A2360" s="10" t="s">
        <v>6235</v>
      </c>
      <c r="B2360" s="10" t="s">
        <v>6236</v>
      </c>
      <c r="C2360" s="10" t="s">
        <v>6229</v>
      </c>
      <c r="D2360" s="10" t="s">
        <v>6230</v>
      </c>
      <c r="E2360" s="10" t="s">
        <v>6182</v>
      </c>
      <c r="F2360" s="10" t="s">
        <v>4993</v>
      </c>
      <c r="G2360" s="10" t="s">
        <v>23</v>
      </c>
      <c r="H2360" s="7" t="s">
        <v>24</v>
      </c>
      <c r="I2360" s="7" t="s">
        <v>25</v>
      </c>
      <c r="J2360" s="13" t="str">
        <f>HYPERLINK("https://www.airitibooks.com/Detail/Detail?PublicationID=P20170227009", "https://www.airitibooks.com/Detail/Detail?PublicationID=P20170227009")</f>
        <v>https://www.airitibooks.com/Detail/Detail?PublicationID=P20170227009</v>
      </c>
      <c r="K2360" s="13" t="str">
        <f>HYPERLINK("https://ntsu.idm.oclc.org/login?url=https://www.airitibooks.com/Detail/Detail?PublicationID=P20170227009", "https://ntsu.idm.oclc.org/login?url=https://www.airitibooks.com/Detail/Detail?PublicationID=P20170227009")</f>
        <v>https://ntsu.idm.oclc.org/login?url=https://www.airitibooks.com/Detail/Detail?PublicationID=P20170227009</v>
      </c>
    </row>
    <row r="2361" spans="1:11" ht="51" x14ac:dyDescent="0.4">
      <c r="A2361" s="10" t="s">
        <v>6237</v>
      </c>
      <c r="B2361" s="10" t="s">
        <v>6238</v>
      </c>
      <c r="C2361" s="10" t="s">
        <v>6229</v>
      </c>
      <c r="D2361" s="10" t="s">
        <v>6230</v>
      </c>
      <c r="E2361" s="10" t="s">
        <v>6182</v>
      </c>
      <c r="F2361" s="10" t="s">
        <v>4993</v>
      </c>
      <c r="G2361" s="10" t="s">
        <v>23</v>
      </c>
      <c r="H2361" s="7" t="s">
        <v>24</v>
      </c>
      <c r="I2361" s="7" t="s">
        <v>25</v>
      </c>
      <c r="J2361" s="13" t="str">
        <f>HYPERLINK("https://www.airitibooks.com/Detail/Detail?PublicationID=P20170227010", "https://www.airitibooks.com/Detail/Detail?PublicationID=P20170227010")</f>
        <v>https://www.airitibooks.com/Detail/Detail?PublicationID=P20170227010</v>
      </c>
      <c r="K2361" s="13" t="str">
        <f>HYPERLINK("https://ntsu.idm.oclc.org/login?url=https://www.airitibooks.com/Detail/Detail?PublicationID=P20170227010", "https://ntsu.idm.oclc.org/login?url=https://www.airitibooks.com/Detail/Detail?PublicationID=P20170227010")</f>
        <v>https://ntsu.idm.oclc.org/login?url=https://www.airitibooks.com/Detail/Detail?PublicationID=P20170227010</v>
      </c>
    </row>
    <row r="2362" spans="1:11" ht="51" x14ac:dyDescent="0.4">
      <c r="A2362" s="10" t="s">
        <v>6239</v>
      </c>
      <c r="B2362" s="10" t="s">
        <v>6240</v>
      </c>
      <c r="C2362" s="10" t="s">
        <v>6229</v>
      </c>
      <c r="D2362" s="10" t="s">
        <v>6230</v>
      </c>
      <c r="E2362" s="10" t="s">
        <v>6182</v>
      </c>
      <c r="F2362" s="10" t="s">
        <v>4993</v>
      </c>
      <c r="G2362" s="10" t="s">
        <v>23</v>
      </c>
      <c r="H2362" s="7" t="s">
        <v>24</v>
      </c>
      <c r="I2362" s="7" t="s">
        <v>25</v>
      </c>
      <c r="J2362" s="13" t="str">
        <f>HYPERLINK("https://www.airitibooks.com/Detail/Detail?PublicationID=P20170227011", "https://www.airitibooks.com/Detail/Detail?PublicationID=P20170227011")</f>
        <v>https://www.airitibooks.com/Detail/Detail?PublicationID=P20170227011</v>
      </c>
      <c r="K2362" s="13" t="str">
        <f>HYPERLINK("https://ntsu.idm.oclc.org/login?url=https://www.airitibooks.com/Detail/Detail?PublicationID=P20170227011", "https://ntsu.idm.oclc.org/login?url=https://www.airitibooks.com/Detail/Detail?PublicationID=P20170227011")</f>
        <v>https://ntsu.idm.oclc.org/login?url=https://www.airitibooks.com/Detail/Detail?PublicationID=P20170227011</v>
      </c>
    </row>
    <row r="2363" spans="1:11" ht="51" x14ac:dyDescent="0.4">
      <c r="A2363" s="10" t="s">
        <v>6332</v>
      </c>
      <c r="B2363" s="10" t="s">
        <v>6333</v>
      </c>
      <c r="C2363" s="10" t="s">
        <v>222</v>
      </c>
      <c r="D2363" s="10" t="s">
        <v>4203</v>
      </c>
      <c r="E2363" s="10" t="s">
        <v>6182</v>
      </c>
      <c r="F2363" s="10" t="s">
        <v>565</v>
      </c>
      <c r="G2363" s="10" t="s">
        <v>23</v>
      </c>
      <c r="H2363" s="7" t="s">
        <v>24</v>
      </c>
      <c r="I2363" s="7" t="s">
        <v>25</v>
      </c>
      <c r="J2363" s="13" t="str">
        <f>HYPERLINK("https://www.airitibooks.com/Detail/Detail?PublicationID=P20170316077", "https://www.airitibooks.com/Detail/Detail?PublicationID=P20170316077")</f>
        <v>https://www.airitibooks.com/Detail/Detail?PublicationID=P20170316077</v>
      </c>
      <c r="K2363" s="13" t="str">
        <f>HYPERLINK("https://ntsu.idm.oclc.org/login?url=https://www.airitibooks.com/Detail/Detail?PublicationID=P20170316077", "https://ntsu.idm.oclc.org/login?url=https://www.airitibooks.com/Detail/Detail?PublicationID=P20170316077")</f>
        <v>https://ntsu.idm.oclc.org/login?url=https://www.airitibooks.com/Detail/Detail?PublicationID=P20170316077</v>
      </c>
    </row>
    <row r="2364" spans="1:11" ht="51" x14ac:dyDescent="0.4">
      <c r="A2364" s="10" t="s">
        <v>6334</v>
      </c>
      <c r="B2364" s="10" t="s">
        <v>6335</v>
      </c>
      <c r="C2364" s="10" t="s">
        <v>222</v>
      </c>
      <c r="D2364" s="10" t="s">
        <v>6336</v>
      </c>
      <c r="E2364" s="10" t="s">
        <v>6182</v>
      </c>
      <c r="F2364" s="10" t="s">
        <v>441</v>
      </c>
      <c r="G2364" s="10" t="s">
        <v>23</v>
      </c>
      <c r="H2364" s="7" t="s">
        <v>24</v>
      </c>
      <c r="I2364" s="7" t="s">
        <v>25</v>
      </c>
      <c r="J2364" s="13" t="str">
        <f>HYPERLINK("https://www.airitibooks.com/Detail/Detail?PublicationID=P20170316078", "https://www.airitibooks.com/Detail/Detail?PublicationID=P20170316078")</f>
        <v>https://www.airitibooks.com/Detail/Detail?PublicationID=P20170316078</v>
      </c>
      <c r="K2364" s="13" t="str">
        <f>HYPERLINK("https://ntsu.idm.oclc.org/login?url=https://www.airitibooks.com/Detail/Detail?PublicationID=P20170316078", "https://ntsu.idm.oclc.org/login?url=https://www.airitibooks.com/Detail/Detail?PublicationID=P20170316078")</f>
        <v>https://ntsu.idm.oclc.org/login?url=https://www.airitibooks.com/Detail/Detail?PublicationID=P20170316078</v>
      </c>
    </row>
    <row r="2365" spans="1:11" ht="51" x14ac:dyDescent="0.4">
      <c r="A2365" s="10" t="s">
        <v>6337</v>
      </c>
      <c r="B2365" s="10" t="s">
        <v>6338</v>
      </c>
      <c r="C2365" s="10" t="s">
        <v>222</v>
      </c>
      <c r="D2365" s="10" t="s">
        <v>6339</v>
      </c>
      <c r="E2365" s="10" t="s">
        <v>6182</v>
      </c>
      <c r="F2365" s="10" t="s">
        <v>441</v>
      </c>
      <c r="G2365" s="10" t="s">
        <v>23</v>
      </c>
      <c r="H2365" s="7" t="s">
        <v>24</v>
      </c>
      <c r="I2365" s="7" t="s">
        <v>25</v>
      </c>
      <c r="J2365" s="13" t="str">
        <f>HYPERLINK("https://www.airitibooks.com/Detail/Detail?PublicationID=P20170316079", "https://www.airitibooks.com/Detail/Detail?PublicationID=P20170316079")</f>
        <v>https://www.airitibooks.com/Detail/Detail?PublicationID=P20170316079</v>
      </c>
      <c r="K2365" s="13" t="str">
        <f>HYPERLINK("https://ntsu.idm.oclc.org/login?url=https://www.airitibooks.com/Detail/Detail?PublicationID=P20170316079", "https://ntsu.idm.oclc.org/login?url=https://www.airitibooks.com/Detail/Detail?PublicationID=P20170316079")</f>
        <v>https://ntsu.idm.oclc.org/login?url=https://www.airitibooks.com/Detail/Detail?PublicationID=P20170316079</v>
      </c>
    </row>
    <row r="2366" spans="1:11" ht="51" x14ac:dyDescent="0.4">
      <c r="A2366" s="10" t="s">
        <v>6374</v>
      </c>
      <c r="B2366" s="10" t="s">
        <v>6375</v>
      </c>
      <c r="C2366" s="10" t="s">
        <v>297</v>
      </c>
      <c r="D2366" s="10" t="s">
        <v>1614</v>
      </c>
      <c r="E2366" s="10" t="s">
        <v>6182</v>
      </c>
      <c r="F2366" s="10" t="s">
        <v>299</v>
      </c>
      <c r="G2366" s="10" t="s">
        <v>23</v>
      </c>
      <c r="H2366" s="7" t="s">
        <v>24</v>
      </c>
      <c r="I2366" s="7" t="s">
        <v>25</v>
      </c>
      <c r="J2366" s="13" t="str">
        <f>HYPERLINK("https://www.airitibooks.com/Detail/Detail?PublicationID=P20170328082", "https://www.airitibooks.com/Detail/Detail?PublicationID=P20170328082")</f>
        <v>https://www.airitibooks.com/Detail/Detail?PublicationID=P20170328082</v>
      </c>
      <c r="K2366" s="13" t="str">
        <f>HYPERLINK("https://ntsu.idm.oclc.org/login?url=https://www.airitibooks.com/Detail/Detail?PublicationID=P20170328082", "https://ntsu.idm.oclc.org/login?url=https://www.airitibooks.com/Detail/Detail?PublicationID=P20170328082")</f>
        <v>https://ntsu.idm.oclc.org/login?url=https://www.airitibooks.com/Detail/Detail?PublicationID=P20170328082</v>
      </c>
    </row>
    <row r="2367" spans="1:11" ht="51" x14ac:dyDescent="0.4">
      <c r="A2367" s="10" t="s">
        <v>6376</v>
      </c>
      <c r="B2367" s="10" t="s">
        <v>6377</v>
      </c>
      <c r="C2367" s="10" t="s">
        <v>297</v>
      </c>
      <c r="D2367" s="10" t="s">
        <v>6378</v>
      </c>
      <c r="E2367" s="10" t="s">
        <v>6182</v>
      </c>
      <c r="F2367" s="10" t="s">
        <v>3741</v>
      </c>
      <c r="G2367" s="10" t="s">
        <v>23</v>
      </c>
      <c r="H2367" s="7" t="s">
        <v>24</v>
      </c>
      <c r="I2367" s="7" t="s">
        <v>25</v>
      </c>
      <c r="J2367" s="13" t="str">
        <f>HYPERLINK("https://www.airitibooks.com/Detail/Detail?PublicationID=P20170328084", "https://www.airitibooks.com/Detail/Detail?PublicationID=P20170328084")</f>
        <v>https://www.airitibooks.com/Detail/Detail?PublicationID=P20170328084</v>
      </c>
      <c r="K2367" s="13" t="str">
        <f>HYPERLINK("https://ntsu.idm.oclc.org/login?url=https://www.airitibooks.com/Detail/Detail?PublicationID=P20170328084", "https://ntsu.idm.oclc.org/login?url=https://www.airitibooks.com/Detail/Detail?PublicationID=P20170328084")</f>
        <v>https://ntsu.idm.oclc.org/login?url=https://www.airitibooks.com/Detail/Detail?PublicationID=P20170328084</v>
      </c>
    </row>
    <row r="2368" spans="1:11" ht="51" x14ac:dyDescent="0.4">
      <c r="A2368" s="10" t="s">
        <v>6384</v>
      </c>
      <c r="B2368" s="10" t="s">
        <v>6385</v>
      </c>
      <c r="C2368" s="10" t="s">
        <v>212</v>
      </c>
      <c r="D2368" s="10" t="s">
        <v>213</v>
      </c>
      <c r="E2368" s="10" t="s">
        <v>6182</v>
      </c>
      <c r="F2368" s="10" t="s">
        <v>720</v>
      </c>
      <c r="G2368" s="10" t="s">
        <v>23</v>
      </c>
      <c r="H2368" s="7" t="s">
        <v>24</v>
      </c>
      <c r="I2368" s="7" t="s">
        <v>25</v>
      </c>
      <c r="J2368" s="13" t="str">
        <f>HYPERLINK("https://www.airitibooks.com/Detail/Detail?PublicationID=P20170328088", "https://www.airitibooks.com/Detail/Detail?PublicationID=P20170328088")</f>
        <v>https://www.airitibooks.com/Detail/Detail?PublicationID=P20170328088</v>
      </c>
      <c r="K2368" s="13" t="str">
        <f>HYPERLINK("https://ntsu.idm.oclc.org/login?url=https://www.airitibooks.com/Detail/Detail?PublicationID=P20170328088", "https://ntsu.idm.oclc.org/login?url=https://www.airitibooks.com/Detail/Detail?PublicationID=P20170328088")</f>
        <v>https://ntsu.idm.oclc.org/login?url=https://www.airitibooks.com/Detail/Detail?PublicationID=P20170328088</v>
      </c>
    </row>
    <row r="2369" spans="1:11" ht="51" x14ac:dyDescent="0.4">
      <c r="A2369" s="10" t="s">
        <v>6386</v>
      </c>
      <c r="B2369" s="10" t="s">
        <v>6387</v>
      </c>
      <c r="C2369" s="10" t="s">
        <v>212</v>
      </c>
      <c r="D2369" s="10" t="s">
        <v>213</v>
      </c>
      <c r="E2369" s="10" t="s">
        <v>6182</v>
      </c>
      <c r="F2369" s="10" t="s">
        <v>214</v>
      </c>
      <c r="G2369" s="10" t="s">
        <v>23</v>
      </c>
      <c r="H2369" s="7" t="s">
        <v>24</v>
      </c>
      <c r="I2369" s="7" t="s">
        <v>25</v>
      </c>
      <c r="J2369" s="13" t="str">
        <f>HYPERLINK("https://www.airitibooks.com/Detail/Detail?PublicationID=P20170328089", "https://www.airitibooks.com/Detail/Detail?PublicationID=P20170328089")</f>
        <v>https://www.airitibooks.com/Detail/Detail?PublicationID=P20170328089</v>
      </c>
      <c r="K2369" s="13" t="str">
        <f>HYPERLINK("https://ntsu.idm.oclc.org/login?url=https://www.airitibooks.com/Detail/Detail?PublicationID=P20170328089", "https://ntsu.idm.oclc.org/login?url=https://www.airitibooks.com/Detail/Detail?PublicationID=P20170328089")</f>
        <v>https://ntsu.idm.oclc.org/login?url=https://www.airitibooks.com/Detail/Detail?PublicationID=P20170328089</v>
      </c>
    </row>
    <row r="2370" spans="1:11" ht="51" x14ac:dyDescent="0.4">
      <c r="A2370" s="10" t="s">
        <v>6515</v>
      </c>
      <c r="B2370" s="10" t="s">
        <v>6516</v>
      </c>
      <c r="C2370" s="10" t="s">
        <v>287</v>
      </c>
      <c r="D2370" s="10" t="s">
        <v>6517</v>
      </c>
      <c r="E2370" s="10" t="s">
        <v>6182</v>
      </c>
      <c r="F2370" s="10" t="s">
        <v>762</v>
      </c>
      <c r="G2370" s="10" t="s">
        <v>23</v>
      </c>
      <c r="H2370" s="7" t="s">
        <v>24</v>
      </c>
      <c r="I2370" s="7" t="s">
        <v>25</v>
      </c>
      <c r="J2370" s="13" t="str">
        <f>HYPERLINK("https://www.airitibooks.com/Detail/Detail?PublicationID=P20170502051", "https://www.airitibooks.com/Detail/Detail?PublicationID=P20170502051")</f>
        <v>https://www.airitibooks.com/Detail/Detail?PublicationID=P20170502051</v>
      </c>
      <c r="K2370" s="13" t="str">
        <f>HYPERLINK("https://ntsu.idm.oclc.org/login?url=https://www.airitibooks.com/Detail/Detail?PublicationID=P20170502051", "https://ntsu.idm.oclc.org/login?url=https://www.airitibooks.com/Detail/Detail?PublicationID=P20170502051")</f>
        <v>https://ntsu.idm.oclc.org/login?url=https://www.airitibooks.com/Detail/Detail?PublicationID=P20170502051</v>
      </c>
    </row>
    <row r="2371" spans="1:11" ht="51" x14ac:dyDescent="0.4">
      <c r="A2371" s="10" t="s">
        <v>6571</v>
      </c>
      <c r="B2371" s="10" t="s">
        <v>6572</v>
      </c>
      <c r="C2371" s="10" t="s">
        <v>938</v>
      </c>
      <c r="D2371" s="10" t="s">
        <v>5269</v>
      </c>
      <c r="E2371" s="10" t="s">
        <v>6182</v>
      </c>
      <c r="F2371" s="10" t="s">
        <v>6573</v>
      </c>
      <c r="G2371" s="10" t="s">
        <v>23</v>
      </c>
      <c r="H2371" s="7" t="s">
        <v>24</v>
      </c>
      <c r="I2371" s="7" t="s">
        <v>25</v>
      </c>
      <c r="J2371" s="13" t="str">
        <f>HYPERLINK("https://www.airitibooks.com/Detail/Detail?PublicationID=P20170517014", "https://www.airitibooks.com/Detail/Detail?PublicationID=P20170517014")</f>
        <v>https://www.airitibooks.com/Detail/Detail?PublicationID=P20170517014</v>
      </c>
      <c r="K2371" s="13" t="str">
        <f>HYPERLINK("https://ntsu.idm.oclc.org/login?url=https://www.airitibooks.com/Detail/Detail?PublicationID=P20170517014", "https://ntsu.idm.oclc.org/login?url=https://www.airitibooks.com/Detail/Detail?PublicationID=P20170517014")</f>
        <v>https://ntsu.idm.oclc.org/login?url=https://www.airitibooks.com/Detail/Detail?PublicationID=P20170517014</v>
      </c>
    </row>
    <row r="2372" spans="1:11" ht="51" x14ac:dyDescent="0.4">
      <c r="A2372" s="10" t="s">
        <v>6646</v>
      </c>
      <c r="B2372" s="10" t="s">
        <v>6647</v>
      </c>
      <c r="C2372" s="10" t="s">
        <v>544</v>
      </c>
      <c r="D2372" s="10" t="s">
        <v>6648</v>
      </c>
      <c r="E2372" s="10" t="s">
        <v>6182</v>
      </c>
      <c r="F2372" s="10" t="s">
        <v>6649</v>
      </c>
      <c r="G2372" s="10" t="s">
        <v>23</v>
      </c>
      <c r="H2372" s="7" t="s">
        <v>24</v>
      </c>
      <c r="I2372" s="7" t="s">
        <v>25</v>
      </c>
      <c r="J2372" s="13" t="str">
        <f>HYPERLINK("https://www.airitibooks.com/Detail/Detail?PublicationID=P20170517144", "https://www.airitibooks.com/Detail/Detail?PublicationID=P20170517144")</f>
        <v>https://www.airitibooks.com/Detail/Detail?PublicationID=P20170517144</v>
      </c>
      <c r="K2372" s="13" t="str">
        <f>HYPERLINK("https://ntsu.idm.oclc.org/login?url=https://www.airitibooks.com/Detail/Detail?PublicationID=P20170517144", "https://ntsu.idm.oclc.org/login?url=https://www.airitibooks.com/Detail/Detail?PublicationID=P20170517144")</f>
        <v>https://ntsu.idm.oclc.org/login?url=https://www.airitibooks.com/Detail/Detail?PublicationID=P20170517144</v>
      </c>
    </row>
    <row r="2373" spans="1:11" ht="51" x14ac:dyDescent="0.4">
      <c r="A2373" s="10" t="s">
        <v>6656</v>
      </c>
      <c r="B2373" s="10" t="s">
        <v>6657</v>
      </c>
      <c r="C2373" s="10" t="s">
        <v>544</v>
      </c>
      <c r="D2373" s="10" t="s">
        <v>6658</v>
      </c>
      <c r="E2373" s="10" t="s">
        <v>6182</v>
      </c>
      <c r="F2373" s="10" t="s">
        <v>6659</v>
      </c>
      <c r="G2373" s="10" t="s">
        <v>23</v>
      </c>
      <c r="H2373" s="7" t="s">
        <v>24</v>
      </c>
      <c r="I2373" s="7" t="s">
        <v>25</v>
      </c>
      <c r="J2373" s="13" t="str">
        <f>HYPERLINK("https://www.airitibooks.com/Detail/Detail?PublicationID=P20170517147", "https://www.airitibooks.com/Detail/Detail?PublicationID=P20170517147")</f>
        <v>https://www.airitibooks.com/Detail/Detail?PublicationID=P20170517147</v>
      </c>
      <c r="K2373" s="13" t="str">
        <f>HYPERLINK("https://ntsu.idm.oclc.org/login?url=https://www.airitibooks.com/Detail/Detail?PublicationID=P20170517147", "https://ntsu.idm.oclc.org/login?url=https://www.airitibooks.com/Detail/Detail?PublicationID=P20170517147")</f>
        <v>https://ntsu.idm.oclc.org/login?url=https://www.airitibooks.com/Detail/Detail?PublicationID=P20170517147</v>
      </c>
    </row>
    <row r="2374" spans="1:11" ht="51" x14ac:dyDescent="0.4">
      <c r="A2374" s="10" t="s">
        <v>6806</v>
      </c>
      <c r="B2374" s="10" t="s">
        <v>6807</v>
      </c>
      <c r="C2374" s="10" t="s">
        <v>756</v>
      </c>
      <c r="D2374" s="10" t="s">
        <v>5193</v>
      </c>
      <c r="E2374" s="10" t="s">
        <v>6182</v>
      </c>
      <c r="F2374" s="10" t="s">
        <v>762</v>
      </c>
      <c r="G2374" s="10" t="s">
        <v>23</v>
      </c>
      <c r="H2374" s="7" t="s">
        <v>24</v>
      </c>
      <c r="I2374" s="7" t="s">
        <v>25</v>
      </c>
      <c r="J2374" s="13" t="str">
        <f>HYPERLINK("https://www.airitibooks.com/Detail/Detail?PublicationID=P20170616008", "https://www.airitibooks.com/Detail/Detail?PublicationID=P20170616008")</f>
        <v>https://www.airitibooks.com/Detail/Detail?PublicationID=P20170616008</v>
      </c>
      <c r="K2374" s="13" t="str">
        <f>HYPERLINK("https://ntsu.idm.oclc.org/login?url=https://www.airitibooks.com/Detail/Detail?PublicationID=P20170616008", "https://ntsu.idm.oclc.org/login?url=https://www.airitibooks.com/Detail/Detail?PublicationID=P20170616008")</f>
        <v>https://ntsu.idm.oclc.org/login?url=https://www.airitibooks.com/Detail/Detail?PublicationID=P20170616008</v>
      </c>
    </row>
    <row r="2375" spans="1:11" ht="51" x14ac:dyDescent="0.4">
      <c r="A2375" s="10" t="s">
        <v>6823</v>
      </c>
      <c r="B2375" s="10" t="s">
        <v>6824</v>
      </c>
      <c r="C2375" s="10" t="s">
        <v>4616</v>
      </c>
      <c r="D2375" s="10" t="s">
        <v>6825</v>
      </c>
      <c r="E2375" s="10" t="s">
        <v>6182</v>
      </c>
      <c r="F2375" s="10" t="s">
        <v>6826</v>
      </c>
      <c r="G2375" s="10" t="s">
        <v>23</v>
      </c>
      <c r="H2375" s="7" t="s">
        <v>24</v>
      </c>
      <c r="I2375" s="7" t="s">
        <v>25</v>
      </c>
      <c r="J2375" s="13" t="str">
        <f>HYPERLINK("https://www.airitibooks.com/Detail/Detail?PublicationID=P20170627001", "https://www.airitibooks.com/Detail/Detail?PublicationID=P20170627001")</f>
        <v>https://www.airitibooks.com/Detail/Detail?PublicationID=P20170627001</v>
      </c>
      <c r="K2375" s="13" t="str">
        <f>HYPERLINK("https://ntsu.idm.oclc.org/login?url=https://www.airitibooks.com/Detail/Detail?PublicationID=P20170627001", "https://ntsu.idm.oclc.org/login?url=https://www.airitibooks.com/Detail/Detail?PublicationID=P20170627001")</f>
        <v>https://ntsu.idm.oclc.org/login?url=https://www.airitibooks.com/Detail/Detail?PublicationID=P20170627001</v>
      </c>
    </row>
    <row r="2376" spans="1:11" ht="51" x14ac:dyDescent="0.4">
      <c r="A2376" s="10" t="s">
        <v>7022</v>
      </c>
      <c r="B2376" s="10" t="s">
        <v>7023</v>
      </c>
      <c r="C2376" s="10" t="s">
        <v>756</v>
      </c>
      <c r="D2376" s="10" t="s">
        <v>7024</v>
      </c>
      <c r="E2376" s="10" t="s">
        <v>6182</v>
      </c>
      <c r="F2376" s="10" t="s">
        <v>565</v>
      </c>
      <c r="G2376" s="10" t="s">
        <v>23</v>
      </c>
      <c r="H2376" s="7" t="s">
        <v>24</v>
      </c>
      <c r="I2376" s="7" t="s">
        <v>25</v>
      </c>
      <c r="J2376" s="13" t="str">
        <f>HYPERLINK("https://www.airitibooks.com/Detail/Detail?PublicationID=P20170907001", "https://www.airitibooks.com/Detail/Detail?PublicationID=P20170907001")</f>
        <v>https://www.airitibooks.com/Detail/Detail?PublicationID=P20170907001</v>
      </c>
      <c r="K2376" s="13" t="str">
        <f>HYPERLINK("https://ntsu.idm.oclc.org/login?url=https://www.airitibooks.com/Detail/Detail?PublicationID=P20170907001", "https://ntsu.idm.oclc.org/login?url=https://www.airitibooks.com/Detail/Detail?PublicationID=P20170907001")</f>
        <v>https://ntsu.idm.oclc.org/login?url=https://www.airitibooks.com/Detail/Detail?PublicationID=P20170907001</v>
      </c>
    </row>
    <row r="2377" spans="1:11" ht="51" x14ac:dyDescent="0.4">
      <c r="A2377" s="10" t="s">
        <v>7039</v>
      </c>
      <c r="B2377" s="10" t="s">
        <v>7040</v>
      </c>
      <c r="C2377" s="10" t="s">
        <v>938</v>
      </c>
      <c r="D2377" s="10" t="s">
        <v>2142</v>
      </c>
      <c r="E2377" s="10" t="s">
        <v>6182</v>
      </c>
      <c r="F2377" s="10" t="s">
        <v>1646</v>
      </c>
      <c r="G2377" s="10" t="s">
        <v>23</v>
      </c>
      <c r="H2377" s="7" t="s">
        <v>24</v>
      </c>
      <c r="I2377" s="7" t="s">
        <v>25</v>
      </c>
      <c r="J2377" s="13" t="str">
        <f>HYPERLINK("https://www.airitibooks.com/Detail/Detail?PublicationID=P20170907137", "https://www.airitibooks.com/Detail/Detail?PublicationID=P20170907137")</f>
        <v>https://www.airitibooks.com/Detail/Detail?PublicationID=P20170907137</v>
      </c>
      <c r="K2377" s="13" t="str">
        <f>HYPERLINK("https://ntsu.idm.oclc.org/login?url=https://www.airitibooks.com/Detail/Detail?PublicationID=P20170907137", "https://ntsu.idm.oclc.org/login?url=https://www.airitibooks.com/Detail/Detail?PublicationID=P20170907137")</f>
        <v>https://ntsu.idm.oclc.org/login?url=https://www.airitibooks.com/Detail/Detail?PublicationID=P20170907137</v>
      </c>
    </row>
    <row r="2378" spans="1:11" ht="51" x14ac:dyDescent="0.4">
      <c r="A2378" s="10" t="s">
        <v>7052</v>
      </c>
      <c r="B2378" s="10" t="s">
        <v>7053</v>
      </c>
      <c r="C2378" s="10" t="s">
        <v>7051</v>
      </c>
      <c r="D2378" s="10" t="s">
        <v>7054</v>
      </c>
      <c r="E2378" s="10" t="s">
        <v>6182</v>
      </c>
      <c r="F2378" s="10" t="s">
        <v>3548</v>
      </c>
      <c r="G2378" s="10" t="s">
        <v>23</v>
      </c>
      <c r="H2378" s="7" t="s">
        <v>24</v>
      </c>
      <c r="I2378" s="7" t="s">
        <v>25</v>
      </c>
      <c r="J2378" s="13" t="str">
        <f>HYPERLINK("https://www.airitibooks.com/Detail/Detail?PublicationID=P20170907179", "https://www.airitibooks.com/Detail/Detail?PublicationID=P20170907179")</f>
        <v>https://www.airitibooks.com/Detail/Detail?PublicationID=P20170907179</v>
      </c>
      <c r="K2378" s="13" t="str">
        <f>HYPERLINK("https://ntsu.idm.oclc.org/login?url=https://www.airitibooks.com/Detail/Detail?PublicationID=P20170907179", "https://ntsu.idm.oclc.org/login?url=https://www.airitibooks.com/Detail/Detail?PublicationID=P20170907179")</f>
        <v>https://ntsu.idm.oclc.org/login?url=https://www.airitibooks.com/Detail/Detail?PublicationID=P20170907179</v>
      </c>
    </row>
    <row r="2379" spans="1:11" ht="51" x14ac:dyDescent="0.4">
      <c r="A2379" s="10" t="s">
        <v>7057</v>
      </c>
      <c r="B2379" s="10" t="s">
        <v>7058</v>
      </c>
      <c r="C2379" s="10" t="s">
        <v>2367</v>
      </c>
      <c r="D2379" s="10" t="s">
        <v>7059</v>
      </c>
      <c r="E2379" s="10" t="s">
        <v>6182</v>
      </c>
      <c r="F2379" s="10" t="s">
        <v>7060</v>
      </c>
      <c r="G2379" s="10" t="s">
        <v>23</v>
      </c>
      <c r="H2379" s="7" t="s">
        <v>24</v>
      </c>
      <c r="I2379" s="7" t="s">
        <v>25</v>
      </c>
      <c r="J2379" s="13" t="str">
        <f>HYPERLINK("https://www.airitibooks.com/Detail/Detail?PublicationID=P20170907320", "https://www.airitibooks.com/Detail/Detail?PublicationID=P20170907320")</f>
        <v>https://www.airitibooks.com/Detail/Detail?PublicationID=P20170907320</v>
      </c>
      <c r="K2379" s="13" t="str">
        <f>HYPERLINK("https://ntsu.idm.oclc.org/login?url=https://www.airitibooks.com/Detail/Detail?PublicationID=P20170907320", "https://ntsu.idm.oclc.org/login?url=https://www.airitibooks.com/Detail/Detail?PublicationID=P20170907320")</f>
        <v>https://ntsu.idm.oclc.org/login?url=https://www.airitibooks.com/Detail/Detail?PublicationID=P20170907320</v>
      </c>
    </row>
    <row r="2380" spans="1:11" ht="51" x14ac:dyDescent="0.4">
      <c r="A2380" s="10" t="s">
        <v>7061</v>
      </c>
      <c r="B2380" s="10" t="s">
        <v>7062</v>
      </c>
      <c r="C2380" s="10" t="s">
        <v>2367</v>
      </c>
      <c r="D2380" s="10" t="s">
        <v>7059</v>
      </c>
      <c r="E2380" s="10" t="s">
        <v>6182</v>
      </c>
      <c r="F2380" s="10" t="s">
        <v>7060</v>
      </c>
      <c r="G2380" s="10" t="s">
        <v>23</v>
      </c>
      <c r="H2380" s="7" t="s">
        <v>24</v>
      </c>
      <c r="I2380" s="7" t="s">
        <v>25</v>
      </c>
      <c r="J2380" s="13" t="str">
        <f>HYPERLINK("https://www.airitibooks.com/Detail/Detail?PublicationID=P20170907321", "https://www.airitibooks.com/Detail/Detail?PublicationID=P20170907321")</f>
        <v>https://www.airitibooks.com/Detail/Detail?PublicationID=P20170907321</v>
      </c>
      <c r="K2380" s="13" t="str">
        <f>HYPERLINK("https://ntsu.idm.oclc.org/login?url=https://www.airitibooks.com/Detail/Detail?PublicationID=P20170907321", "https://ntsu.idm.oclc.org/login?url=https://www.airitibooks.com/Detail/Detail?PublicationID=P20170907321")</f>
        <v>https://ntsu.idm.oclc.org/login?url=https://www.airitibooks.com/Detail/Detail?PublicationID=P20170907321</v>
      </c>
    </row>
    <row r="2381" spans="1:11" ht="51" x14ac:dyDescent="0.4">
      <c r="A2381" s="10" t="s">
        <v>7063</v>
      </c>
      <c r="B2381" s="10" t="s">
        <v>7064</v>
      </c>
      <c r="C2381" s="10" t="s">
        <v>7065</v>
      </c>
      <c r="D2381" s="10" t="s">
        <v>7065</v>
      </c>
      <c r="E2381" s="10" t="s">
        <v>6182</v>
      </c>
      <c r="F2381" s="10" t="s">
        <v>3548</v>
      </c>
      <c r="G2381" s="10" t="s">
        <v>23</v>
      </c>
      <c r="H2381" s="7" t="s">
        <v>24</v>
      </c>
      <c r="I2381" s="7" t="s">
        <v>25</v>
      </c>
      <c r="J2381" s="13" t="str">
        <f>HYPERLINK("https://www.airitibooks.com/Detail/Detail?PublicationID=P20170907327", "https://www.airitibooks.com/Detail/Detail?PublicationID=P20170907327")</f>
        <v>https://www.airitibooks.com/Detail/Detail?PublicationID=P20170907327</v>
      </c>
      <c r="K2381" s="13" t="str">
        <f>HYPERLINK("https://ntsu.idm.oclc.org/login?url=https://www.airitibooks.com/Detail/Detail?PublicationID=P20170907327", "https://ntsu.idm.oclc.org/login?url=https://www.airitibooks.com/Detail/Detail?PublicationID=P20170907327")</f>
        <v>https://ntsu.idm.oclc.org/login?url=https://www.airitibooks.com/Detail/Detail?PublicationID=P20170907327</v>
      </c>
    </row>
    <row r="2382" spans="1:11" ht="51" x14ac:dyDescent="0.4">
      <c r="A2382" s="10" t="s">
        <v>7066</v>
      </c>
      <c r="B2382" s="10" t="s">
        <v>7067</v>
      </c>
      <c r="C2382" s="10" t="s">
        <v>7065</v>
      </c>
      <c r="D2382" s="10" t="s">
        <v>7065</v>
      </c>
      <c r="E2382" s="10" t="s">
        <v>6182</v>
      </c>
      <c r="F2382" s="10" t="s">
        <v>3548</v>
      </c>
      <c r="G2382" s="10" t="s">
        <v>23</v>
      </c>
      <c r="H2382" s="7" t="s">
        <v>24</v>
      </c>
      <c r="I2382" s="7" t="s">
        <v>25</v>
      </c>
      <c r="J2382" s="13" t="str">
        <f>HYPERLINK("https://www.airitibooks.com/Detail/Detail?PublicationID=P20170907328", "https://www.airitibooks.com/Detail/Detail?PublicationID=P20170907328")</f>
        <v>https://www.airitibooks.com/Detail/Detail?PublicationID=P20170907328</v>
      </c>
      <c r="K2382" s="13" t="str">
        <f>HYPERLINK("https://ntsu.idm.oclc.org/login?url=https://www.airitibooks.com/Detail/Detail?PublicationID=P20170907328", "https://ntsu.idm.oclc.org/login?url=https://www.airitibooks.com/Detail/Detail?PublicationID=P20170907328")</f>
        <v>https://ntsu.idm.oclc.org/login?url=https://www.airitibooks.com/Detail/Detail?PublicationID=P20170907328</v>
      </c>
    </row>
    <row r="2383" spans="1:11" ht="51" x14ac:dyDescent="0.4">
      <c r="A2383" s="10" t="s">
        <v>7068</v>
      </c>
      <c r="B2383" s="10" t="s">
        <v>7069</v>
      </c>
      <c r="C2383" s="10" t="s">
        <v>7065</v>
      </c>
      <c r="D2383" s="10" t="s">
        <v>7065</v>
      </c>
      <c r="E2383" s="10" t="s">
        <v>6182</v>
      </c>
      <c r="F2383" s="10" t="s">
        <v>3548</v>
      </c>
      <c r="G2383" s="10" t="s">
        <v>23</v>
      </c>
      <c r="H2383" s="7" t="s">
        <v>24</v>
      </c>
      <c r="I2383" s="7" t="s">
        <v>25</v>
      </c>
      <c r="J2383" s="13" t="str">
        <f>HYPERLINK("https://www.airitibooks.com/Detail/Detail?PublicationID=P20170907330", "https://www.airitibooks.com/Detail/Detail?PublicationID=P20170907330")</f>
        <v>https://www.airitibooks.com/Detail/Detail?PublicationID=P20170907330</v>
      </c>
      <c r="K2383" s="13" t="str">
        <f>HYPERLINK("https://ntsu.idm.oclc.org/login?url=https://www.airitibooks.com/Detail/Detail?PublicationID=P20170907330", "https://ntsu.idm.oclc.org/login?url=https://www.airitibooks.com/Detail/Detail?PublicationID=P20170907330")</f>
        <v>https://ntsu.idm.oclc.org/login?url=https://www.airitibooks.com/Detail/Detail?PublicationID=P20170907330</v>
      </c>
    </row>
    <row r="2384" spans="1:11" ht="51" x14ac:dyDescent="0.4">
      <c r="A2384" s="10" t="s">
        <v>7070</v>
      </c>
      <c r="B2384" s="10" t="s">
        <v>7071</v>
      </c>
      <c r="C2384" s="10" t="s">
        <v>7065</v>
      </c>
      <c r="D2384" s="10" t="s">
        <v>7065</v>
      </c>
      <c r="E2384" s="10" t="s">
        <v>6182</v>
      </c>
      <c r="F2384" s="10" t="s">
        <v>3548</v>
      </c>
      <c r="G2384" s="10" t="s">
        <v>23</v>
      </c>
      <c r="H2384" s="7" t="s">
        <v>24</v>
      </c>
      <c r="I2384" s="7" t="s">
        <v>25</v>
      </c>
      <c r="J2384" s="13" t="str">
        <f>HYPERLINK("https://www.airitibooks.com/Detail/Detail?PublicationID=P20170907331", "https://www.airitibooks.com/Detail/Detail?PublicationID=P20170907331")</f>
        <v>https://www.airitibooks.com/Detail/Detail?PublicationID=P20170907331</v>
      </c>
      <c r="K2384" s="13" t="str">
        <f>HYPERLINK("https://ntsu.idm.oclc.org/login?url=https://www.airitibooks.com/Detail/Detail?PublicationID=P20170907331", "https://ntsu.idm.oclc.org/login?url=https://www.airitibooks.com/Detail/Detail?PublicationID=P20170907331")</f>
        <v>https://ntsu.idm.oclc.org/login?url=https://www.airitibooks.com/Detail/Detail?PublicationID=P20170907331</v>
      </c>
    </row>
    <row r="2385" spans="1:11" ht="51" x14ac:dyDescent="0.4">
      <c r="A2385" s="10" t="s">
        <v>7072</v>
      </c>
      <c r="B2385" s="10" t="s">
        <v>7073</v>
      </c>
      <c r="C2385" s="10" t="s">
        <v>7065</v>
      </c>
      <c r="D2385" s="10" t="s">
        <v>7065</v>
      </c>
      <c r="E2385" s="10" t="s">
        <v>6182</v>
      </c>
      <c r="F2385" s="10" t="s">
        <v>3548</v>
      </c>
      <c r="G2385" s="10" t="s">
        <v>23</v>
      </c>
      <c r="H2385" s="7" t="s">
        <v>24</v>
      </c>
      <c r="I2385" s="7" t="s">
        <v>25</v>
      </c>
      <c r="J2385" s="13" t="str">
        <f>HYPERLINK("https://www.airitibooks.com/Detail/Detail?PublicationID=P20170907332", "https://www.airitibooks.com/Detail/Detail?PublicationID=P20170907332")</f>
        <v>https://www.airitibooks.com/Detail/Detail?PublicationID=P20170907332</v>
      </c>
      <c r="K2385" s="13" t="str">
        <f>HYPERLINK("https://ntsu.idm.oclc.org/login?url=https://www.airitibooks.com/Detail/Detail?PublicationID=P20170907332", "https://ntsu.idm.oclc.org/login?url=https://www.airitibooks.com/Detail/Detail?PublicationID=P20170907332")</f>
        <v>https://ntsu.idm.oclc.org/login?url=https://www.airitibooks.com/Detail/Detail?PublicationID=P20170907332</v>
      </c>
    </row>
    <row r="2386" spans="1:11" ht="51" x14ac:dyDescent="0.4">
      <c r="A2386" s="10" t="s">
        <v>7088</v>
      </c>
      <c r="B2386" s="10" t="s">
        <v>7089</v>
      </c>
      <c r="C2386" s="10" t="s">
        <v>7065</v>
      </c>
      <c r="D2386" s="10" t="s">
        <v>4353</v>
      </c>
      <c r="E2386" s="10" t="s">
        <v>6182</v>
      </c>
      <c r="F2386" s="10" t="s">
        <v>3548</v>
      </c>
      <c r="G2386" s="10" t="s">
        <v>23</v>
      </c>
      <c r="H2386" s="7" t="s">
        <v>24</v>
      </c>
      <c r="I2386" s="7" t="s">
        <v>25</v>
      </c>
      <c r="J2386" s="13" t="str">
        <f>HYPERLINK("https://www.airitibooks.com/Detail/Detail?PublicationID=P20170929066", "https://www.airitibooks.com/Detail/Detail?PublicationID=P20170929066")</f>
        <v>https://www.airitibooks.com/Detail/Detail?PublicationID=P20170929066</v>
      </c>
      <c r="K2386" s="13" t="str">
        <f>HYPERLINK("https://ntsu.idm.oclc.org/login?url=https://www.airitibooks.com/Detail/Detail?PublicationID=P20170929066", "https://ntsu.idm.oclc.org/login?url=https://www.airitibooks.com/Detail/Detail?PublicationID=P20170929066")</f>
        <v>https://ntsu.idm.oclc.org/login?url=https://www.airitibooks.com/Detail/Detail?PublicationID=P20170929066</v>
      </c>
    </row>
    <row r="2387" spans="1:11" ht="51" x14ac:dyDescent="0.4">
      <c r="A2387" s="10" t="s">
        <v>7090</v>
      </c>
      <c r="B2387" s="10" t="s">
        <v>7091</v>
      </c>
      <c r="C2387" s="10" t="s">
        <v>7065</v>
      </c>
      <c r="D2387" s="10" t="s">
        <v>4353</v>
      </c>
      <c r="E2387" s="10" t="s">
        <v>6182</v>
      </c>
      <c r="F2387" s="10" t="s">
        <v>3548</v>
      </c>
      <c r="G2387" s="10" t="s">
        <v>23</v>
      </c>
      <c r="H2387" s="7" t="s">
        <v>24</v>
      </c>
      <c r="I2387" s="7" t="s">
        <v>25</v>
      </c>
      <c r="J2387" s="13" t="str">
        <f>HYPERLINK("https://www.airitibooks.com/Detail/Detail?PublicationID=P20170929067", "https://www.airitibooks.com/Detail/Detail?PublicationID=P20170929067")</f>
        <v>https://www.airitibooks.com/Detail/Detail?PublicationID=P20170929067</v>
      </c>
      <c r="K2387" s="13" t="str">
        <f>HYPERLINK("https://ntsu.idm.oclc.org/login?url=https://www.airitibooks.com/Detail/Detail?PublicationID=P20170929067", "https://ntsu.idm.oclc.org/login?url=https://www.airitibooks.com/Detail/Detail?PublicationID=P20170929067")</f>
        <v>https://ntsu.idm.oclc.org/login?url=https://www.airitibooks.com/Detail/Detail?PublicationID=P20170929067</v>
      </c>
    </row>
    <row r="2388" spans="1:11" ht="51" x14ac:dyDescent="0.4">
      <c r="A2388" s="10" t="s">
        <v>7092</v>
      </c>
      <c r="B2388" s="10" t="s">
        <v>7093</v>
      </c>
      <c r="C2388" s="10" t="s">
        <v>7065</v>
      </c>
      <c r="D2388" s="10" t="s">
        <v>4353</v>
      </c>
      <c r="E2388" s="10" t="s">
        <v>6182</v>
      </c>
      <c r="F2388" s="10" t="s">
        <v>3548</v>
      </c>
      <c r="G2388" s="10" t="s">
        <v>23</v>
      </c>
      <c r="H2388" s="7" t="s">
        <v>24</v>
      </c>
      <c r="I2388" s="7" t="s">
        <v>25</v>
      </c>
      <c r="J2388" s="13" t="str">
        <f>HYPERLINK("https://www.airitibooks.com/Detail/Detail?PublicationID=P20170929068", "https://www.airitibooks.com/Detail/Detail?PublicationID=P20170929068")</f>
        <v>https://www.airitibooks.com/Detail/Detail?PublicationID=P20170929068</v>
      </c>
      <c r="K2388" s="13" t="str">
        <f>HYPERLINK("https://ntsu.idm.oclc.org/login?url=https://www.airitibooks.com/Detail/Detail?PublicationID=P20170929068", "https://ntsu.idm.oclc.org/login?url=https://www.airitibooks.com/Detail/Detail?PublicationID=P20170929068")</f>
        <v>https://ntsu.idm.oclc.org/login?url=https://www.airitibooks.com/Detail/Detail?PublicationID=P20170929068</v>
      </c>
    </row>
    <row r="2389" spans="1:11" ht="51" x14ac:dyDescent="0.4">
      <c r="A2389" s="10" t="s">
        <v>7094</v>
      </c>
      <c r="B2389" s="10" t="s">
        <v>7095</v>
      </c>
      <c r="C2389" s="10" t="s">
        <v>7065</v>
      </c>
      <c r="D2389" s="10" t="s">
        <v>4353</v>
      </c>
      <c r="E2389" s="10" t="s">
        <v>6182</v>
      </c>
      <c r="F2389" s="10" t="s">
        <v>3548</v>
      </c>
      <c r="G2389" s="10" t="s">
        <v>23</v>
      </c>
      <c r="H2389" s="7" t="s">
        <v>24</v>
      </c>
      <c r="I2389" s="7" t="s">
        <v>25</v>
      </c>
      <c r="J2389" s="13" t="str">
        <f>HYPERLINK("https://www.airitibooks.com/Detail/Detail?PublicationID=P20170929071", "https://www.airitibooks.com/Detail/Detail?PublicationID=P20170929071")</f>
        <v>https://www.airitibooks.com/Detail/Detail?PublicationID=P20170929071</v>
      </c>
      <c r="K2389" s="13" t="str">
        <f>HYPERLINK("https://ntsu.idm.oclc.org/login?url=https://www.airitibooks.com/Detail/Detail?PublicationID=P20170929071", "https://ntsu.idm.oclc.org/login?url=https://www.airitibooks.com/Detail/Detail?PublicationID=P20170929071")</f>
        <v>https://ntsu.idm.oclc.org/login?url=https://www.airitibooks.com/Detail/Detail?PublicationID=P20170929071</v>
      </c>
    </row>
    <row r="2390" spans="1:11" ht="68" x14ac:dyDescent="0.4">
      <c r="A2390" s="10" t="s">
        <v>7124</v>
      </c>
      <c r="B2390" s="10" t="s">
        <v>7125</v>
      </c>
      <c r="C2390" s="10" t="s">
        <v>3832</v>
      </c>
      <c r="D2390" s="10" t="s">
        <v>7126</v>
      </c>
      <c r="E2390" s="10" t="s">
        <v>6182</v>
      </c>
      <c r="F2390" s="10" t="s">
        <v>1917</v>
      </c>
      <c r="G2390" s="10" t="s">
        <v>23</v>
      </c>
      <c r="H2390" s="7" t="s">
        <v>24</v>
      </c>
      <c r="I2390" s="7" t="s">
        <v>25</v>
      </c>
      <c r="J2390" s="13" t="str">
        <f>HYPERLINK("https://www.airitibooks.com/Detail/Detail?PublicationID=P20170929098", "https://www.airitibooks.com/Detail/Detail?PublicationID=P20170929098")</f>
        <v>https://www.airitibooks.com/Detail/Detail?PublicationID=P20170929098</v>
      </c>
      <c r="K2390" s="13" t="str">
        <f>HYPERLINK("https://ntsu.idm.oclc.org/login?url=https://www.airitibooks.com/Detail/Detail?PublicationID=P20170929098", "https://ntsu.idm.oclc.org/login?url=https://www.airitibooks.com/Detail/Detail?PublicationID=P20170929098")</f>
        <v>https://ntsu.idm.oclc.org/login?url=https://www.airitibooks.com/Detail/Detail?PublicationID=P20170929098</v>
      </c>
    </row>
    <row r="2391" spans="1:11" ht="51" x14ac:dyDescent="0.4">
      <c r="A2391" s="10" t="s">
        <v>7127</v>
      </c>
      <c r="B2391" s="10" t="s">
        <v>7128</v>
      </c>
      <c r="C2391" s="10" t="s">
        <v>3832</v>
      </c>
      <c r="D2391" s="10" t="s">
        <v>7129</v>
      </c>
      <c r="E2391" s="10" t="s">
        <v>6182</v>
      </c>
      <c r="F2391" s="10" t="s">
        <v>1164</v>
      </c>
      <c r="G2391" s="10" t="s">
        <v>23</v>
      </c>
      <c r="H2391" s="7" t="s">
        <v>24</v>
      </c>
      <c r="I2391" s="7" t="s">
        <v>25</v>
      </c>
      <c r="J2391" s="13" t="str">
        <f>HYPERLINK("https://www.airitibooks.com/Detail/Detail?PublicationID=P20170929100", "https://www.airitibooks.com/Detail/Detail?PublicationID=P20170929100")</f>
        <v>https://www.airitibooks.com/Detail/Detail?PublicationID=P20170929100</v>
      </c>
      <c r="K2391" s="13" t="str">
        <f>HYPERLINK("https://ntsu.idm.oclc.org/login?url=https://www.airitibooks.com/Detail/Detail?PublicationID=P20170929100", "https://ntsu.idm.oclc.org/login?url=https://www.airitibooks.com/Detail/Detail?PublicationID=P20170929100")</f>
        <v>https://ntsu.idm.oclc.org/login?url=https://www.airitibooks.com/Detail/Detail?PublicationID=P20170929100</v>
      </c>
    </row>
    <row r="2392" spans="1:11" ht="51" x14ac:dyDescent="0.4">
      <c r="A2392" s="10" t="s">
        <v>7157</v>
      </c>
      <c r="B2392" s="10" t="s">
        <v>7158</v>
      </c>
      <c r="C2392" s="10" t="s">
        <v>613</v>
      </c>
      <c r="D2392" s="10" t="s">
        <v>7159</v>
      </c>
      <c r="E2392" s="10" t="s">
        <v>6182</v>
      </c>
      <c r="F2392" s="10" t="s">
        <v>565</v>
      </c>
      <c r="G2392" s="10" t="s">
        <v>23</v>
      </c>
      <c r="H2392" s="7" t="s">
        <v>24</v>
      </c>
      <c r="I2392" s="7" t="s">
        <v>25</v>
      </c>
      <c r="J2392" s="13" t="str">
        <f>HYPERLINK("https://www.airitibooks.com/Detail/Detail?PublicationID=P20170929153", "https://www.airitibooks.com/Detail/Detail?PublicationID=P20170929153")</f>
        <v>https://www.airitibooks.com/Detail/Detail?PublicationID=P20170929153</v>
      </c>
      <c r="K2392" s="13" t="str">
        <f>HYPERLINK("https://ntsu.idm.oclc.org/login?url=https://www.airitibooks.com/Detail/Detail?PublicationID=P20170929153", "https://ntsu.idm.oclc.org/login?url=https://www.airitibooks.com/Detail/Detail?PublicationID=P20170929153")</f>
        <v>https://ntsu.idm.oclc.org/login?url=https://www.airitibooks.com/Detail/Detail?PublicationID=P20170929153</v>
      </c>
    </row>
    <row r="2393" spans="1:11" ht="51" x14ac:dyDescent="0.4">
      <c r="A2393" s="10" t="s">
        <v>7219</v>
      </c>
      <c r="B2393" s="10" t="s">
        <v>7220</v>
      </c>
      <c r="C2393" s="10" t="s">
        <v>7164</v>
      </c>
      <c r="D2393" s="10" t="s">
        <v>7221</v>
      </c>
      <c r="E2393" s="10" t="s">
        <v>6182</v>
      </c>
      <c r="F2393" s="10" t="s">
        <v>2325</v>
      </c>
      <c r="G2393" s="10" t="s">
        <v>23</v>
      </c>
      <c r="H2393" s="7" t="s">
        <v>24</v>
      </c>
      <c r="I2393" s="7" t="s">
        <v>25</v>
      </c>
      <c r="J2393" s="13" t="str">
        <f>HYPERLINK("https://www.airitibooks.com/Detail/Detail?PublicationID=P20170929248", "https://www.airitibooks.com/Detail/Detail?PublicationID=P20170929248")</f>
        <v>https://www.airitibooks.com/Detail/Detail?PublicationID=P20170929248</v>
      </c>
      <c r="K2393" s="13" t="str">
        <f>HYPERLINK("https://ntsu.idm.oclc.org/login?url=https://www.airitibooks.com/Detail/Detail?PublicationID=P20170929248", "https://ntsu.idm.oclc.org/login?url=https://www.airitibooks.com/Detail/Detail?PublicationID=P20170929248")</f>
        <v>https://ntsu.idm.oclc.org/login?url=https://www.airitibooks.com/Detail/Detail?PublicationID=P20170929248</v>
      </c>
    </row>
    <row r="2394" spans="1:11" ht="51" x14ac:dyDescent="0.4">
      <c r="A2394" s="10" t="s">
        <v>7245</v>
      </c>
      <c r="B2394" s="10" t="s">
        <v>7246</v>
      </c>
      <c r="C2394" s="10" t="s">
        <v>613</v>
      </c>
      <c r="D2394" s="10" t="s">
        <v>7247</v>
      </c>
      <c r="E2394" s="10" t="s">
        <v>6182</v>
      </c>
      <c r="F2394" s="10" t="s">
        <v>565</v>
      </c>
      <c r="G2394" s="10" t="s">
        <v>23</v>
      </c>
      <c r="H2394" s="7" t="s">
        <v>24</v>
      </c>
      <c r="I2394" s="7" t="s">
        <v>25</v>
      </c>
      <c r="J2394" s="13" t="str">
        <f>HYPERLINK("https://www.airitibooks.com/Detail/Detail?PublicationID=P20170929392", "https://www.airitibooks.com/Detail/Detail?PublicationID=P20170929392")</f>
        <v>https://www.airitibooks.com/Detail/Detail?PublicationID=P20170929392</v>
      </c>
      <c r="K2394" s="13" t="str">
        <f>HYPERLINK("https://ntsu.idm.oclc.org/login?url=https://www.airitibooks.com/Detail/Detail?PublicationID=P20170929392", "https://ntsu.idm.oclc.org/login?url=https://www.airitibooks.com/Detail/Detail?PublicationID=P20170929392")</f>
        <v>https://ntsu.idm.oclc.org/login?url=https://www.airitibooks.com/Detail/Detail?PublicationID=P20170929392</v>
      </c>
    </row>
    <row r="2395" spans="1:11" ht="68" x14ac:dyDescent="0.4">
      <c r="A2395" s="10" t="s">
        <v>7268</v>
      </c>
      <c r="B2395" s="10" t="s">
        <v>7269</v>
      </c>
      <c r="C2395" s="10" t="s">
        <v>1484</v>
      </c>
      <c r="D2395" s="10" t="s">
        <v>7270</v>
      </c>
      <c r="E2395" s="10" t="s">
        <v>6182</v>
      </c>
      <c r="F2395" s="10" t="s">
        <v>7271</v>
      </c>
      <c r="G2395" s="10" t="s">
        <v>23</v>
      </c>
      <c r="H2395" s="7" t="s">
        <v>24</v>
      </c>
      <c r="I2395" s="7" t="s">
        <v>25</v>
      </c>
      <c r="J2395" s="13" t="str">
        <f>HYPERLINK("https://www.airitibooks.com/Detail/Detail?PublicationID=P20170929400", "https://www.airitibooks.com/Detail/Detail?PublicationID=P20170929400")</f>
        <v>https://www.airitibooks.com/Detail/Detail?PublicationID=P20170929400</v>
      </c>
      <c r="K2395" s="13" t="str">
        <f>HYPERLINK("https://ntsu.idm.oclc.org/login?url=https://www.airitibooks.com/Detail/Detail?PublicationID=P20170929400", "https://ntsu.idm.oclc.org/login?url=https://www.airitibooks.com/Detail/Detail?PublicationID=P20170929400")</f>
        <v>https://ntsu.idm.oclc.org/login?url=https://www.airitibooks.com/Detail/Detail?PublicationID=P20170929400</v>
      </c>
    </row>
    <row r="2396" spans="1:11" ht="102" x14ac:dyDescent="0.4">
      <c r="A2396" s="10" t="s">
        <v>7289</v>
      </c>
      <c r="B2396" s="10" t="s">
        <v>7290</v>
      </c>
      <c r="C2396" s="10" t="s">
        <v>6298</v>
      </c>
      <c r="D2396" s="10" t="s">
        <v>7291</v>
      </c>
      <c r="E2396" s="10" t="s">
        <v>6182</v>
      </c>
      <c r="F2396" s="10" t="s">
        <v>1917</v>
      </c>
      <c r="G2396" s="10" t="s">
        <v>23</v>
      </c>
      <c r="H2396" s="7" t="s">
        <v>24</v>
      </c>
      <c r="I2396" s="7" t="s">
        <v>25</v>
      </c>
      <c r="J2396" s="13" t="str">
        <f>HYPERLINK("https://www.airitibooks.com/Detail/Detail?PublicationID=P20170929430", "https://www.airitibooks.com/Detail/Detail?PublicationID=P20170929430")</f>
        <v>https://www.airitibooks.com/Detail/Detail?PublicationID=P20170929430</v>
      </c>
      <c r="K2396" s="13" t="str">
        <f>HYPERLINK("https://ntsu.idm.oclc.org/login?url=https://www.airitibooks.com/Detail/Detail?PublicationID=P20170929430", "https://ntsu.idm.oclc.org/login?url=https://www.airitibooks.com/Detail/Detail?PublicationID=P20170929430")</f>
        <v>https://ntsu.idm.oclc.org/login?url=https://www.airitibooks.com/Detail/Detail?PublicationID=P20170929430</v>
      </c>
    </row>
    <row r="2397" spans="1:11" ht="51" x14ac:dyDescent="0.4">
      <c r="A2397" s="10" t="s">
        <v>7299</v>
      </c>
      <c r="B2397" s="10" t="s">
        <v>7300</v>
      </c>
      <c r="C2397" s="10" t="s">
        <v>7294</v>
      </c>
      <c r="D2397" s="10" t="s">
        <v>7301</v>
      </c>
      <c r="E2397" s="10" t="s">
        <v>6182</v>
      </c>
      <c r="F2397" s="10" t="s">
        <v>394</v>
      </c>
      <c r="G2397" s="10" t="s">
        <v>23</v>
      </c>
      <c r="H2397" s="7" t="s">
        <v>24</v>
      </c>
      <c r="I2397" s="7" t="s">
        <v>25</v>
      </c>
      <c r="J2397" s="13" t="str">
        <f>HYPERLINK("https://www.airitibooks.com/Detail/Detail?PublicationID=P20171012044", "https://www.airitibooks.com/Detail/Detail?PublicationID=P20171012044")</f>
        <v>https://www.airitibooks.com/Detail/Detail?PublicationID=P20171012044</v>
      </c>
      <c r="K2397" s="13" t="str">
        <f>HYPERLINK("https://ntsu.idm.oclc.org/login?url=https://www.airitibooks.com/Detail/Detail?PublicationID=P20171012044", "https://ntsu.idm.oclc.org/login?url=https://www.airitibooks.com/Detail/Detail?PublicationID=P20171012044")</f>
        <v>https://ntsu.idm.oclc.org/login?url=https://www.airitibooks.com/Detail/Detail?PublicationID=P20171012044</v>
      </c>
    </row>
    <row r="2398" spans="1:11" ht="51" x14ac:dyDescent="0.4">
      <c r="A2398" s="10" t="s">
        <v>7304</v>
      </c>
      <c r="B2398" s="10" t="s">
        <v>7305</v>
      </c>
      <c r="C2398" s="10" t="s">
        <v>7164</v>
      </c>
      <c r="D2398" s="10" t="s">
        <v>7306</v>
      </c>
      <c r="E2398" s="10" t="s">
        <v>6182</v>
      </c>
      <c r="F2398" s="10" t="s">
        <v>1646</v>
      </c>
      <c r="G2398" s="10" t="s">
        <v>23</v>
      </c>
      <c r="H2398" s="7" t="s">
        <v>24</v>
      </c>
      <c r="I2398" s="7" t="s">
        <v>25</v>
      </c>
      <c r="J2398" s="13" t="str">
        <f>HYPERLINK("https://www.airitibooks.com/Detail/Detail?PublicationID=P20171103088", "https://www.airitibooks.com/Detail/Detail?PublicationID=P20171103088")</f>
        <v>https://www.airitibooks.com/Detail/Detail?PublicationID=P20171103088</v>
      </c>
      <c r="K2398" s="13" t="str">
        <f>HYPERLINK("https://ntsu.idm.oclc.org/login?url=https://www.airitibooks.com/Detail/Detail?PublicationID=P20171103088", "https://ntsu.idm.oclc.org/login?url=https://www.airitibooks.com/Detail/Detail?PublicationID=P20171103088")</f>
        <v>https://ntsu.idm.oclc.org/login?url=https://www.airitibooks.com/Detail/Detail?PublicationID=P20171103088</v>
      </c>
    </row>
    <row r="2399" spans="1:11" ht="51" x14ac:dyDescent="0.4">
      <c r="A2399" s="10" t="s">
        <v>7307</v>
      </c>
      <c r="B2399" s="10" t="s">
        <v>7308</v>
      </c>
      <c r="C2399" s="10" t="s">
        <v>7164</v>
      </c>
      <c r="D2399" s="10" t="s">
        <v>7306</v>
      </c>
      <c r="E2399" s="10" t="s">
        <v>6182</v>
      </c>
      <c r="F2399" s="10" t="s">
        <v>1646</v>
      </c>
      <c r="G2399" s="10" t="s">
        <v>23</v>
      </c>
      <c r="H2399" s="7" t="s">
        <v>24</v>
      </c>
      <c r="I2399" s="7" t="s">
        <v>25</v>
      </c>
      <c r="J2399" s="13" t="str">
        <f>HYPERLINK("https://www.airitibooks.com/Detail/Detail?PublicationID=P20171103089", "https://www.airitibooks.com/Detail/Detail?PublicationID=P20171103089")</f>
        <v>https://www.airitibooks.com/Detail/Detail?PublicationID=P20171103089</v>
      </c>
      <c r="K2399" s="13" t="str">
        <f>HYPERLINK("https://ntsu.idm.oclc.org/login?url=https://www.airitibooks.com/Detail/Detail?PublicationID=P20171103089", "https://ntsu.idm.oclc.org/login?url=https://www.airitibooks.com/Detail/Detail?PublicationID=P20171103089")</f>
        <v>https://ntsu.idm.oclc.org/login?url=https://www.airitibooks.com/Detail/Detail?PublicationID=P20171103089</v>
      </c>
    </row>
    <row r="2400" spans="1:11" ht="51" x14ac:dyDescent="0.4">
      <c r="A2400" s="10" t="s">
        <v>7309</v>
      </c>
      <c r="B2400" s="10" t="s">
        <v>7310</v>
      </c>
      <c r="C2400" s="10" t="s">
        <v>7164</v>
      </c>
      <c r="D2400" s="10" t="s">
        <v>7306</v>
      </c>
      <c r="E2400" s="10" t="s">
        <v>6182</v>
      </c>
      <c r="F2400" s="10" t="s">
        <v>1646</v>
      </c>
      <c r="G2400" s="10" t="s">
        <v>23</v>
      </c>
      <c r="H2400" s="7" t="s">
        <v>24</v>
      </c>
      <c r="I2400" s="7" t="s">
        <v>25</v>
      </c>
      <c r="J2400" s="13" t="str">
        <f>HYPERLINK("https://www.airitibooks.com/Detail/Detail?PublicationID=P20171103090", "https://www.airitibooks.com/Detail/Detail?PublicationID=P20171103090")</f>
        <v>https://www.airitibooks.com/Detail/Detail?PublicationID=P20171103090</v>
      </c>
      <c r="K2400" s="13" t="str">
        <f>HYPERLINK("https://ntsu.idm.oclc.org/login?url=https://www.airitibooks.com/Detail/Detail?PublicationID=P20171103090", "https://ntsu.idm.oclc.org/login?url=https://www.airitibooks.com/Detail/Detail?PublicationID=P20171103090")</f>
        <v>https://ntsu.idm.oclc.org/login?url=https://www.airitibooks.com/Detail/Detail?PublicationID=P20171103090</v>
      </c>
    </row>
    <row r="2401" spans="1:11" ht="51" x14ac:dyDescent="0.4">
      <c r="A2401" s="10" t="s">
        <v>7311</v>
      </c>
      <c r="B2401" s="10" t="s">
        <v>7312</v>
      </c>
      <c r="C2401" s="10" t="s">
        <v>7164</v>
      </c>
      <c r="D2401" s="10" t="s">
        <v>7306</v>
      </c>
      <c r="E2401" s="10" t="s">
        <v>6182</v>
      </c>
      <c r="F2401" s="10" t="s">
        <v>1646</v>
      </c>
      <c r="G2401" s="10" t="s">
        <v>23</v>
      </c>
      <c r="H2401" s="7" t="s">
        <v>24</v>
      </c>
      <c r="I2401" s="7" t="s">
        <v>25</v>
      </c>
      <c r="J2401" s="13" t="str">
        <f>HYPERLINK("https://www.airitibooks.com/Detail/Detail?PublicationID=P20171103091", "https://www.airitibooks.com/Detail/Detail?PublicationID=P20171103091")</f>
        <v>https://www.airitibooks.com/Detail/Detail?PublicationID=P20171103091</v>
      </c>
      <c r="K2401" s="13" t="str">
        <f>HYPERLINK("https://ntsu.idm.oclc.org/login?url=https://www.airitibooks.com/Detail/Detail?PublicationID=P20171103091", "https://ntsu.idm.oclc.org/login?url=https://www.airitibooks.com/Detail/Detail?PublicationID=P20171103091")</f>
        <v>https://ntsu.idm.oclc.org/login?url=https://www.airitibooks.com/Detail/Detail?PublicationID=P20171103091</v>
      </c>
    </row>
    <row r="2402" spans="1:11" ht="51" x14ac:dyDescent="0.4">
      <c r="A2402" s="10" t="s">
        <v>7313</v>
      </c>
      <c r="B2402" s="10" t="s">
        <v>7314</v>
      </c>
      <c r="C2402" s="10" t="s">
        <v>7164</v>
      </c>
      <c r="D2402" s="10" t="s">
        <v>7315</v>
      </c>
      <c r="E2402" s="10" t="s">
        <v>6182</v>
      </c>
      <c r="F2402" s="10" t="s">
        <v>7316</v>
      </c>
      <c r="G2402" s="10" t="s">
        <v>23</v>
      </c>
      <c r="H2402" s="7" t="s">
        <v>24</v>
      </c>
      <c r="I2402" s="7" t="s">
        <v>25</v>
      </c>
      <c r="J2402" s="13" t="str">
        <f>HYPERLINK("https://www.airitibooks.com/Detail/Detail?PublicationID=P20171103093", "https://www.airitibooks.com/Detail/Detail?PublicationID=P20171103093")</f>
        <v>https://www.airitibooks.com/Detail/Detail?PublicationID=P20171103093</v>
      </c>
      <c r="K2402" s="13" t="str">
        <f>HYPERLINK("https://ntsu.idm.oclc.org/login?url=https://www.airitibooks.com/Detail/Detail?PublicationID=P20171103093", "https://ntsu.idm.oclc.org/login?url=https://www.airitibooks.com/Detail/Detail?PublicationID=P20171103093")</f>
        <v>https://ntsu.idm.oclc.org/login?url=https://www.airitibooks.com/Detail/Detail?PublicationID=P20171103093</v>
      </c>
    </row>
    <row r="2403" spans="1:11" ht="51" x14ac:dyDescent="0.4">
      <c r="A2403" s="10" t="s">
        <v>7317</v>
      </c>
      <c r="B2403" s="10" t="s">
        <v>7318</v>
      </c>
      <c r="C2403" s="10" t="s">
        <v>7164</v>
      </c>
      <c r="D2403" s="10" t="s">
        <v>7319</v>
      </c>
      <c r="E2403" s="10" t="s">
        <v>6182</v>
      </c>
      <c r="F2403" s="10" t="s">
        <v>2576</v>
      </c>
      <c r="G2403" s="10" t="s">
        <v>23</v>
      </c>
      <c r="H2403" s="7" t="s">
        <v>24</v>
      </c>
      <c r="I2403" s="7" t="s">
        <v>25</v>
      </c>
      <c r="J2403" s="13" t="str">
        <f>HYPERLINK("https://www.airitibooks.com/Detail/Detail?PublicationID=P20171103095", "https://www.airitibooks.com/Detail/Detail?PublicationID=P20171103095")</f>
        <v>https://www.airitibooks.com/Detail/Detail?PublicationID=P20171103095</v>
      </c>
      <c r="K2403" s="13" t="str">
        <f>HYPERLINK("https://ntsu.idm.oclc.org/login?url=https://www.airitibooks.com/Detail/Detail?PublicationID=P20171103095", "https://ntsu.idm.oclc.org/login?url=https://www.airitibooks.com/Detail/Detail?PublicationID=P20171103095")</f>
        <v>https://ntsu.idm.oclc.org/login?url=https://www.airitibooks.com/Detail/Detail?PublicationID=P20171103095</v>
      </c>
    </row>
    <row r="2404" spans="1:11" ht="51" x14ac:dyDescent="0.4">
      <c r="A2404" s="10" t="s">
        <v>7380</v>
      </c>
      <c r="B2404" s="10" t="s">
        <v>7381</v>
      </c>
      <c r="C2404" s="10" t="s">
        <v>7164</v>
      </c>
      <c r="D2404" s="10" t="s">
        <v>7382</v>
      </c>
      <c r="E2404" s="10" t="s">
        <v>6182</v>
      </c>
      <c r="F2404" s="10" t="s">
        <v>7383</v>
      </c>
      <c r="G2404" s="10" t="s">
        <v>23</v>
      </c>
      <c r="H2404" s="7" t="s">
        <v>24</v>
      </c>
      <c r="I2404" s="7" t="s">
        <v>25</v>
      </c>
      <c r="J2404" s="13" t="str">
        <f>HYPERLINK("https://www.airitibooks.com/Detail/Detail?PublicationID=P20171103167", "https://www.airitibooks.com/Detail/Detail?PublicationID=P20171103167")</f>
        <v>https://www.airitibooks.com/Detail/Detail?PublicationID=P20171103167</v>
      </c>
      <c r="K2404" s="13" t="str">
        <f>HYPERLINK("https://ntsu.idm.oclc.org/login?url=https://www.airitibooks.com/Detail/Detail?PublicationID=P20171103167", "https://ntsu.idm.oclc.org/login?url=https://www.airitibooks.com/Detail/Detail?PublicationID=P20171103167")</f>
        <v>https://ntsu.idm.oclc.org/login?url=https://www.airitibooks.com/Detail/Detail?PublicationID=P20171103167</v>
      </c>
    </row>
    <row r="2405" spans="1:11" ht="51" x14ac:dyDescent="0.4">
      <c r="A2405" s="10" t="s">
        <v>7403</v>
      </c>
      <c r="B2405" s="10" t="s">
        <v>7404</v>
      </c>
      <c r="C2405" s="10" t="s">
        <v>7164</v>
      </c>
      <c r="D2405" s="10" t="s">
        <v>7405</v>
      </c>
      <c r="E2405" s="10" t="s">
        <v>6182</v>
      </c>
      <c r="F2405" s="10" t="s">
        <v>1856</v>
      </c>
      <c r="G2405" s="10" t="s">
        <v>23</v>
      </c>
      <c r="H2405" s="7" t="s">
        <v>24</v>
      </c>
      <c r="I2405" s="7" t="s">
        <v>25</v>
      </c>
      <c r="J2405" s="13" t="str">
        <f>HYPERLINK("https://www.airitibooks.com/Detail/Detail?PublicationID=P20171103175", "https://www.airitibooks.com/Detail/Detail?PublicationID=P20171103175")</f>
        <v>https://www.airitibooks.com/Detail/Detail?PublicationID=P20171103175</v>
      </c>
      <c r="K2405" s="13" t="str">
        <f>HYPERLINK("https://ntsu.idm.oclc.org/login?url=https://www.airitibooks.com/Detail/Detail?PublicationID=P20171103175", "https://ntsu.idm.oclc.org/login?url=https://www.airitibooks.com/Detail/Detail?PublicationID=P20171103175")</f>
        <v>https://ntsu.idm.oclc.org/login?url=https://www.airitibooks.com/Detail/Detail?PublicationID=P20171103175</v>
      </c>
    </row>
    <row r="2406" spans="1:11" ht="51" x14ac:dyDescent="0.4">
      <c r="A2406" s="10" t="s">
        <v>7406</v>
      </c>
      <c r="B2406" s="10" t="s">
        <v>7407</v>
      </c>
      <c r="C2406" s="10" t="s">
        <v>7164</v>
      </c>
      <c r="D2406" s="10" t="s">
        <v>7408</v>
      </c>
      <c r="E2406" s="10" t="s">
        <v>6182</v>
      </c>
      <c r="F2406" s="10" t="s">
        <v>7409</v>
      </c>
      <c r="G2406" s="10" t="s">
        <v>23</v>
      </c>
      <c r="H2406" s="7" t="s">
        <v>24</v>
      </c>
      <c r="I2406" s="7" t="s">
        <v>25</v>
      </c>
      <c r="J2406" s="13" t="str">
        <f>HYPERLINK("https://www.airitibooks.com/Detail/Detail?PublicationID=P20171103176", "https://www.airitibooks.com/Detail/Detail?PublicationID=P20171103176")</f>
        <v>https://www.airitibooks.com/Detail/Detail?PublicationID=P20171103176</v>
      </c>
      <c r="K2406" s="13" t="str">
        <f>HYPERLINK("https://ntsu.idm.oclc.org/login?url=https://www.airitibooks.com/Detail/Detail?PublicationID=P20171103176", "https://ntsu.idm.oclc.org/login?url=https://www.airitibooks.com/Detail/Detail?PublicationID=P20171103176")</f>
        <v>https://ntsu.idm.oclc.org/login?url=https://www.airitibooks.com/Detail/Detail?PublicationID=P20171103176</v>
      </c>
    </row>
    <row r="2407" spans="1:11" ht="51" x14ac:dyDescent="0.4">
      <c r="A2407" s="10" t="s">
        <v>7410</v>
      </c>
      <c r="B2407" s="10" t="s">
        <v>7411</v>
      </c>
      <c r="C2407" s="10" t="s">
        <v>7164</v>
      </c>
      <c r="D2407" s="10" t="s">
        <v>7412</v>
      </c>
      <c r="E2407" s="10" t="s">
        <v>6182</v>
      </c>
      <c r="F2407" s="10" t="s">
        <v>7413</v>
      </c>
      <c r="G2407" s="10" t="s">
        <v>23</v>
      </c>
      <c r="H2407" s="7" t="s">
        <v>24</v>
      </c>
      <c r="I2407" s="7" t="s">
        <v>25</v>
      </c>
      <c r="J2407" s="13" t="str">
        <f>HYPERLINK("https://www.airitibooks.com/Detail/Detail?PublicationID=P20171103177", "https://www.airitibooks.com/Detail/Detail?PublicationID=P20171103177")</f>
        <v>https://www.airitibooks.com/Detail/Detail?PublicationID=P20171103177</v>
      </c>
      <c r="K2407" s="13" t="str">
        <f>HYPERLINK("https://ntsu.idm.oclc.org/login?url=https://www.airitibooks.com/Detail/Detail?PublicationID=P20171103177", "https://ntsu.idm.oclc.org/login?url=https://www.airitibooks.com/Detail/Detail?PublicationID=P20171103177")</f>
        <v>https://ntsu.idm.oclc.org/login?url=https://www.airitibooks.com/Detail/Detail?PublicationID=P20171103177</v>
      </c>
    </row>
    <row r="2408" spans="1:11" ht="51" x14ac:dyDescent="0.4">
      <c r="A2408" s="10" t="s">
        <v>7423</v>
      </c>
      <c r="B2408" s="10" t="s">
        <v>7424</v>
      </c>
      <c r="C2408" s="10" t="s">
        <v>7164</v>
      </c>
      <c r="D2408" s="10" t="s">
        <v>7425</v>
      </c>
      <c r="E2408" s="10" t="s">
        <v>6182</v>
      </c>
      <c r="F2408" s="10" t="s">
        <v>1856</v>
      </c>
      <c r="G2408" s="10" t="s">
        <v>23</v>
      </c>
      <c r="H2408" s="7" t="s">
        <v>24</v>
      </c>
      <c r="I2408" s="7" t="s">
        <v>25</v>
      </c>
      <c r="J2408" s="13" t="str">
        <f>HYPERLINK("https://www.airitibooks.com/Detail/Detail?PublicationID=P20171103187", "https://www.airitibooks.com/Detail/Detail?PublicationID=P20171103187")</f>
        <v>https://www.airitibooks.com/Detail/Detail?PublicationID=P20171103187</v>
      </c>
      <c r="K2408" s="13" t="str">
        <f>HYPERLINK("https://ntsu.idm.oclc.org/login?url=https://www.airitibooks.com/Detail/Detail?PublicationID=P20171103187", "https://ntsu.idm.oclc.org/login?url=https://www.airitibooks.com/Detail/Detail?PublicationID=P20171103187")</f>
        <v>https://ntsu.idm.oclc.org/login?url=https://www.airitibooks.com/Detail/Detail?PublicationID=P20171103187</v>
      </c>
    </row>
    <row r="2409" spans="1:11" ht="51" x14ac:dyDescent="0.4">
      <c r="A2409" s="10" t="s">
        <v>7443</v>
      </c>
      <c r="B2409" s="10" t="s">
        <v>7444</v>
      </c>
      <c r="C2409" s="10" t="s">
        <v>7164</v>
      </c>
      <c r="D2409" s="10" t="s">
        <v>7445</v>
      </c>
      <c r="E2409" s="10" t="s">
        <v>6182</v>
      </c>
      <c r="F2409" s="10" t="s">
        <v>7447</v>
      </c>
      <c r="G2409" s="10" t="s">
        <v>23</v>
      </c>
      <c r="H2409" s="7" t="s">
        <v>24</v>
      </c>
      <c r="I2409" s="7" t="s">
        <v>25</v>
      </c>
      <c r="J2409" s="13" t="str">
        <f>HYPERLINK("https://www.airitibooks.com/Detail/Detail?PublicationID=P20171103245", "https://www.airitibooks.com/Detail/Detail?PublicationID=P20171103245")</f>
        <v>https://www.airitibooks.com/Detail/Detail?PublicationID=P20171103245</v>
      </c>
      <c r="K2409" s="13" t="str">
        <f>HYPERLINK("https://ntsu.idm.oclc.org/login?url=https://www.airitibooks.com/Detail/Detail?PublicationID=P20171103245", "https://ntsu.idm.oclc.org/login?url=https://www.airitibooks.com/Detail/Detail?PublicationID=P20171103245")</f>
        <v>https://ntsu.idm.oclc.org/login?url=https://www.airitibooks.com/Detail/Detail?PublicationID=P20171103245</v>
      </c>
    </row>
    <row r="2410" spans="1:11" ht="51" x14ac:dyDescent="0.4">
      <c r="A2410" s="10" t="s">
        <v>7479</v>
      </c>
      <c r="B2410" s="10" t="s">
        <v>7480</v>
      </c>
      <c r="C2410" s="10" t="s">
        <v>7164</v>
      </c>
      <c r="D2410" s="10" t="s">
        <v>7481</v>
      </c>
      <c r="E2410" s="10" t="s">
        <v>6182</v>
      </c>
      <c r="F2410" s="10" t="s">
        <v>7482</v>
      </c>
      <c r="G2410" s="10" t="s">
        <v>23</v>
      </c>
      <c r="H2410" s="7" t="s">
        <v>24</v>
      </c>
      <c r="I2410" s="7" t="s">
        <v>25</v>
      </c>
      <c r="J2410" s="13" t="str">
        <f>HYPERLINK("https://www.airitibooks.com/Detail/Detail?PublicationID=P20171103362", "https://www.airitibooks.com/Detail/Detail?PublicationID=P20171103362")</f>
        <v>https://www.airitibooks.com/Detail/Detail?PublicationID=P20171103362</v>
      </c>
      <c r="K2410" s="13" t="str">
        <f>HYPERLINK("https://ntsu.idm.oclc.org/login?url=https://www.airitibooks.com/Detail/Detail?PublicationID=P20171103362", "https://ntsu.idm.oclc.org/login?url=https://www.airitibooks.com/Detail/Detail?PublicationID=P20171103362")</f>
        <v>https://ntsu.idm.oclc.org/login?url=https://www.airitibooks.com/Detail/Detail?PublicationID=P20171103362</v>
      </c>
    </row>
    <row r="2411" spans="1:11" ht="51" x14ac:dyDescent="0.4">
      <c r="A2411" s="10" t="s">
        <v>7574</v>
      </c>
      <c r="B2411" s="10" t="s">
        <v>7575</v>
      </c>
      <c r="C2411" s="10" t="s">
        <v>7164</v>
      </c>
      <c r="D2411" s="10" t="s">
        <v>7576</v>
      </c>
      <c r="E2411" s="10" t="s">
        <v>6182</v>
      </c>
      <c r="F2411" s="10" t="s">
        <v>7413</v>
      </c>
      <c r="G2411" s="10" t="s">
        <v>23</v>
      </c>
      <c r="H2411" s="7" t="s">
        <v>24</v>
      </c>
      <c r="I2411" s="7" t="s">
        <v>25</v>
      </c>
      <c r="J2411" s="13" t="str">
        <f>HYPERLINK("https://www.airitibooks.com/Detail/Detail?PublicationID=P20171103541", "https://www.airitibooks.com/Detail/Detail?PublicationID=P20171103541")</f>
        <v>https://www.airitibooks.com/Detail/Detail?PublicationID=P20171103541</v>
      </c>
      <c r="K2411" s="13" t="str">
        <f>HYPERLINK("https://ntsu.idm.oclc.org/login?url=https://www.airitibooks.com/Detail/Detail?PublicationID=P20171103541", "https://ntsu.idm.oclc.org/login?url=https://www.airitibooks.com/Detail/Detail?PublicationID=P20171103541")</f>
        <v>https://ntsu.idm.oclc.org/login?url=https://www.airitibooks.com/Detail/Detail?PublicationID=P20171103541</v>
      </c>
    </row>
    <row r="2412" spans="1:11" ht="51" x14ac:dyDescent="0.4">
      <c r="A2412" s="10" t="s">
        <v>7577</v>
      </c>
      <c r="B2412" s="10" t="s">
        <v>7578</v>
      </c>
      <c r="C2412" s="10" t="s">
        <v>7164</v>
      </c>
      <c r="D2412" s="10" t="s">
        <v>7576</v>
      </c>
      <c r="E2412" s="10" t="s">
        <v>6182</v>
      </c>
      <c r="F2412" s="10" t="s">
        <v>7413</v>
      </c>
      <c r="G2412" s="10" t="s">
        <v>23</v>
      </c>
      <c r="H2412" s="7" t="s">
        <v>24</v>
      </c>
      <c r="I2412" s="7" t="s">
        <v>25</v>
      </c>
      <c r="J2412" s="13" t="str">
        <f>HYPERLINK("https://www.airitibooks.com/Detail/Detail?PublicationID=P20171103547", "https://www.airitibooks.com/Detail/Detail?PublicationID=P20171103547")</f>
        <v>https://www.airitibooks.com/Detail/Detail?PublicationID=P20171103547</v>
      </c>
      <c r="K2412" s="13" t="str">
        <f>HYPERLINK("https://ntsu.idm.oclc.org/login?url=https://www.airitibooks.com/Detail/Detail?PublicationID=P20171103547", "https://ntsu.idm.oclc.org/login?url=https://www.airitibooks.com/Detail/Detail?PublicationID=P20171103547")</f>
        <v>https://ntsu.idm.oclc.org/login?url=https://www.airitibooks.com/Detail/Detail?PublicationID=P20171103547</v>
      </c>
    </row>
    <row r="2413" spans="1:11" ht="51" x14ac:dyDescent="0.4">
      <c r="A2413" s="10" t="s">
        <v>7583</v>
      </c>
      <c r="B2413" s="10" t="s">
        <v>7584</v>
      </c>
      <c r="C2413" s="10" t="s">
        <v>7164</v>
      </c>
      <c r="D2413" s="10" t="s">
        <v>7585</v>
      </c>
      <c r="E2413" s="10" t="s">
        <v>6182</v>
      </c>
      <c r="F2413" s="10" t="s">
        <v>1856</v>
      </c>
      <c r="G2413" s="10" t="s">
        <v>23</v>
      </c>
      <c r="H2413" s="7" t="s">
        <v>24</v>
      </c>
      <c r="I2413" s="7" t="s">
        <v>25</v>
      </c>
      <c r="J2413" s="13" t="str">
        <f>HYPERLINK("https://www.airitibooks.com/Detail/Detail?PublicationID=P20171103560", "https://www.airitibooks.com/Detail/Detail?PublicationID=P20171103560")</f>
        <v>https://www.airitibooks.com/Detail/Detail?PublicationID=P20171103560</v>
      </c>
      <c r="K2413" s="13" t="str">
        <f>HYPERLINK("https://ntsu.idm.oclc.org/login?url=https://www.airitibooks.com/Detail/Detail?PublicationID=P20171103560", "https://ntsu.idm.oclc.org/login?url=https://www.airitibooks.com/Detail/Detail?PublicationID=P20171103560")</f>
        <v>https://ntsu.idm.oclc.org/login?url=https://www.airitibooks.com/Detail/Detail?PublicationID=P20171103560</v>
      </c>
    </row>
    <row r="2414" spans="1:11" ht="51" x14ac:dyDescent="0.4">
      <c r="A2414" s="10" t="s">
        <v>7589</v>
      </c>
      <c r="B2414" s="10" t="s">
        <v>7590</v>
      </c>
      <c r="C2414" s="10" t="s">
        <v>7164</v>
      </c>
      <c r="D2414" s="10" t="s">
        <v>7588</v>
      </c>
      <c r="E2414" s="10" t="s">
        <v>6182</v>
      </c>
      <c r="F2414" s="10" t="s">
        <v>1856</v>
      </c>
      <c r="G2414" s="10" t="s">
        <v>23</v>
      </c>
      <c r="H2414" s="7" t="s">
        <v>24</v>
      </c>
      <c r="I2414" s="7" t="s">
        <v>25</v>
      </c>
      <c r="J2414" s="13" t="str">
        <f>HYPERLINK("https://www.airitibooks.com/Detail/Detail?PublicationID=P20171103607", "https://www.airitibooks.com/Detail/Detail?PublicationID=P20171103607")</f>
        <v>https://www.airitibooks.com/Detail/Detail?PublicationID=P20171103607</v>
      </c>
      <c r="K2414" s="13" t="str">
        <f>HYPERLINK("https://ntsu.idm.oclc.org/login?url=https://www.airitibooks.com/Detail/Detail?PublicationID=P20171103607", "https://ntsu.idm.oclc.org/login?url=https://www.airitibooks.com/Detail/Detail?PublicationID=P20171103607")</f>
        <v>https://ntsu.idm.oclc.org/login?url=https://www.airitibooks.com/Detail/Detail?PublicationID=P20171103607</v>
      </c>
    </row>
    <row r="2415" spans="1:11" ht="51" x14ac:dyDescent="0.4">
      <c r="A2415" s="10" t="s">
        <v>7645</v>
      </c>
      <c r="B2415" s="10" t="s">
        <v>7646</v>
      </c>
      <c r="C2415" s="10" t="s">
        <v>7164</v>
      </c>
      <c r="D2415" s="10" t="s">
        <v>7647</v>
      </c>
      <c r="E2415" s="10" t="s">
        <v>6182</v>
      </c>
      <c r="F2415" s="10" t="s">
        <v>1856</v>
      </c>
      <c r="G2415" s="10" t="s">
        <v>23</v>
      </c>
      <c r="H2415" s="7" t="s">
        <v>24</v>
      </c>
      <c r="I2415" s="7" t="s">
        <v>25</v>
      </c>
      <c r="J2415" s="13" t="str">
        <f>HYPERLINK("https://www.airitibooks.com/Detail/Detail?PublicationID=P20171103803", "https://www.airitibooks.com/Detail/Detail?PublicationID=P20171103803")</f>
        <v>https://www.airitibooks.com/Detail/Detail?PublicationID=P20171103803</v>
      </c>
      <c r="K2415" s="13" t="str">
        <f>HYPERLINK("https://ntsu.idm.oclc.org/login?url=https://www.airitibooks.com/Detail/Detail?PublicationID=P20171103803", "https://ntsu.idm.oclc.org/login?url=https://www.airitibooks.com/Detail/Detail?PublicationID=P20171103803")</f>
        <v>https://ntsu.idm.oclc.org/login?url=https://www.airitibooks.com/Detail/Detail?PublicationID=P20171103803</v>
      </c>
    </row>
    <row r="2416" spans="1:11" ht="51" x14ac:dyDescent="0.4">
      <c r="A2416" s="10" t="s">
        <v>7648</v>
      </c>
      <c r="B2416" s="10" t="s">
        <v>7649</v>
      </c>
      <c r="C2416" s="10" t="s">
        <v>7164</v>
      </c>
      <c r="D2416" s="10" t="s">
        <v>7650</v>
      </c>
      <c r="E2416" s="10" t="s">
        <v>6182</v>
      </c>
      <c r="F2416" s="10" t="s">
        <v>565</v>
      </c>
      <c r="G2416" s="10" t="s">
        <v>23</v>
      </c>
      <c r="H2416" s="7" t="s">
        <v>24</v>
      </c>
      <c r="I2416" s="7" t="s">
        <v>25</v>
      </c>
      <c r="J2416" s="13" t="str">
        <f>HYPERLINK("https://www.airitibooks.com/Detail/Detail?PublicationID=P20171103804", "https://www.airitibooks.com/Detail/Detail?PublicationID=P20171103804")</f>
        <v>https://www.airitibooks.com/Detail/Detail?PublicationID=P20171103804</v>
      </c>
      <c r="K2416" s="13" t="str">
        <f>HYPERLINK("https://ntsu.idm.oclc.org/login?url=https://www.airitibooks.com/Detail/Detail?PublicationID=P20171103804", "https://ntsu.idm.oclc.org/login?url=https://www.airitibooks.com/Detail/Detail?PublicationID=P20171103804")</f>
        <v>https://ntsu.idm.oclc.org/login?url=https://www.airitibooks.com/Detail/Detail?PublicationID=P20171103804</v>
      </c>
    </row>
    <row r="2417" spans="1:11" ht="51" x14ac:dyDescent="0.4">
      <c r="A2417" s="10" t="s">
        <v>7715</v>
      </c>
      <c r="B2417" s="10" t="s">
        <v>7716</v>
      </c>
      <c r="C2417" s="10" t="s">
        <v>7164</v>
      </c>
      <c r="D2417" s="10" t="s">
        <v>7717</v>
      </c>
      <c r="E2417" s="10" t="s">
        <v>6182</v>
      </c>
      <c r="F2417" s="10" t="s">
        <v>2325</v>
      </c>
      <c r="G2417" s="10" t="s">
        <v>23</v>
      </c>
      <c r="H2417" s="7" t="s">
        <v>24</v>
      </c>
      <c r="I2417" s="7" t="s">
        <v>25</v>
      </c>
      <c r="J2417" s="13" t="str">
        <f>HYPERLINK("https://www.airitibooks.com/Detail/Detail?PublicationID=P20171103892", "https://www.airitibooks.com/Detail/Detail?PublicationID=P20171103892")</f>
        <v>https://www.airitibooks.com/Detail/Detail?PublicationID=P20171103892</v>
      </c>
      <c r="K2417" s="13" t="str">
        <f>HYPERLINK("https://ntsu.idm.oclc.org/login?url=https://www.airitibooks.com/Detail/Detail?PublicationID=P20171103892", "https://ntsu.idm.oclc.org/login?url=https://www.airitibooks.com/Detail/Detail?PublicationID=P20171103892")</f>
        <v>https://ntsu.idm.oclc.org/login?url=https://www.airitibooks.com/Detail/Detail?PublicationID=P20171103892</v>
      </c>
    </row>
    <row r="2418" spans="1:11" ht="51" x14ac:dyDescent="0.4">
      <c r="A2418" s="10" t="s">
        <v>7721</v>
      </c>
      <c r="B2418" s="10" t="s">
        <v>7722</v>
      </c>
      <c r="C2418" s="10" t="s">
        <v>7164</v>
      </c>
      <c r="D2418" s="10" t="s">
        <v>7723</v>
      </c>
      <c r="E2418" s="10" t="s">
        <v>6182</v>
      </c>
      <c r="F2418" s="10" t="s">
        <v>7043</v>
      </c>
      <c r="G2418" s="10" t="s">
        <v>23</v>
      </c>
      <c r="H2418" s="7" t="s">
        <v>24</v>
      </c>
      <c r="I2418" s="7" t="s">
        <v>25</v>
      </c>
      <c r="J2418" s="13" t="str">
        <f>HYPERLINK("https://www.airitibooks.com/Detail/Detail?PublicationID=P20171103898", "https://www.airitibooks.com/Detail/Detail?PublicationID=P20171103898")</f>
        <v>https://www.airitibooks.com/Detail/Detail?PublicationID=P20171103898</v>
      </c>
      <c r="K2418" s="13" t="str">
        <f>HYPERLINK("https://ntsu.idm.oclc.org/login?url=https://www.airitibooks.com/Detail/Detail?PublicationID=P20171103898", "https://ntsu.idm.oclc.org/login?url=https://www.airitibooks.com/Detail/Detail?PublicationID=P20171103898")</f>
        <v>https://ntsu.idm.oclc.org/login?url=https://www.airitibooks.com/Detail/Detail?PublicationID=P20171103898</v>
      </c>
    </row>
    <row r="2419" spans="1:11" ht="51" x14ac:dyDescent="0.4">
      <c r="A2419" s="10" t="s">
        <v>7757</v>
      </c>
      <c r="B2419" s="10" t="s">
        <v>7758</v>
      </c>
      <c r="C2419" s="10" t="s">
        <v>1484</v>
      </c>
      <c r="D2419" s="10" t="s">
        <v>7759</v>
      </c>
      <c r="E2419" s="10" t="s">
        <v>6182</v>
      </c>
      <c r="F2419" s="10" t="s">
        <v>2947</v>
      </c>
      <c r="G2419" s="10" t="s">
        <v>23</v>
      </c>
      <c r="H2419" s="7" t="s">
        <v>24</v>
      </c>
      <c r="I2419" s="7" t="s">
        <v>25</v>
      </c>
      <c r="J2419" s="13" t="str">
        <f>HYPERLINK("https://www.airitibooks.com/Detail/Detail?PublicationID=P20171118362", "https://www.airitibooks.com/Detail/Detail?PublicationID=P20171118362")</f>
        <v>https://www.airitibooks.com/Detail/Detail?PublicationID=P20171118362</v>
      </c>
      <c r="K2419" s="13" t="str">
        <f>HYPERLINK("https://ntsu.idm.oclc.org/login?url=https://www.airitibooks.com/Detail/Detail?PublicationID=P20171118362", "https://ntsu.idm.oclc.org/login?url=https://www.airitibooks.com/Detail/Detail?PublicationID=P20171118362")</f>
        <v>https://ntsu.idm.oclc.org/login?url=https://www.airitibooks.com/Detail/Detail?PublicationID=P20171118362</v>
      </c>
    </row>
    <row r="2420" spans="1:11" ht="51" x14ac:dyDescent="0.4">
      <c r="A2420" s="10" t="s">
        <v>7780</v>
      </c>
      <c r="B2420" s="10" t="s">
        <v>7781</v>
      </c>
      <c r="C2420" s="10" t="s">
        <v>297</v>
      </c>
      <c r="D2420" s="10" t="s">
        <v>7782</v>
      </c>
      <c r="E2420" s="10" t="s">
        <v>6182</v>
      </c>
      <c r="F2420" s="10" t="s">
        <v>3789</v>
      </c>
      <c r="G2420" s="10" t="s">
        <v>23</v>
      </c>
      <c r="H2420" s="7" t="s">
        <v>24</v>
      </c>
      <c r="I2420" s="7" t="s">
        <v>25</v>
      </c>
      <c r="J2420" s="13" t="str">
        <f>HYPERLINK("https://www.airitibooks.com/Detail/Detail?PublicationID=P20171127055", "https://www.airitibooks.com/Detail/Detail?PublicationID=P20171127055")</f>
        <v>https://www.airitibooks.com/Detail/Detail?PublicationID=P20171127055</v>
      </c>
      <c r="K2420" s="13" t="str">
        <f>HYPERLINK("https://ntsu.idm.oclc.org/login?url=https://www.airitibooks.com/Detail/Detail?PublicationID=P20171127055", "https://ntsu.idm.oclc.org/login?url=https://www.airitibooks.com/Detail/Detail?PublicationID=P20171127055")</f>
        <v>https://ntsu.idm.oclc.org/login?url=https://www.airitibooks.com/Detail/Detail?PublicationID=P20171127055</v>
      </c>
    </row>
    <row r="2421" spans="1:11" ht="51" x14ac:dyDescent="0.4">
      <c r="A2421" s="10" t="s">
        <v>7795</v>
      </c>
      <c r="B2421" s="10" t="s">
        <v>7796</v>
      </c>
      <c r="C2421" s="10" t="s">
        <v>212</v>
      </c>
      <c r="D2421" s="10" t="s">
        <v>7797</v>
      </c>
      <c r="E2421" s="10" t="s">
        <v>6182</v>
      </c>
      <c r="F2421" s="10" t="s">
        <v>214</v>
      </c>
      <c r="G2421" s="10" t="s">
        <v>23</v>
      </c>
      <c r="H2421" s="7" t="s">
        <v>24</v>
      </c>
      <c r="I2421" s="7" t="s">
        <v>25</v>
      </c>
      <c r="J2421" s="13" t="str">
        <f>HYPERLINK("https://www.airitibooks.com/Detail/Detail?PublicationID=P20171127060", "https://www.airitibooks.com/Detail/Detail?PublicationID=P20171127060")</f>
        <v>https://www.airitibooks.com/Detail/Detail?PublicationID=P20171127060</v>
      </c>
      <c r="K2421" s="13" t="str">
        <f>HYPERLINK("https://ntsu.idm.oclc.org/login?url=https://www.airitibooks.com/Detail/Detail?PublicationID=P20171127060", "https://ntsu.idm.oclc.org/login?url=https://www.airitibooks.com/Detail/Detail?PublicationID=P20171127060")</f>
        <v>https://ntsu.idm.oclc.org/login?url=https://www.airitibooks.com/Detail/Detail?PublicationID=P20171127060</v>
      </c>
    </row>
    <row r="2422" spans="1:11" ht="51" x14ac:dyDescent="0.4">
      <c r="A2422" s="10" t="s">
        <v>7798</v>
      </c>
      <c r="B2422" s="10" t="s">
        <v>7799</v>
      </c>
      <c r="C2422" s="10" t="s">
        <v>212</v>
      </c>
      <c r="D2422" s="10" t="s">
        <v>213</v>
      </c>
      <c r="E2422" s="10" t="s">
        <v>6182</v>
      </c>
      <c r="F2422" s="10" t="s">
        <v>214</v>
      </c>
      <c r="G2422" s="10" t="s">
        <v>23</v>
      </c>
      <c r="H2422" s="7" t="s">
        <v>24</v>
      </c>
      <c r="I2422" s="7" t="s">
        <v>25</v>
      </c>
      <c r="J2422" s="13" t="str">
        <f>HYPERLINK("https://www.airitibooks.com/Detail/Detail?PublicationID=P20171127061", "https://www.airitibooks.com/Detail/Detail?PublicationID=P20171127061")</f>
        <v>https://www.airitibooks.com/Detail/Detail?PublicationID=P20171127061</v>
      </c>
      <c r="K2422" s="13" t="str">
        <f>HYPERLINK("https://ntsu.idm.oclc.org/login?url=https://www.airitibooks.com/Detail/Detail?PublicationID=P20171127061", "https://ntsu.idm.oclc.org/login?url=https://www.airitibooks.com/Detail/Detail?PublicationID=P20171127061")</f>
        <v>https://ntsu.idm.oclc.org/login?url=https://www.airitibooks.com/Detail/Detail?PublicationID=P20171127061</v>
      </c>
    </row>
    <row r="2423" spans="1:11" ht="51" x14ac:dyDescent="0.4">
      <c r="A2423" s="10" t="s">
        <v>7800</v>
      </c>
      <c r="B2423" s="10" t="s">
        <v>7801</v>
      </c>
      <c r="C2423" s="10" t="s">
        <v>212</v>
      </c>
      <c r="D2423" s="10" t="s">
        <v>213</v>
      </c>
      <c r="E2423" s="10" t="s">
        <v>6182</v>
      </c>
      <c r="F2423" s="10" t="s">
        <v>214</v>
      </c>
      <c r="G2423" s="10" t="s">
        <v>23</v>
      </c>
      <c r="H2423" s="7" t="s">
        <v>24</v>
      </c>
      <c r="I2423" s="7" t="s">
        <v>25</v>
      </c>
      <c r="J2423" s="13" t="str">
        <f>HYPERLINK("https://www.airitibooks.com/Detail/Detail?PublicationID=P20171127062", "https://www.airitibooks.com/Detail/Detail?PublicationID=P20171127062")</f>
        <v>https://www.airitibooks.com/Detail/Detail?PublicationID=P20171127062</v>
      </c>
      <c r="K2423" s="13" t="str">
        <f>HYPERLINK("https://ntsu.idm.oclc.org/login?url=https://www.airitibooks.com/Detail/Detail?PublicationID=P20171127062", "https://ntsu.idm.oclc.org/login?url=https://www.airitibooks.com/Detail/Detail?PublicationID=P20171127062")</f>
        <v>https://ntsu.idm.oclc.org/login?url=https://www.airitibooks.com/Detail/Detail?PublicationID=P20171127062</v>
      </c>
    </row>
    <row r="2424" spans="1:11" ht="51" x14ac:dyDescent="0.4">
      <c r="A2424" s="10" t="s">
        <v>7802</v>
      </c>
      <c r="B2424" s="10" t="s">
        <v>7803</v>
      </c>
      <c r="C2424" s="10" t="s">
        <v>212</v>
      </c>
      <c r="D2424" s="10" t="s">
        <v>213</v>
      </c>
      <c r="E2424" s="10" t="s">
        <v>6182</v>
      </c>
      <c r="F2424" s="10" t="s">
        <v>214</v>
      </c>
      <c r="G2424" s="10" t="s">
        <v>23</v>
      </c>
      <c r="H2424" s="7" t="s">
        <v>24</v>
      </c>
      <c r="I2424" s="7" t="s">
        <v>25</v>
      </c>
      <c r="J2424" s="13" t="str">
        <f>HYPERLINK("https://www.airitibooks.com/Detail/Detail?PublicationID=P20171127063", "https://www.airitibooks.com/Detail/Detail?PublicationID=P20171127063")</f>
        <v>https://www.airitibooks.com/Detail/Detail?PublicationID=P20171127063</v>
      </c>
      <c r="K2424" s="13" t="str">
        <f>HYPERLINK("https://ntsu.idm.oclc.org/login?url=https://www.airitibooks.com/Detail/Detail?PublicationID=P20171127063", "https://ntsu.idm.oclc.org/login?url=https://www.airitibooks.com/Detail/Detail?PublicationID=P20171127063")</f>
        <v>https://ntsu.idm.oclc.org/login?url=https://www.airitibooks.com/Detail/Detail?PublicationID=P20171127063</v>
      </c>
    </row>
    <row r="2425" spans="1:11" ht="51" x14ac:dyDescent="0.4">
      <c r="A2425" s="10" t="s">
        <v>7804</v>
      </c>
      <c r="B2425" s="10" t="s">
        <v>7805</v>
      </c>
      <c r="C2425" s="10" t="s">
        <v>212</v>
      </c>
      <c r="D2425" s="10" t="s">
        <v>213</v>
      </c>
      <c r="E2425" s="10" t="s">
        <v>6182</v>
      </c>
      <c r="F2425" s="10" t="s">
        <v>214</v>
      </c>
      <c r="G2425" s="10" t="s">
        <v>23</v>
      </c>
      <c r="H2425" s="7" t="s">
        <v>24</v>
      </c>
      <c r="I2425" s="7" t="s">
        <v>25</v>
      </c>
      <c r="J2425" s="13" t="str">
        <f>HYPERLINK("https://www.airitibooks.com/Detail/Detail?PublicationID=P20171127064", "https://www.airitibooks.com/Detail/Detail?PublicationID=P20171127064")</f>
        <v>https://www.airitibooks.com/Detail/Detail?PublicationID=P20171127064</v>
      </c>
      <c r="K2425" s="13" t="str">
        <f>HYPERLINK("https://ntsu.idm.oclc.org/login?url=https://www.airitibooks.com/Detail/Detail?PublicationID=P20171127064", "https://ntsu.idm.oclc.org/login?url=https://www.airitibooks.com/Detail/Detail?PublicationID=P20171127064")</f>
        <v>https://ntsu.idm.oclc.org/login?url=https://www.airitibooks.com/Detail/Detail?PublicationID=P20171127064</v>
      </c>
    </row>
    <row r="2426" spans="1:11" ht="51" x14ac:dyDescent="0.4">
      <c r="A2426" s="10" t="s">
        <v>7806</v>
      </c>
      <c r="B2426" s="10" t="s">
        <v>7807</v>
      </c>
      <c r="C2426" s="10" t="s">
        <v>212</v>
      </c>
      <c r="D2426" s="10" t="s">
        <v>935</v>
      </c>
      <c r="E2426" s="10" t="s">
        <v>6182</v>
      </c>
      <c r="F2426" s="10" t="s">
        <v>793</v>
      </c>
      <c r="G2426" s="10" t="s">
        <v>23</v>
      </c>
      <c r="H2426" s="7" t="s">
        <v>24</v>
      </c>
      <c r="I2426" s="7" t="s">
        <v>25</v>
      </c>
      <c r="J2426" s="13" t="str">
        <f>HYPERLINK("https://www.airitibooks.com/Detail/Detail?PublicationID=P20171127065", "https://www.airitibooks.com/Detail/Detail?PublicationID=P20171127065")</f>
        <v>https://www.airitibooks.com/Detail/Detail?PublicationID=P20171127065</v>
      </c>
      <c r="K2426" s="13" t="str">
        <f>HYPERLINK("https://ntsu.idm.oclc.org/login?url=https://www.airitibooks.com/Detail/Detail?PublicationID=P20171127065", "https://ntsu.idm.oclc.org/login?url=https://www.airitibooks.com/Detail/Detail?PublicationID=P20171127065")</f>
        <v>https://ntsu.idm.oclc.org/login?url=https://www.airitibooks.com/Detail/Detail?PublicationID=P20171127065</v>
      </c>
    </row>
    <row r="2427" spans="1:11" ht="51" x14ac:dyDescent="0.4">
      <c r="A2427" s="10" t="s">
        <v>7808</v>
      </c>
      <c r="B2427" s="10" t="s">
        <v>7809</v>
      </c>
      <c r="C2427" s="10" t="s">
        <v>212</v>
      </c>
      <c r="D2427" s="10" t="s">
        <v>7810</v>
      </c>
      <c r="E2427" s="10" t="s">
        <v>6182</v>
      </c>
      <c r="F2427" s="10" t="s">
        <v>1122</v>
      </c>
      <c r="G2427" s="10" t="s">
        <v>23</v>
      </c>
      <c r="H2427" s="7" t="s">
        <v>24</v>
      </c>
      <c r="I2427" s="7" t="s">
        <v>25</v>
      </c>
      <c r="J2427" s="13" t="str">
        <f>HYPERLINK("https://www.airitibooks.com/Detail/Detail?PublicationID=P20171127066", "https://www.airitibooks.com/Detail/Detail?PublicationID=P20171127066")</f>
        <v>https://www.airitibooks.com/Detail/Detail?PublicationID=P20171127066</v>
      </c>
      <c r="K2427" s="13" t="str">
        <f>HYPERLINK("https://ntsu.idm.oclc.org/login?url=https://www.airitibooks.com/Detail/Detail?PublicationID=P20171127066", "https://ntsu.idm.oclc.org/login?url=https://www.airitibooks.com/Detail/Detail?PublicationID=P20171127066")</f>
        <v>https://ntsu.idm.oclc.org/login?url=https://www.airitibooks.com/Detail/Detail?PublicationID=P20171127066</v>
      </c>
    </row>
    <row r="2428" spans="1:11" ht="51" x14ac:dyDescent="0.4">
      <c r="A2428" s="10" t="s">
        <v>7811</v>
      </c>
      <c r="B2428" s="10" t="s">
        <v>7812</v>
      </c>
      <c r="C2428" s="10" t="s">
        <v>212</v>
      </c>
      <c r="D2428" s="10" t="s">
        <v>7813</v>
      </c>
      <c r="E2428" s="10" t="s">
        <v>6182</v>
      </c>
      <c r="F2428" s="10" t="s">
        <v>214</v>
      </c>
      <c r="G2428" s="10" t="s">
        <v>23</v>
      </c>
      <c r="H2428" s="7" t="s">
        <v>24</v>
      </c>
      <c r="I2428" s="7" t="s">
        <v>25</v>
      </c>
      <c r="J2428" s="13" t="str">
        <f>HYPERLINK("https://www.airitibooks.com/Detail/Detail?PublicationID=P20171127067", "https://www.airitibooks.com/Detail/Detail?PublicationID=P20171127067")</f>
        <v>https://www.airitibooks.com/Detail/Detail?PublicationID=P20171127067</v>
      </c>
      <c r="K2428" s="13" t="str">
        <f>HYPERLINK("https://ntsu.idm.oclc.org/login?url=https://www.airitibooks.com/Detail/Detail?PublicationID=P20171127067", "https://ntsu.idm.oclc.org/login?url=https://www.airitibooks.com/Detail/Detail?PublicationID=P20171127067")</f>
        <v>https://ntsu.idm.oclc.org/login?url=https://www.airitibooks.com/Detail/Detail?PublicationID=P20171127067</v>
      </c>
    </row>
    <row r="2429" spans="1:11" ht="51" x14ac:dyDescent="0.4">
      <c r="A2429" s="10" t="s">
        <v>300</v>
      </c>
      <c r="B2429" s="10" t="s">
        <v>7814</v>
      </c>
      <c r="C2429" s="10" t="s">
        <v>439</v>
      </c>
      <c r="D2429" s="10" t="s">
        <v>298</v>
      </c>
      <c r="E2429" s="10" t="s">
        <v>6182</v>
      </c>
      <c r="F2429" s="10" t="s">
        <v>299</v>
      </c>
      <c r="G2429" s="10" t="s">
        <v>23</v>
      </c>
      <c r="H2429" s="7" t="s">
        <v>24</v>
      </c>
      <c r="I2429" s="7" t="s">
        <v>25</v>
      </c>
      <c r="J2429" s="13" t="str">
        <f>HYPERLINK("https://www.airitibooks.com/Detail/Detail?PublicationID=P20171127070", "https://www.airitibooks.com/Detail/Detail?PublicationID=P20171127070")</f>
        <v>https://www.airitibooks.com/Detail/Detail?PublicationID=P20171127070</v>
      </c>
      <c r="K2429" s="13" t="str">
        <f>HYPERLINK("https://ntsu.idm.oclc.org/login?url=https://www.airitibooks.com/Detail/Detail?PublicationID=P20171127070", "https://ntsu.idm.oclc.org/login?url=https://www.airitibooks.com/Detail/Detail?PublicationID=P20171127070")</f>
        <v>https://ntsu.idm.oclc.org/login?url=https://www.airitibooks.com/Detail/Detail?PublicationID=P20171127070</v>
      </c>
    </row>
    <row r="2430" spans="1:11" ht="51" x14ac:dyDescent="0.4">
      <c r="A2430" s="10" t="s">
        <v>295</v>
      </c>
      <c r="B2430" s="10" t="s">
        <v>7819</v>
      </c>
      <c r="C2430" s="10" t="s">
        <v>439</v>
      </c>
      <c r="D2430" s="10" t="s">
        <v>298</v>
      </c>
      <c r="E2430" s="10" t="s">
        <v>6182</v>
      </c>
      <c r="F2430" s="10" t="s">
        <v>299</v>
      </c>
      <c r="G2430" s="10" t="s">
        <v>23</v>
      </c>
      <c r="H2430" s="7" t="s">
        <v>24</v>
      </c>
      <c r="I2430" s="7" t="s">
        <v>25</v>
      </c>
      <c r="J2430" s="13" t="str">
        <f>HYPERLINK("https://www.airitibooks.com/Detail/Detail?PublicationID=P20171127072", "https://www.airitibooks.com/Detail/Detail?PublicationID=P20171127072")</f>
        <v>https://www.airitibooks.com/Detail/Detail?PublicationID=P20171127072</v>
      </c>
      <c r="K2430" s="13" t="str">
        <f>HYPERLINK("https://ntsu.idm.oclc.org/login?url=https://www.airitibooks.com/Detail/Detail?PublicationID=P20171127072", "https://ntsu.idm.oclc.org/login?url=https://www.airitibooks.com/Detail/Detail?PublicationID=P20171127072")</f>
        <v>https://ntsu.idm.oclc.org/login?url=https://www.airitibooks.com/Detail/Detail?PublicationID=P20171127072</v>
      </c>
    </row>
    <row r="2431" spans="1:11" ht="51" x14ac:dyDescent="0.4">
      <c r="A2431" s="10" t="s">
        <v>7846</v>
      </c>
      <c r="B2431" s="10" t="s">
        <v>7847</v>
      </c>
      <c r="C2431" s="10" t="s">
        <v>7822</v>
      </c>
      <c r="D2431" s="10" t="s">
        <v>7848</v>
      </c>
      <c r="E2431" s="10" t="s">
        <v>6182</v>
      </c>
      <c r="F2431" s="10" t="s">
        <v>7849</v>
      </c>
      <c r="G2431" s="10" t="s">
        <v>23</v>
      </c>
      <c r="H2431" s="7" t="s">
        <v>24</v>
      </c>
      <c r="I2431" s="7" t="s">
        <v>25</v>
      </c>
      <c r="J2431" s="13" t="str">
        <f>HYPERLINK("https://www.airitibooks.com/Detail/Detail?PublicationID=P20171127235", "https://www.airitibooks.com/Detail/Detail?PublicationID=P20171127235")</f>
        <v>https://www.airitibooks.com/Detail/Detail?PublicationID=P20171127235</v>
      </c>
      <c r="K2431" s="13" t="str">
        <f>HYPERLINK("https://ntsu.idm.oclc.org/login?url=https://www.airitibooks.com/Detail/Detail?PublicationID=P20171127235", "https://ntsu.idm.oclc.org/login?url=https://www.airitibooks.com/Detail/Detail?PublicationID=P20171127235")</f>
        <v>https://ntsu.idm.oclc.org/login?url=https://www.airitibooks.com/Detail/Detail?PublicationID=P20171127235</v>
      </c>
    </row>
    <row r="2432" spans="1:11" ht="51" x14ac:dyDescent="0.4">
      <c r="A2432" s="10" t="s">
        <v>7850</v>
      </c>
      <c r="B2432" s="10" t="s">
        <v>7851</v>
      </c>
      <c r="C2432" s="10" t="s">
        <v>7822</v>
      </c>
      <c r="D2432" s="10" t="s">
        <v>7848</v>
      </c>
      <c r="E2432" s="10" t="s">
        <v>6182</v>
      </c>
      <c r="F2432" s="10" t="s">
        <v>7849</v>
      </c>
      <c r="G2432" s="10" t="s">
        <v>23</v>
      </c>
      <c r="H2432" s="7" t="s">
        <v>24</v>
      </c>
      <c r="I2432" s="7" t="s">
        <v>25</v>
      </c>
      <c r="J2432" s="13" t="str">
        <f>HYPERLINK("https://www.airitibooks.com/Detail/Detail?PublicationID=P20171127236", "https://www.airitibooks.com/Detail/Detail?PublicationID=P20171127236")</f>
        <v>https://www.airitibooks.com/Detail/Detail?PublicationID=P20171127236</v>
      </c>
      <c r="K2432" s="13" t="str">
        <f>HYPERLINK("https://ntsu.idm.oclc.org/login?url=https://www.airitibooks.com/Detail/Detail?PublicationID=P20171127236", "https://ntsu.idm.oclc.org/login?url=https://www.airitibooks.com/Detail/Detail?PublicationID=P20171127236")</f>
        <v>https://ntsu.idm.oclc.org/login?url=https://www.airitibooks.com/Detail/Detail?PublicationID=P20171127236</v>
      </c>
    </row>
    <row r="2433" spans="1:11" ht="51" x14ac:dyDescent="0.4">
      <c r="A2433" s="10" t="s">
        <v>7853</v>
      </c>
      <c r="B2433" s="10" t="s">
        <v>7854</v>
      </c>
      <c r="C2433" s="10" t="s">
        <v>7822</v>
      </c>
      <c r="D2433" s="10" t="s">
        <v>7848</v>
      </c>
      <c r="E2433" s="10" t="s">
        <v>6182</v>
      </c>
      <c r="F2433" s="10" t="s">
        <v>7849</v>
      </c>
      <c r="G2433" s="10" t="s">
        <v>23</v>
      </c>
      <c r="H2433" s="7" t="s">
        <v>24</v>
      </c>
      <c r="I2433" s="7" t="s">
        <v>25</v>
      </c>
      <c r="J2433" s="13" t="str">
        <f>HYPERLINK("https://www.airitibooks.com/Detail/Detail?PublicationID=P20171127237", "https://www.airitibooks.com/Detail/Detail?PublicationID=P20171127237")</f>
        <v>https://www.airitibooks.com/Detail/Detail?PublicationID=P20171127237</v>
      </c>
      <c r="K2433" s="13" t="str">
        <f>HYPERLINK("https://ntsu.idm.oclc.org/login?url=https://www.airitibooks.com/Detail/Detail?PublicationID=P20171127237", "https://ntsu.idm.oclc.org/login?url=https://www.airitibooks.com/Detail/Detail?PublicationID=P20171127237")</f>
        <v>https://ntsu.idm.oclc.org/login?url=https://www.airitibooks.com/Detail/Detail?PublicationID=P20171127237</v>
      </c>
    </row>
    <row r="2434" spans="1:11" ht="51" x14ac:dyDescent="0.4">
      <c r="A2434" s="10" t="s">
        <v>7916</v>
      </c>
      <c r="B2434" s="10" t="s">
        <v>7917</v>
      </c>
      <c r="C2434" s="10" t="s">
        <v>7294</v>
      </c>
      <c r="D2434" s="10" t="s">
        <v>7301</v>
      </c>
      <c r="E2434" s="10" t="s">
        <v>6182</v>
      </c>
      <c r="F2434" s="10" t="s">
        <v>394</v>
      </c>
      <c r="G2434" s="10" t="s">
        <v>23</v>
      </c>
      <c r="H2434" s="7" t="s">
        <v>24</v>
      </c>
      <c r="I2434" s="7" t="s">
        <v>25</v>
      </c>
      <c r="J2434" s="13" t="str">
        <f>HYPERLINK("https://www.airitibooks.com/Detail/Detail?PublicationID=P20171129066", "https://www.airitibooks.com/Detail/Detail?PublicationID=P20171129066")</f>
        <v>https://www.airitibooks.com/Detail/Detail?PublicationID=P20171129066</v>
      </c>
      <c r="K2434" s="13" t="str">
        <f>HYPERLINK("https://ntsu.idm.oclc.org/login?url=https://www.airitibooks.com/Detail/Detail?PublicationID=P20171129066", "https://ntsu.idm.oclc.org/login?url=https://www.airitibooks.com/Detail/Detail?PublicationID=P20171129066")</f>
        <v>https://ntsu.idm.oclc.org/login?url=https://www.airitibooks.com/Detail/Detail?PublicationID=P20171129066</v>
      </c>
    </row>
    <row r="2435" spans="1:11" ht="51" x14ac:dyDescent="0.4">
      <c r="A2435" s="10" t="s">
        <v>7921</v>
      </c>
      <c r="B2435" s="10" t="s">
        <v>7922</v>
      </c>
      <c r="C2435" s="10" t="s">
        <v>3473</v>
      </c>
      <c r="D2435" s="10" t="s">
        <v>7876</v>
      </c>
      <c r="E2435" s="10" t="s">
        <v>6182</v>
      </c>
      <c r="F2435" s="10" t="s">
        <v>2492</v>
      </c>
      <c r="G2435" s="10" t="s">
        <v>23</v>
      </c>
      <c r="H2435" s="7" t="s">
        <v>24</v>
      </c>
      <c r="I2435" s="7" t="s">
        <v>25</v>
      </c>
      <c r="J2435" s="13" t="str">
        <f>HYPERLINK("https://www.airitibooks.com/Detail/Detail?PublicationID=P20171129070", "https://www.airitibooks.com/Detail/Detail?PublicationID=P20171129070")</f>
        <v>https://www.airitibooks.com/Detail/Detail?PublicationID=P20171129070</v>
      </c>
      <c r="K2435" s="13" t="str">
        <f>HYPERLINK("https://ntsu.idm.oclc.org/login?url=https://www.airitibooks.com/Detail/Detail?PublicationID=P20171129070", "https://ntsu.idm.oclc.org/login?url=https://www.airitibooks.com/Detail/Detail?PublicationID=P20171129070")</f>
        <v>https://ntsu.idm.oclc.org/login?url=https://www.airitibooks.com/Detail/Detail?PublicationID=P20171129070</v>
      </c>
    </row>
    <row r="2436" spans="1:11" ht="51" x14ac:dyDescent="0.4">
      <c r="A2436" s="10" t="s">
        <v>7923</v>
      </c>
      <c r="B2436" s="10" t="s">
        <v>7924</v>
      </c>
      <c r="C2436" s="10" t="s">
        <v>3473</v>
      </c>
      <c r="D2436" s="10" t="s">
        <v>7898</v>
      </c>
      <c r="E2436" s="10" t="s">
        <v>6182</v>
      </c>
      <c r="F2436" s="10" t="s">
        <v>7925</v>
      </c>
      <c r="G2436" s="10" t="s">
        <v>23</v>
      </c>
      <c r="H2436" s="7" t="s">
        <v>24</v>
      </c>
      <c r="I2436" s="7" t="s">
        <v>25</v>
      </c>
      <c r="J2436" s="13" t="str">
        <f>HYPERLINK("https://www.airitibooks.com/Detail/Detail?PublicationID=P20171129071", "https://www.airitibooks.com/Detail/Detail?PublicationID=P20171129071")</f>
        <v>https://www.airitibooks.com/Detail/Detail?PublicationID=P20171129071</v>
      </c>
      <c r="K2436" s="13" t="str">
        <f>HYPERLINK("https://ntsu.idm.oclc.org/login?url=https://www.airitibooks.com/Detail/Detail?PublicationID=P20171129071", "https://ntsu.idm.oclc.org/login?url=https://www.airitibooks.com/Detail/Detail?PublicationID=P20171129071")</f>
        <v>https://ntsu.idm.oclc.org/login?url=https://www.airitibooks.com/Detail/Detail?PublicationID=P20171129071</v>
      </c>
    </row>
    <row r="2437" spans="1:11" ht="51" x14ac:dyDescent="0.4">
      <c r="A2437" s="10" t="s">
        <v>7926</v>
      </c>
      <c r="B2437" s="10" t="s">
        <v>7927</v>
      </c>
      <c r="C2437" s="10" t="s">
        <v>3473</v>
      </c>
      <c r="D2437" s="10" t="s">
        <v>5672</v>
      </c>
      <c r="E2437" s="10" t="s">
        <v>6182</v>
      </c>
      <c r="F2437" s="10" t="s">
        <v>214</v>
      </c>
      <c r="G2437" s="10" t="s">
        <v>23</v>
      </c>
      <c r="H2437" s="7" t="s">
        <v>24</v>
      </c>
      <c r="I2437" s="7" t="s">
        <v>25</v>
      </c>
      <c r="J2437" s="13" t="str">
        <f>HYPERLINK("https://www.airitibooks.com/Detail/Detail?PublicationID=P20171129072", "https://www.airitibooks.com/Detail/Detail?PublicationID=P20171129072")</f>
        <v>https://www.airitibooks.com/Detail/Detail?PublicationID=P20171129072</v>
      </c>
      <c r="K2437" s="13" t="str">
        <f>HYPERLINK("https://ntsu.idm.oclc.org/login?url=https://www.airitibooks.com/Detail/Detail?PublicationID=P20171129072", "https://ntsu.idm.oclc.org/login?url=https://www.airitibooks.com/Detail/Detail?PublicationID=P20171129072")</f>
        <v>https://ntsu.idm.oclc.org/login?url=https://www.airitibooks.com/Detail/Detail?PublicationID=P20171129072</v>
      </c>
    </row>
    <row r="2438" spans="1:11" ht="51" x14ac:dyDescent="0.4">
      <c r="A2438" s="10" t="s">
        <v>7928</v>
      </c>
      <c r="B2438" s="10" t="s">
        <v>7929</v>
      </c>
      <c r="C2438" s="10" t="s">
        <v>3473</v>
      </c>
      <c r="D2438" s="10" t="s">
        <v>3474</v>
      </c>
      <c r="E2438" s="10" t="s">
        <v>6182</v>
      </c>
      <c r="F2438" s="10" t="s">
        <v>1122</v>
      </c>
      <c r="G2438" s="10" t="s">
        <v>23</v>
      </c>
      <c r="H2438" s="7" t="s">
        <v>24</v>
      </c>
      <c r="I2438" s="7" t="s">
        <v>25</v>
      </c>
      <c r="J2438" s="13" t="str">
        <f>HYPERLINK("https://www.airitibooks.com/Detail/Detail?PublicationID=P20171129073", "https://www.airitibooks.com/Detail/Detail?PublicationID=P20171129073")</f>
        <v>https://www.airitibooks.com/Detail/Detail?PublicationID=P20171129073</v>
      </c>
      <c r="K2438" s="13" t="str">
        <f>HYPERLINK("https://ntsu.idm.oclc.org/login?url=https://www.airitibooks.com/Detail/Detail?PublicationID=P20171129073", "https://ntsu.idm.oclc.org/login?url=https://www.airitibooks.com/Detail/Detail?PublicationID=P20171129073")</f>
        <v>https://ntsu.idm.oclc.org/login?url=https://www.airitibooks.com/Detail/Detail?PublicationID=P20171129073</v>
      </c>
    </row>
    <row r="2439" spans="1:11" ht="51" x14ac:dyDescent="0.4">
      <c r="A2439" s="10" t="s">
        <v>7930</v>
      </c>
      <c r="B2439" s="10" t="s">
        <v>7931</v>
      </c>
      <c r="C2439" s="10" t="s">
        <v>3473</v>
      </c>
      <c r="D2439" s="10" t="s">
        <v>7932</v>
      </c>
      <c r="E2439" s="10" t="s">
        <v>6182</v>
      </c>
      <c r="F2439" s="10" t="s">
        <v>1127</v>
      </c>
      <c r="G2439" s="10" t="s">
        <v>23</v>
      </c>
      <c r="H2439" s="7" t="s">
        <v>24</v>
      </c>
      <c r="I2439" s="7" t="s">
        <v>25</v>
      </c>
      <c r="J2439" s="13" t="str">
        <f>HYPERLINK("https://www.airitibooks.com/Detail/Detail?PublicationID=P20171129074", "https://www.airitibooks.com/Detail/Detail?PublicationID=P20171129074")</f>
        <v>https://www.airitibooks.com/Detail/Detail?PublicationID=P20171129074</v>
      </c>
      <c r="K2439" s="13" t="str">
        <f>HYPERLINK("https://ntsu.idm.oclc.org/login?url=https://www.airitibooks.com/Detail/Detail?PublicationID=P20171129074", "https://ntsu.idm.oclc.org/login?url=https://www.airitibooks.com/Detail/Detail?PublicationID=P20171129074")</f>
        <v>https://ntsu.idm.oclc.org/login?url=https://www.airitibooks.com/Detail/Detail?PublicationID=P20171129074</v>
      </c>
    </row>
    <row r="2440" spans="1:11" ht="51" x14ac:dyDescent="0.4">
      <c r="A2440" s="10" t="s">
        <v>7933</v>
      </c>
      <c r="B2440" s="10" t="s">
        <v>7934</v>
      </c>
      <c r="C2440" s="10" t="s">
        <v>3473</v>
      </c>
      <c r="D2440" s="10" t="s">
        <v>7935</v>
      </c>
      <c r="E2440" s="10" t="s">
        <v>6182</v>
      </c>
      <c r="F2440" s="10" t="s">
        <v>696</v>
      </c>
      <c r="G2440" s="10" t="s">
        <v>23</v>
      </c>
      <c r="H2440" s="7" t="s">
        <v>24</v>
      </c>
      <c r="I2440" s="7" t="s">
        <v>25</v>
      </c>
      <c r="J2440" s="13" t="str">
        <f>HYPERLINK("https://www.airitibooks.com/Detail/Detail?PublicationID=P20171129075", "https://www.airitibooks.com/Detail/Detail?PublicationID=P20171129075")</f>
        <v>https://www.airitibooks.com/Detail/Detail?PublicationID=P20171129075</v>
      </c>
      <c r="K2440" s="13" t="str">
        <f>HYPERLINK("https://ntsu.idm.oclc.org/login?url=https://www.airitibooks.com/Detail/Detail?PublicationID=P20171129075", "https://ntsu.idm.oclc.org/login?url=https://www.airitibooks.com/Detail/Detail?PublicationID=P20171129075")</f>
        <v>https://ntsu.idm.oclc.org/login?url=https://www.airitibooks.com/Detail/Detail?PublicationID=P20171129075</v>
      </c>
    </row>
    <row r="2441" spans="1:11" ht="51" x14ac:dyDescent="0.4">
      <c r="A2441" s="10" t="s">
        <v>7936</v>
      </c>
      <c r="B2441" s="10" t="s">
        <v>7937</v>
      </c>
      <c r="C2441" s="10" t="s">
        <v>3473</v>
      </c>
      <c r="D2441" s="10" t="s">
        <v>7932</v>
      </c>
      <c r="E2441" s="10" t="s">
        <v>6182</v>
      </c>
      <c r="F2441" s="10" t="s">
        <v>793</v>
      </c>
      <c r="G2441" s="10" t="s">
        <v>23</v>
      </c>
      <c r="H2441" s="7" t="s">
        <v>24</v>
      </c>
      <c r="I2441" s="7" t="s">
        <v>25</v>
      </c>
      <c r="J2441" s="13" t="str">
        <f>HYPERLINK("https://www.airitibooks.com/Detail/Detail?PublicationID=P20171129076", "https://www.airitibooks.com/Detail/Detail?PublicationID=P20171129076")</f>
        <v>https://www.airitibooks.com/Detail/Detail?PublicationID=P20171129076</v>
      </c>
      <c r="K2441" s="13" t="str">
        <f>HYPERLINK("https://ntsu.idm.oclc.org/login?url=https://www.airitibooks.com/Detail/Detail?PublicationID=P20171129076", "https://ntsu.idm.oclc.org/login?url=https://www.airitibooks.com/Detail/Detail?PublicationID=P20171129076")</f>
        <v>https://ntsu.idm.oclc.org/login?url=https://www.airitibooks.com/Detail/Detail?PublicationID=P20171129076</v>
      </c>
    </row>
    <row r="2442" spans="1:11" ht="68" x14ac:dyDescent="0.4">
      <c r="A2442" s="10" t="s">
        <v>7938</v>
      </c>
      <c r="B2442" s="10" t="s">
        <v>7939</v>
      </c>
      <c r="C2442" s="10" t="s">
        <v>3473</v>
      </c>
      <c r="D2442" s="10" t="s">
        <v>7940</v>
      </c>
      <c r="E2442" s="10" t="s">
        <v>6182</v>
      </c>
      <c r="F2442" s="10" t="s">
        <v>696</v>
      </c>
      <c r="G2442" s="10" t="s">
        <v>23</v>
      </c>
      <c r="H2442" s="7" t="s">
        <v>24</v>
      </c>
      <c r="I2442" s="7" t="s">
        <v>25</v>
      </c>
      <c r="J2442" s="13" t="str">
        <f>HYPERLINK("https://www.airitibooks.com/Detail/Detail?PublicationID=P20171129077", "https://www.airitibooks.com/Detail/Detail?PublicationID=P20171129077")</f>
        <v>https://www.airitibooks.com/Detail/Detail?PublicationID=P20171129077</v>
      </c>
      <c r="K2442" s="13" t="str">
        <f>HYPERLINK("https://ntsu.idm.oclc.org/login?url=https://www.airitibooks.com/Detail/Detail?PublicationID=P20171129077", "https://ntsu.idm.oclc.org/login?url=https://www.airitibooks.com/Detail/Detail?PublicationID=P20171129077")</f>
        <v>https://ntsu.idm.oclc.org/login?url=https://www.airitibooks.com/Detail/Detail?PublicationID=P20171129077</v>
      </c>
    </row>
    <row r="2443" spans="1:11" ht="51" x14ac:dyDescent="0.4">
      <c r="A2443" s="10" t="s">
        <v>7941</v>
      </c>
      <c r="B2443" s="10" t="s">
        <v>7942</v>
      </c>
      <c r="C2443" s="10" t="s">
        <v>3473</v>
      </c>
      <c r="D2443" s="10" t="s">
        <v>5672</v>
      </c>
      <c r="E2443" s="10" t="s">
        <v>6182</v>
      </c>
      <c r="F2443" s="10" t="s">
        <v>214</v>
      </c>
      <c r="G2443" s="10" t="s">
        <v>23</v>
      </c>
      <c r="H2443" s="7" t="s">
        <v>24</v>
      </c>
      <c r="I2443" s="7" t="s">
        <v>25</v>
      </c>
      <c r="J2443" s="13" t="str">
        <f>HYPERLINK("https://www.airitibooks.com/Detail/Detail?PublicationID=P20171129078", "https://www.airitibooks.com/Detail/Detail?PublicationID=P20171129078")</f>
        <v>https://www.airitibooks.com/Detail/Detail?PublicationID=P20171129078</v>
      </c>
      <c r="K2443" s="13" t="str">
        <f>HYPERLINK("https://ntsu.idm.oclc.org/login?url=https://www.airitibooks.com/Detail/Detail?PublicationID=P20171129078", "https://ntsu.idm.oclc.org/login?url=https://www.airitibooks.com/Detail/Detail?PublicationID=P20171129078")</f>
        <v>https://ntsu.idm.oclc.org/login?url=https://www.airitibooks.com/Detail/Detail?PublicationID=P20171129078</v>
      </c>
    </row>
    <row r="2444" spans="1:11" ht="51" x14ac:dyDescent="0.4">
      <c r="A2444" s="10" t="s">
        <v>7943</v>
      </c>
      <c r="B2444" s="10" t="s">
        <v>7944</v>
      </c>
      <c r="C2444" s="10" t="s">
        <v>3473</v>
      </c>
      <c r="D2444" s="10" t="s">
        <v>3494</v>
      </c>
      <c r="E2444" s="10" t="s">
        <v>6182</v>
      </c>
      <c r="F2444" s="10" t="s">
        <v>4326</v>
      </c>
      <c r="G2444" s="10" t="s">
        <v>23</v>
      </c>
      <c r="H2444" s="7" t="s">
        <v>24</v>
      </c>
      <c r="I2444" s="7" t="s">
        <v>25</v>
      </c>
      <c r="J2444" s="13" t="str">
        <f>HYPERLINK("https://www.airitibooks.com/Detail/Detail?PublicationID=P20171129080", "https://www.airitibooks.com/Detail/Detail?PublicationID=P20171129080")</f>
        <v>https://www.airitibooks.com/Detail/Detail?PublicationID=P20171129080</v>
      </c>
      <c r="K2444" s="13" t="str">
        <f>HYPERLINK("https://ntsu.idm.oclc.org/login?url=https://www.airitibooks.com/Detail/Detail?PublicationID=P20171129080", "https://ntsu.idm.oclc.org/login?url=https://www.airitibooks.com/Detail/Detail?PublicationID=P20171129080")</f>
        <v>https://ntsu.idm.oclc.org/login?url=https://www.airitibooks.com/Detail/Detail?PublicationID=P20171129080</v>
      </c>
    </row>
    <row r="2445" spans="1:11" ht="68" x14ac:dyDescent="0.4">
      <c r="A2445" s="10" t="s">
        <v>7966</v>
      </c>
      <c r="B2445" s="10" t="s">
        <v>7967</v>
      </c>
      <c r="C2445" s="10" t="s">
        <v>7294</v>
      </c>
      <c r="D2445" s="10" t="s">
        <v>7968</v>
      </c>
      <c r="E2445" s="10" t="s">
        <v>6182</v>
      </c>
      <c r="F2445" s="10" t="s">
        <v>214</v>
      </c>
      <c r="G2445" s="10" t="s">
        <v>23</v>
      </c>
      <c r="H2445" s="7" t="s">
        <v>24</v>
      </c>
      <c r="I2445" s="7" t="s">
        <v>25</v>
      </c>
      <c r="J2445" s="13" t="str">
        <f>HYPERLINK("https://www.airitibooks.com/Detail/Detail?PublicationID=P20171129137", "https://www.airitibooks.com/Detail/Detail?PublicationID=P20171129137")</f>
        <v>https://www.airitibooks.com/Detail/Detail?PublicationID=P20171129137</v>
      </c>
      <c r="K2445" s="13" t="str">
        <f>HYPERLINK("https://ntsu.idm.oclc.org/login?url=https://www.airitibooks.com/Detail/Detail?PublicationID=P20171129137", "https://ntsu.idm.oclc.org/login?url=https://www.airitibooks.com/Detail/Detail?PublicationID=P20171129137")</f>
        <v>https://ntsu.idm.oclc.org/login?url=https://www.airitibooks.com/Detail/Detail?PublicationID=P20171129137</v>
      </c>
    </row>
    <row r="2446" spans="1:11" ht="51" x14ac:dyDescent="0.4">
      <c r="A2446" s="10" t="s">
        <v>7969</v>
      </c>
      <c r="B2446" s="10" t="s">
        <v>7970</v>
      </c>
      <c r="C2446" s="10" t="s">
        <v>7294</v>
      </c>
      <c r="D2446" s="10" t="s">
        <v>7301</v>
      </c>
      <c r="E2446" s="10" t="s">
        <v>6182</v>
      </c>
      <c r="F2446" s="10" t="s">
        <v>394</v>
      </c>
      <c r="G2446" s="10" t="s">
        <v>23</v>
      </c>
      <c r="H2446" s="7" t="s">
        <v>24</v>
      </c>
      <c r="I2446" s="7" t="s">
        <v>25</v>
      </c>
      <c r="J2446" s="13" t="str">
        <f>HYPERLINK("https://www.airitibooks.com/Detail/Detail?PublicationID=P20171129138", "https://www.airitibooks.com/Detail/Detail?PublicationID=P20171129138")</f>
        <v>https://www.airitibooks.com/Detail/Detail?PublicationID=P20171129138</v>
      </c>
      <c r="K2446" s="13" t="str">
        <f>HYPERLINK("https://ntsu.idm.oclc.org/login?url=https://www.airitibooks.com/Detail/Detail?PublicationID=P20171129138", "https://ntsu.idm.oclc.org/login?url=https://www.airitibooks.com/Detail/Detail?PublicationID=P20171129138")</f>
        <v>https://ntsu.idm.oclc.org/login?url=https://www.airitibooks.com/Detail/Detail?PublicationID=P20171129138</v>
      </c>
    </row>
    <row r="2447" spans="1:11" ht="68" x14ac:dyDescent="0.4">
      <c r="A2447" s="10" t="s">
        <v>7971</v>
      </c>
      <c r="B2447" s="10" t="s">
        <v>7972</v>
      </c>
      <c r="C2447" s="10" t="s">
        <v>7294</v>
      </c>
      <c r="D2447" s="10" t="s">
        <v>7973</v>
      </c>
      <c r="E2447" s="10" t="s">
        <v>6182</v>
      </c>
      <c r="F2447" s="10" t="s">
        <v>7974</v>
      </c>
      <c r="G2447" s="10" t="s">
        <v>23</v>
      </c>
      <c r="H2447" s="7" t="s">
        <v>24</v>
      </c>
      <c r="I2447" s="7" t="s">
        <v>25</v>
      </c>
      <c r="J2447" s="13" t="str">
        <f>HYPERLINK("https://www.airitibooks.com/Detail/Detail?PublicationID=P20171129141", "https://www.airitibooks.com/Detail/Detail?PublicationID=P20171129141")</f>
        <v>https://www.airitibooks.com/Detail/Detail?PublicationID=P20171129141</v>
      </c>
      <c r="K2447" s="13" t="str">
        <f>HYPERLINK("https://ntsu.idm.oclc.org/login?url=https://www.airitibooks.com/Detail/Detail?PublicationID=P20171129141", "https://ntsu.idm.oclc.org/login?url=https://www.airitibooks.com/Detail/Detail?PublicationID=P20171129141")</f>
        <v>https://ntsu.idm.oclc.org/login?url=https://www.airitibooks.com/Detail/Detail?PublicationID=P20171129141</v>
      </c>
    </row>
    <row r="2448" spans="1:11" ht="51" x14ac:dyDescent="0.4">
      <c r="A2448" s="10" t="s">
        <v>7975</v>
      </c>
      <c r="B2448" s="10" t="s">
        <v>7976</v>
      </c>
      <c r="C2448" s="10" t="s">
        <v>7294</v>
      </c>
      <c r="D2448" s="10" t="s">
        <v>7301</v>
      </c>
      <c r="E2448" s="10" t="s">
        <v>6182</v>
      </c>
      <c r="F2448" s="10" t="s">
        <v>394</v>
      </c>
      <c r="G2448" s="10" t="s">
        <v>23</v>
      </c>
      <c r="H2448" s="7" t="s">
        <v>24</v>
      </c>
      <c r="I2448" s="7" t="s">
        <v>25</v>
      </c>
      <c r="J2448" s="13" t="str">
        <f>HYPERLINK("https://www.airitibooks.com/Detail/Detail?PublicationID=P20171129142", "https://www.airitibooks.com/Detail/Detail?PublicationID=P20171129142")</f>
        <v>https://www.airitibooks.com/Detail/Detail?PublicationID=P20171129142</v>
      </c>
      <c r="K2448" s="13" t="str">
        <f>HYPERLINK("https://ntsu.idm.oclc.org/login?url=https://www.airitibooks.com/Detail/Detail?PublicationID=P20171129142", "https://ntsu.idm.oclc.org/login?url=https://www.airitibooks.com/Detail/Detail?PublicationID=P20171129142")</f>
        <v>https://ntsu.idm.oclc.org/login?url=https://www.airitibooks.com/Detail/Detail?PublicationID=P20171129142</v>
      </c>
    </row>
    <row r="2449" spans="1:11" ht="51" x14ac:dyDescent="0.4">
      <c r="A2449" s="10" t="s">
        <v>7977</v>
      </c>
      <c r="B2449" s="10" t="s">
        <v>7978</v>
      </c>
      <c r="C2449" s="10" t="s">
        <v>7294</v>
      </c>
      <c r="D2449" s="10" t="s">
        <v>7979</v>
      </c>
      <c r="E2449" s="10" t="s">
        <v>6182</v>
      </c>
      <c r="F2449" s="10" t="s">
        <v>1599</v>
      </c>
      <c r="G2449" s="10" t="s">
        <v>23</v>
      </c>
      <c r="H2449" s="7" t="s">
        <v>24</v>
      </c>
      <c r="I2449" s="7" t="s">
        <v>25</v>
      </c>
      <c r="J2449" s="13" t="str">
        <f>HYPERLINK("https://www.airitibooks.com/Detail/Detail?PublicationID=P20171129143", "https://www.airitibooks.com/Detail/Detail?PublicationID=P20171129143")</f>
        <v>https://www.airitibooks.com/Detail/Detail?PublicationID=P20171129143</v>
      </c>
      <c r="K2449" s="13" t="str">
        <f>HYPERLINK("https://ntsu.idm.oclc.org/login?url=https://www.airitibooks.com/Detail/Detail?PublicationID=P20171129143", "https://ntsu.idm.oclc.org/login?url=https://www.airitibooks.com/Detail/Detail?PublicationID=P20171129143")</f>
        <v>https://ntsu.idm.oclc.org/login?url=https://www.airitibooks.com/Detail/Detail?PublicationID=P20171129143</v>
      </c>
    </row>
    <row r="2450" spans="1:11" ht="51" x14ac:dyDescent="0.4">
      <c r="A2450" s="10" t="s">
        <v>7980</v>
      </c>
      <c r="B2450" s="10" t="s">
        <v>7981</v>
      </c>
      <c r="C2450" s="10" t="s">
        <v>7294</v>
      </c>
      <c r="D2450" s="10" t="s">
        <v>7301</v>
      </c>
      <c r="E2450" s="10" t="s">
        <v>6182</v>
      </c>
      <c r="F2450" s="10" t="s">
        <v>394</v>
      </c>
      <c r="G2450" s="10" t="s">
        <v>23</v>
      </c>
      <c r="H2450" s="7" t="s">
        <v>24</v>
      </c>
      <c r="I2450" s="7" t="s">
        <v>25</v>
      </c>
      <c r="J2450" s="13" t="str">
        <f>HYPERLINK("https://www.airitibooks.com/Detail/Detail?PublicationID=P20171129144", "https://www.airitibooks.com/Detail/Detail?PublicationID=P20171129144")</f>
        <v>https://www.airitibooks.com/Detail/Detail?PublicationID=P20171129144</v>
      </c>
      <c r="K2450" s="13" t="str">
        <f>HYPERLINK("https://ntsu.idm.oclc.org/login?url=https://www.airitibooks.com/Detail/Detail?PublicationID=P20171129144", "https://ntsu.idm.oclc.org/login?url=https://www.airitibooks.com/Detail/Detail?PublicationID=P20171129144")</f>
        <v>https://ntsu.idm.oclc.org/login?url=https://www.airitibooks.com/Detail/Detail?PublicationID=P20171129144</v>
      </c>
    </row>
    <row r="2451" spans="1:11" ht="51" x14ac:dyDescent="0.4">
      <c r="A2451" s="10" t="s">
        <v>7982</v>
      </c>
      <c r="B2451" s="10" t="s">
        <v>7983</v>
      </c>
      <c r="C2451" s="10" t="s">
        <v>7294</v>
      </c>
      <c r="D2451" s="10" t="s">
        <v>7979</v>
      </c>
      <c r="E2451" s="10" t="s">
        <v>6182</v>
      </c>
      <c r="F2451" s="10" t="s">
        <v>1599</v>
      </c>
      <c r="G2451" s="10" t="s">
        <v>23</v>
      </c>
      <c r="H2451" s="7" t="s">
        <v>24</v>
      </c>
      <c r="I2451" s="7" t="s">
        <v>25</v>
      </c>
      <c r="J2451" s="13" t="str">
        <f>HYPERLINK("https://www.airitibooks.com/Detail/Detail?PublicationID=P20171129145", "https://www.airitibooks.com/Detail/Detail?PublicationID=P20171129145")</f>
        <v>https://www.airitibooks.com/Detail/Detail?PublicationID=P20171129145</v>
      </c>
      <c r="K2451" s="13" t="str">
        <f>HYPERLINK("https://ntsu.idm.oclc.org/login?url=https://www.airitibooks.com/Detail/Detail?PublicationID=P20171129145", "https://ntsu.idm.oclc.org/login?url=https://www.airitibooks.com/Detail/Detail?PublicationID=P20171129145")</f>
        <v>https://ntsu.idm.oclc.org/login?url=https://www.airitibooks.com/Detail/Detail?PublicationID=P20171129145</v>
      </c>
    </row>
    <row r="2452" spans="1:11" ht="51" x14ac:dyDescent="0.4">
      <c r="A2452" s="10" t="s">
        <v>7984</v>
      </c>
      <c r="B2452" s="10" t="s">
        <v>7985</v>
      </c>
      <c r="C2452" s="10" t="s">
        <v>7294</v>
      </c>
      <c r="D2452" s="10" t="s">
        <v>7979</v>
      </c>
      <c r="E2452" s="10" t="s">
        <v>6182</v>
      </c>
      <c r="F2452" s="10" t="s">
        <v>1599</v>
      </c>
      <c r="G2452" s="10" t="s">
        <v>23</v>
      </c>
      <c r="H2452" s="7" t="s">
        <v>24</v>
      </c>
      <c r="I2452" s="7" t="s">
        <v>25</v>
      </c>
      <c r="J2452" s="13" t="str">
        <f>HYPERLINK("https://www.airitibooks.com/Detail/Detail?PublicationID=P20171129146", "https://www.airitibooks.com/Detail/Detail?PublicationID=P20171129146")</f>
        <v>https://www.airitibooks.com/Detail/Detail?PublicationID=P20171129146</v>
      </c>
      <c r="K2452" s="13" t="str">
        <f>HYPERLINK("https://ntsu.idm.oclc.org/login?url=https://www.airitibooks.com/Detail/Detail?PublicationID=P20171129146", "https://ntsu.idm.oclc.org/login?url=https://www.airitibooks.com/Detail/Detail?PublicationID=P20171129146")</f>
        <v>https://ntsu.idm.oclc.org/login?url=https://www.airitibooks.com/Detail/Detail?PublicationID=P20171129146</v>
      </c>
    </row>
    <row r="2453" spans="1:11" ht="68" x14ac:dyDescent="0.4">
      <c r="A2453" s="10" t="s">
        <v>7986</v>
      </c>
      <c r="B2453" s="10" t="s">
        <v>7987</v>
      </c>
      <c r="C2453" s="10" t="s">
        <v>7294</v>
      </c>
      <c r="D2453" s="10" t="s">
        <v>7988</v>
      </c>
      <c r="E2453" s="10" t="s">
        <v>6182</v>
      </c>
      <c r="F2453" s="10" t="s">
        <v>7989</v>
      </c>
      <c r="G2453" s="10" t="s">
        <v>23</v>
      </c>
      <c r="H2453" s="7" t="s">
        <v>24</v>
      </c>
      <c r="I2453" s="7" t="s">
        <v>25</v>
      </c>
      <c r="J2453" s="13" t="str">
        <f>HYPERLINK("https://www.airitibooks.com/Detail/Detail?PublicationID=P20171129148", "https://www.airitibooks.com/Detail/Detail?PublicationID=P20171129148")</f>
        <v>https://www.airitibooks.com/Detail/Detail?PublicationID=P20171129148</v>
      </c>
      <c r="K2453" s="13" t="str">
        <f>HYPERLINK("https://ntsu.idm.oclc.org/login?url=https://www.airitibooks.com/Detail/Detail?PublicationID=P20171129148", "https://ntsu.idm.oclc.org/login?url=https://www.airitibooks.com/Detail/Detail?PublicationID=P20171129148")</f>
        <v>https://ntsu.idm.oclc.org/login?url=https://www.airitibooks.com/Detail/Detail?PublicationID=P20171129148</v>
      </c>
    </row>
    <row r="2454" spans="1:11" ht="68" x14ac:dyDescent="0.4">
      <c r="A2454" s="10" t="s">
        <v>7994</v>
      </c>
      <c r="B2454" s="10" t="s">
        <v>7995</v>
      </c>
      <c r="C2454" s="10" t="s">
        <v>3473</v>
      </c>
      <c r="D2454" s="10" t="s">
        <v>7996</v>
      </c>
      <c r="E2454" s="10" t="s">
        <v>6182</v>
      </c>
      <c r="F2454" s="10" t="s">
        <v>214</v>
      </c>
      <c r="G2454" s="10" t="s">
        <v>23</v>
      </c>
      <c r="H2454" s="7" t="s">
        <v>24</v>
      </c>
      <c r="I2454" s="7" t="s">
        <v>25</v>
      </c>
      <c r="J2454" s="13" t="str">
        <f>HYPERLINK("https://www.airitibooks.com/Detail/Detail?PublicationID=P20171129160", "https://www.airitibooks.com/Detail/Detail?PublicationID=P20171129160")</f>
        <v>https://www.airitibooks.com/Detail/Detail?PublicationID=P20171129160</v>
      </c>
      <c r="K2454" s="13" t="str">
        <f>HYPERLINK("https://ntsu.idm.oclc.org/login?url=https://www.airitibooks.com/Detail/Detail?PublicationID=P20171129160", "https://ntsu.idm.oclc.org/login?url=https://www.airitibooks.com/Detail/Detail?PublicationID=P20171129160")</f>
        <v>https://ntsu.idm.oclc.org/login?url=https://www.airitibooks.com/Detail/Detail?PublicationID=P20171129160</v>
      </c>
    </row>
    <row r="2455" spans="1:11" ht="85" x14ac:dyDescent="0.4">
      <c r="A2455" s="10" t="s">
        <v>7997</v>
      </c>
      <c r="B2455" s="10" t="s">
        <v>7998</v>
      </c>
      <c r="C2455" s="10" t="s">
        <v>3473</v>
      </c>
      <c r="D2455" s="10" t="s">
        <v>7876</v>
      </c>
      <c r="E2455" s="10" t="s">
        <v>6182</v>
      </c>
      <c r="F2455" s="10" t="s">
        <v>720</v>
      </c>
      <c r="G2455" s="10" t="s">
        <v>23</v>
      </c>
      <c r="H2455" s="7" t="s">
        <v>24</v>
      </c>
      <c r="I2455" s="7" t="s">
        <v>25</v>
      </c>
      <c r="J2455" s="13" t="str">
        <f>HYPERLINK("https://www.airitibooks.com/Detail/Detail?PublicationID=P20171129162", "https://www.airitibooks.com/Detail/Detail?PublicationID=P20171129162")</f>
        <v>https://www.airitibooks.com/Detail/Detail?PublicationID=P20171129162</v>
      </c>
      <c r="K2455" s="13" t="str">
        <f>HYPERLINK("https://ntsu.idm.oclc.org/login?url=https://www.airitibooks.com/Detail/Detail?PublicationID=P20171129162", "https://ntsu.idm.oclc.org/login?url=https://www.airitibooks.com/Detail/Detail?PublicationID=P20171129162")</f>
        <v>https://ntsu.idm.oclc.org/login?url=https://www.airitibooks.com/Detail/Detail?PublicationID=P20171129162</v>
      </c>
    </row>
    <row r="2456" spans="1:11" ht="51" x14ac:dyDescent="0.4">
      <c r="A2456" s="10" t="s">
        <v>8001</v>
      </c>
      <c r="B2456" s="10" t="s">
        <v>8002</v>
      </c>
      <c r="C2456" s="10" t="s">
        <v>791</v>
      </c>
      <c r="D2456" s="10" t="s">
        <v>449</v>
      </c>
      <c r="E2456" s="10" t="s">
        <v>6182</v>
      </c>
      <c r="F2456" s="10" t="s">
        <v>214</v>
      </c>
      <c r="G2456" s="10" t="s">
        <v>23</v>
      </c>
      <c r="H2456" s="7" t="s">
        <v>24</v>
      </c>
      <c r="I2456" s="7" t="s">
        <v>25</v>
      </c>
      <c r="J2456" s="13" t="str">
        <f>HYPERLINK("https://www.airitibooks.com/Detail/Detail?PublicationID=P20171130026", "https://www.airitibooks.com/Detail/Detail?PublicationID=P20171130026")</f>
        <v>https://www.airitibooks.com/Detail/Detail?PublicationID=P20171130026</v>
      </c>
      <c r="K2456" s="13" t="str">
        <f>HYPERLINK("https://ntsu.idm.oclc.org/login?url=https://www.airitibooks.com/Detail/Detail?PublicationID=P20171130026", "https://ntsu.idm.oclc.org/login?url=https://www.airitibooks.com/Detail/Detail?PublicationID=P20171130026")</f>
        <v>https://ntsu.idm.oclc.org/login?url=https://www.airitibooks.com/Detail/Detail?PublicationID=P20171130026</v>
      </c>
    </row>
    <row r="2457" spans="1:11" ht="51" x14ac:dyDescent="0.4">
      <c r="A2457" s="10" t="s">
        <v>8031</v>
      </c>
      <c r="B2457" s="10" t="s">
        <v>8032</v>
      </c>
      <c r="C2457" s="10" t="s">
        <v>222</v>
      </c>
      <c r="D2457" s="10" t="s">
        <v>8033</v>
      </c>
      <c r="E2457" s="10" t="s">
        <v>6182</v>
      </c>
      <c r="F2457" s="10" t="s">
        <v>299</v>
      </c>
      <c r="G2457" s="10" t="s">
        <v>23</v>
      </c>
      <c r="H2457" s="7" t="s">
        <v>24</v>
      </c>
      <c r="I2457" s="7" t="s">
        <v>25</v>
      </c>
      <c r="J2457" s="13" t="str">
        <f>HYPERLINK("https://www.airitibooks.com/Detail/Detail?PublicationID=P20171130106", "https://www.airitibooks.com/Detail/Detail?PublicationID=P20171130106")</f>
        <v>https://www.airitibooks.com/Detail/Detail?PublicationID=P20171130106</v>
      </c>
      <c r="K2457" s="13" t="str">
        <f>HYPERLINK("https://ntsu.idm.oclc.org/login?url=https://www.airitibooks.com/Detail/Detail?PublicationID=P20171130106", "https://ntsu.idm.oclc.org/login?url=https://www.airitibooks.com/Detail/Detail?PublicationID=P20171130106")</f>
        <v>https://ntsu.idm.oclc.org/login?url=https://www.airitibooks.com/Detail/Detail?PublicationID=P20171130106</v>
      </c>
    </row>
    <row r="2458" spans="1:11" ht="51" x14ac:dyDescent="0.4">
      <c r="A2458" s="10" t="s">
        <v>8075</v>
      </c>
      <c r="B2458" s="10" t="s">
        <v>8076</v>
      </c>
      <c r="C2458" s="10" t="s">
        <v>222</v>
      </c>
      <c r="D2458" s="10" t="s">
        <v>4203</v>
      </c>
      <c r="E2458" s="10" t="s">
        <v>6182</v>
      </c>
      <c r="F2458" s="10" t="s">
        <v>250</v>
      </c>
      <c r="G2458" s="10" t="s">
        <v>23</v>
      </c>
      <c r="H2458" s="7" t="s">
        <v>24</v>
      </c>
      <c r="I2458" s="7" t="s">
        <v>25</v>
      </c>
      <c r="J2458" s="13" t="str">
        <f>HYPERLINK("https://www.airitibooks.com/Detail/Detail?PublicationID=P20171213077", "https://www.airitibooks.com/Detail/Detail?PublicationID=P20171213077")</f>
        <v>https://www.airitibooks.com/Detail/Detail?PublicationID=P20171213077</v>
      </c>
      <c r="K2458" s="13" t="str">
        <f>HYPERLINK("https://ntsu.idm.oclc.org/login?url=https://www.airitibooks.com/Detail/Detail?PublicationID=P20171213077", "https://ntsu.idm.oclc.org/login?url=https://www.airitibooks.com/Detail/Detail?PublicationID=P20171213077")</f>
        <v>https://ntsu.idm.oclc.org/login?url=https://www.airitibooks.com/Detail/Detail?PublicationID=P20171213077</v>
      </c>
    </row>
    <row r="2459" spans="1:11" ht="68" x14ac:dyDescent="0.4">
      <c r="A2459" s="10" t="s">
        <v>8136</v>
      </c>
      <c r="B2459" s="10" t="s">
        <v>8137</v>
      </c>
      <c r="C2459" s="10" t="s">
        <v>791</v>
      </c>
      <c r="D2459" s="10" t="s">
        <v>8138</v>
      </c>
      <c r="E2459" s="10" t="s">
        <v>6182</v>
      </c>
      <c r="F2459" s="10" t="s">
        <v>696</v>
      </c>
      <c r="G2459" s="10" t="s">
        <v>23</v>
      </c>
      <c r="H2459" s="7" t="s">
        <v>24</v>
      </c>
      <c r="I2459" s="7" t="s">
        <v>25</v>
      </c>
      <c r="J2459" s="13" t="str">
        <f>HYPERLINK("https://www.airitibooks.com/Detail/Detail?PublicationID=P20171228002", "https://www.airitibooks.com/Detail/Detail?PublicationID=P20171228002")</f>
        <v>https://www.airitibooks.com/Detail/Detail?PublicationID=P20171228002</v>
      </c>
      <c r="K2459" s="13" t="str">
        <f>HYPERLINK("https://ntsu.idm.oclc.org/login?url=https://www.airitibooks.com/Detail/Detail?PublicationID=P20171228002", "https://ntsu.idm.oclc.org/login?url=https://www.airitibooks.com/Detail/Detail?PublicationID=P20171228002")</f>
        <v>https://ntsu.idm.oclc.org/login?url=https://www.airitibooks.com/Detail/Detail?PublicationID=P20171228002</v>
      </c>
    </row>
    <row r="2460" spans="1:11" ht="51" x14ac:dyDescent="0.4">
      <c r="A2460" s="10" t="s">
        <v>8139</v>
      </c>
      <c r="B2460" s="10" t="s">
        <v>8140</v>
      </c>
      <c r="C2460" s="10" t="s">
        <v>791</v>
      </c>
      <c r="D2460" s="10" t="s">
        <v>449</v>
      </c>
      <c r="E2460" s="10" t="s">
        <v>6182</v>
      </c>
      <c r="F2460" s="10" t="s">
        <v>720</v>
      </c>
      <c r="G2460" s="10" t="s">
        <v>23</v>
      </c>
      <c r="H2460" s="7" t="s">
        <v>24</v>
      </c>
      <c r="I2460" s="7" t="s">
        <v>25</v>
      </c>
      <c r="J2460" s="13" t="str">
        <f>HYPERLINK("https://www.airitibooks.com/Detail/Detail?PublicationID=P20171228003", "https://www.airitibooks.com/Detail/Detail?PublicationID=P20171228003")</f>
        <v>https://www.airitibooks.com/Detail/Detail?PublicationID=P20171228003</v>
      </c>
      <c r="K2460" s="13" t="str">
        <f>HYPERLINK("https://ntsu.idm.oclc.org/login?url=https://www.airitibooks.com/Detail/Detail?PublicationID=P20171228003", "https://ntsu.idm.oclc.org/login?url=https://www.airitibooks.com/Detail/Detail?PublicationID=P20171228003")</f>
        <v>https://ntsu.idm.oclc.org/login?url=https://www.airitibooks.com/Detail/Detail?PublicationID=P20171228003</v>
      </c>
    </row>
    <row r="2461" spans="1:11" ht="68" x14ac:dyDescent="0.4">
      <c r="A2461" s="10" t="s">
        <v>8343</v>
      </c>
      <c r="B2461" s="10" t="s">
        <v>8344</v>
      </c>
      <c r="C2461" s="10" t="s">
        <v>7164</v>
      </c>
      <c r="D2461" s="10" t="s">
        <v>8345</v>
      </c>
      <c r="E2461" s="10" t="s">
        <v>6182</v>
      </c>
      <c r="F2461" s="10" t="s">
        <v>1994</v>
      </c>
      <c r="G2461" s="10" t="s">
        <v>23</v>
      </c>
      <c r="H2461" s="7" t="s">
        <v>7839</v>
      </c>
      <c r="I2461" s="7" t="s">
        <v>25</v>
      </c>
      <c r="J2461" s="13" t="str">
        <f>HYPERLINK("https://www.airitibooks.com/Detail/Detail?PublicationID=P20180119194", "https://www.airitibooks.com/Detail/Detail?PublicationID=P20180119194")</f>
        <v>https://www.airitibooks.com/Detail/Detail?PublicationID=P20180119194</v>
      </c>
      <c r="K2461" s="13" t="str">
        <f>HYPERLINK("https://ntsu.idm.oclc.org/login?url=https://www.airitibooks.com/Detail/Detail?PublicationID=P20180119194", "https://ntsu.idm.oclc.org/login?url=https://www.airitibooks.com/Detail/Detail?PublicationID=P20180119194")</f>
        <v>https://ntsu.idm.oclc.org/login?url=https://www.airitibooks.com/Detail/Detail?PublicationID=P20180119194</v>
      </c>
    </row>
    <row r="2462" spans="1:11" ht="51" x14ac:dyDescent="0.4">
      <c r="A2462" s="10" t="s">
        <v>8346</v>
      </c>
      <c r="B2462" s="10" t="s">
        <v>8347</v>
      </c>
      <c r="C2462" s="10" t="s">
        <v>7164</v>
      </c>
      <c r="D2462" s="10" t="s">
        <v>8348</v>
      </c>
      <c r="E2462" s="10" t="s">
        <v>6182</v>
      </c>
      <c r="F2462" s="10" t="s">
        <v>1917</v>
      </c>
      <c r="G2462" s="10" t="s">
        <v>23</v>
      </c>
      <c r="H2462" s="7" t="s">
        <v>1467</v>
      </c>
      <c r="I2462" s="7" t="s">
        <v>25</v>
      </c>
      <c r="J2462" s="13" t="str">
        <f>HYPERLINK("https://www.airitibooks.com/Detail/Detail?PublicationID=P20180119245", "https://www.airitibooks.com/Detail/Detail?PublicationID=P20180119245")</f>
        <v>https://www.airitibooks.com/Detail/Detail?PublicationID=P20180119245</v>
      </c>
      <c r="K2462" s="13" t="str">
        <f>HYPERLINK("https://ntsu.idm.oclc.org/login?url=https://www.airitibooks.com/Detail/Detail?PublicationID=P20180119245", "https://ntsu.idm.oclc.org/login?url=https://www.airitibooks.com/Detail/Detail?PublicationID=P20180119245")</f>
        <v>https://ntsu.idm.oclc.org/login?url=https://www.airitibooks.com/Detail/Detail?PublicationID=P20180119245</v>
      </c>
    </row>
    <row r="2463" spans="1:11" ht="51" x14ac:dyDescent="0.4">
      <c r="A2463" s="10" t="s">
        <v>8361</v>
      </c>
      <c r="B2463" s="10" t="s">
        <v>8362</v>
      </c>
      <c r="C2463" s="10" t="s">
        <v>8363</v>
      </c>
      <c r="D2463" s="10" t="s">
        <v>8364</v>
      </c>
      <c r="E2463" s="10" t="s">
        <v>6182</v>
      </c>
      <c r="F2463" s="10" t="s">
        <v>7298</v>
      </c>
      <c r="G2463" s="10" t="s">
        <v>23</v>
      </c>
      <c r="H2463" s="7" t="s">
        <v>24</v>
      </c>
      <c r="I2463" s="7" t="s">
        <v>25</v>
      </c>
      <c r="J2463" s="13" t="str">
        <f>HYPERLINK("https://www.airitibooks.com/Detail/Detail?PublicationID=P20180119800", "https://www.airitibooks.com/Detail/Detail?PublicationID=P20180119800")</f>
        <v>https://www.airitibooks.com/Detail/Detail?PublicationID=P20180119800</v>
      </c>
      <c r="K2463" s="13" t="str">
        <f>HYPERLINK("https://ntsu.idm.oclc.org/login?url=https://www.airitibooks.com/Detail/Detail?PublicationID=P20180119800", "https://ntsu.idm.oclc.org/login?url=https://www.airitibooks.com/Detail/Detail?PublicationID=P20180119800")</f>
        <v>https://ntsu.idm.oclc.org/login?url=https://www.airitibooks.com/Detail/Detail?PublicationID=P20180119800</v>
      </c>
    </row>
    <row r="2464" spans="1:11" ht="119" x14ac:dyDescent="0.4">
      <c r="A2464" s="10" t="s">
        <v>8392</v>
      </c>
      <c r="B2464" s="10" t="s">
        <v>8393</v>
      </c>
      <c r="C2464" s="10" t="s">
        <v>1484</v>
      </c>
      <c r="D2464" s="10" t="s">
        <v>8394</v>
      </c>
      <c r="E2464" s="10" t="s">
        <v>6182</v>
      </c>
      <c r="F2464" s="10" t="s">
        <v>8395</v>
      </c>
      <c r="G2464" s="10" t="s">
        <v>23</v>
      </c>
      <c r="H2464" s="7" t="s">
        <v>24</v>
      </c>
      <c r="I2464" s="7" t="s">
        <v>25</v>
      </c>
      <c r="J2464" s="13" t="str">
        <f>HYPERLINK("https://www.airitibooks.com/Detail/Detail?PublicationID=P20180205104", "https://www.airitibooks.com/Detail/Detail?PublicationID=P20180205104")</f>
        <v>https://www.airitibooks.com/Detail/Detail?PublicationID=P20180205104</v>
      </c>
      <c r="K2464" s="13" t="str">
        <f>HYPERLINK("https://ntsu.idm.oclc.org/login?url=https://www.airitibooks.com/Detail/Detail?PublicationID=P20180205104", "https://ntsu.idm.oclc.org/login?url=https://www.airitibooks.com/Detail/Detail?PublicationID=P20180205104")</f>
        <v>https://ntsu.idm.oclc.org/login?url=https://www.airitibooks.com/Detail/Detail?PublicationID=P20180205104</v>
      </c>
    </row>
    <row r="2465" spans="1:11" ht="68" x14ac:dyDescent="0.4">
      <c r="A2465" s="10" t="s">
        <v>8671</v>
      </c>
      <c r="B2465" s="10" t="s">
        <v>8672</v>
      </c>
      <c r="C2465" s="10" t="s">
        <v>756</v>
      </c>
      <c r="D2465" s="10" t="s">
        <v>8673</v>
      </c>
      <c r="E2465" s="10" t="s">
        <v>6182</v>
      </c>
      <c r="F2465" s="10" t="s">
        <v>8674</v>
      </c>
      <c r="G2465" s="10" t="s">
        <v>23</v>
      </c>
      <c r="H2465" s="7" t="s">
        <v>24</v>
      </c>
      <c r="I2465" s="7" t="s">
        <v>25</v>
      </c>
      <c r="J2465" s="13" t="str">
        <f>HYPERLINK("https://www.airitibooks.com/Detail/Detail?PublicationID=P20180223028", "https://www.airitibooks.com/Detail/Detail?PublicationID=P20180223028")</f>
        <v>https://www.airitibooks.com/Detail/Detail?PublicationID=P20180223028</v>
      </c>
      <c r="K2465" s="13" t="str">
        <f>HYPERLINK("https://ntsu.idm.oclc.org/login?url=https://www.airitibooks.com/Detail/Detail?PublicationID=P20180223028", "https://ntsu.idm.oclc.org/login?url=https://www.airitibooks.com/Detail/Detail?PublicationID=P20180223028")</f>
        <v>https://ntsu.idm.oclc.org/login?url=https://www.airitibooks.com/Detail/Detail?PublicationID=P20180223028</v>
      </c>
    </row>
    <row r="2466" spans="1:11" ht="68" x14ac:dyDescent="0.4">
      <c r="A2466" s="10" t="s">
        <v>8677</v>
      </c>
      <c r="B2466" s="10" t="s">
        <v>8678</v>
      </c>
      <c r="C2466" s="10" t="s">
        <v>756</v>
      </c>
      <c r="D2466" s="10" t="s">
        <v>8679</v>
      </c>
      <c r="E2466" s="10" t="s">
        <v>6182</v>
      </c>
      <c r="F2466" s="10" t="s">
        <v>8680</v>
      </c>
      <c r="G2466" s="10" t="s">
        <v>23</v>
      </c>
      <c r="H2466" s="7" t="s">
        <v>24</v>
      </c>
      <c r="I2466" s="7" t="s">
        <v>25</v>
      </c>
      <c r="J2466" s="13" t="str">
        <f>HYPERLINK("https://www.airitibooks.com/Detail/Detail?PublicationID=P20180223031", "https://www.airitibooks.com/Detail/Detail?PublicationID=P20180223031")</f>
        <v>https://www.airitibooks.com/Detail/Detail?PublicationID=P20180223031</v>
      </c>
      <c r="K2466" s="13" t="str">
        <f>HYPERLINK("https://ntsu.idm.oclc.org/login?url=https://www.airitibooks.com/Detail/Detail?PublicationID=P20180223031", "https://ntsu.idm.oclc.org/login?url=https://www.airitibooks.com/Detail/Detail?PublicationID=P20180223031")</f>
        <v>https://ntsu.idm.oclc.org/login?url=https://www.airitibooks.com/Detail/Detail?PublicationID=P20180223031</v>
      </c>
    </row>
    <row r="2467" spans="1:11" ht="51" x14ac:dyDescent="0.4">
      <c r="A2467" s="10" t="s">
        <v>8753</v>
      </c>
      <c r="B2467" s="10" t="s">
        <v>8754</v>
      </c>
      <c r="C2467" s="10" t="s">
        <v>240</v>
      </c>
      <c r="D2467" s="10" t="s">
        <v>8755</v>
      </c>
      <c r="E2467" s="10" t="s">
        <v>6182</v>
      </c>
      <c r="F2467" s="10" t="s">
        <v>762</v>
      </c>
      <c r="G2467" s="10" t="s">
        <v>23</v>
      </c>
      <c r="H2467" s="7" t="s">
        <v>24</v>
      </c>
      <c r="I2467" s="7" t="s">
        <v>25</v>
      </c>
      <c r="J2467" s="13" t="str">
        <f>HYPERLINK("https://www.airitibooks.com/Detail/Detail?PublicationID=P20180323008", "https://www.airitibooks.com/Detail/Detail?PublicationID=P20180323008")</f>
        <v>https://www.airitibooks.com/Detail/Detail?PublicationID=P20180323008</v>
      </c>
      <c r="K2467" s="13" t="str">
        <f>HYPERLINK("https://ntsu.idm.oclc.org/login?url=https://www.airitibooks.com/Detail/Detail?PublicationID=P20180323008", "https://ntsu.idm.oclc.org/login?url=https://www.airitibooks.com/Detail/Detail?PublicationID=P20180323008")</f>
        <v>https://ntsu.idm.oclc.org/login?url=https://www.airitibooks.com/Detail/Detail?PublicationID=P20180323008</v>
      </c>
    </row>
    <row r="2468" spans="1:11" ht="51" x14ac:dyDescent="0.4">
      <c r="A2468" s="10" t="s">
        <v>8756</v>
      </c>
      <c r="B2468" s="10" t="s">
        <v>8757</v>
      </c>
      <c r="C2468" s="10" t="s">
        <v>240</v>
      </c>
      <c r="D2468" s="10" t="s">
        <v>8758</v>
      </c>
      <c r="E2468" s="10" t="s">
        <v>6182</v>
      </c>
      <c r="F2468" s="10" t="s">
        <v>762</v>
      </c>
      <c r="G2468" s="10" t="s">
        <v>23</v>
      </c>
      <c r="H2468" s="7" t="s">
        <v>7839</v>
      </c>
      <c r="I2468" s="7" t="s">
        <v>25</v>
      </c>
      <c r="J2468" s="13" t="str">
        <f>HYPERLINK("https://www.airitibooks.com/Detail/Detail?PublicationID=P20180323018", "https://www.airitibooks.com/Detail/Detail?PublicationID=P20180323018")</f>
        <v>https://www.airitibooks.com/Detail/Detail?PublicationID=P20180323018</v>
      </c>
      <c r="K2468" s="13" t="str">
        <f>HYPERLINK("https://ntsu.idm.oclc.org/login?url=https://www.airitibooks.com/Detail/Detail?PublicationID=P20180323018", "https://ntsu.idm.oclc.org/login?url=https://www.airitibooks.com/Detail/Detail?PublicationID=P20180323018")</f>
        <v>https://ntsu.idm.oclc.org/login?url=https://www.airitibooks.com/Detail/Detail?PublicationID=P20180323018</v>
      </c>
    </row>
    <row r="2469" spans="1:11" ht="51" x14ac:dyDescent="0.4">
      <c r="A2469" s="10" t="s">
        <v>8808</v>
      </c>
      <c r="B2469" s="10" t="s">
        <v>8809</v>
      </c>
      <c r="C2469" s="10" t="s">
        <v>544</v>
      </c>
      <c r="D2469" s="10" t="s">
        <v>8810</v>
      </c>
      <c r="E2469" s="10" t="s">
        <v>6182</v>
      </c>
      <c r="F2469" s="10" t="s">
        <v>762</v>
      </c>
      <c r="G2469" s="10" t="s">
        <v>23</v>
      </c>
      <c r="H2469" s="7" t="s">
        <v>24</v>
      </c>
      <c r="I2469" s="7" t="s">
        <v>25</v>
      </c>
      <c r="J2469" s="13" t="str">
        <f>HYPERLINK("https://www.airitibooks.com/Detail/Detail?PublicationID=P20180330001", "https://www.airitibooks.com/Detail/Detail?PublicationID=P20180330001")</f>
        <v>https://www.airitibooks.com/Detail/Detail?PublicationID=P20180330001</v>
      </c>
      <c r="K2469" s="13" t="str">
        <f>HYPERLINK("https://ntsu.idm.oclc.org/login?url=https://www.airitibooks.com/Detail/Detail?PublicationID=P20180330001", "https://ntsu.idm.oclc.org/login?url=https://www.airitibooks.com/Detail/Detail?PublicationID=P20180330001")</f>
        <v>https://ntsu.idm.oclc.org/login?url=https://www.airitibooks.com/Detail/Detail?PublicationID=P20180330001</v>
      </c>
    </row>
    <row r="2470" spans="1:11" ht="85" x14ac:dyDescent="0.4">
      <c r="A2470" s="10" t="s">
        <v>8811</v>
      </c>
      <c r="B2470" s="10" t="s">
        <v>8812</v>
      </c>
      <c r="C2470" s="10" t="s">
        <v>544</v>
      </c>
      <c r="D2470" s="10" t="s">
        <v>8813</v>
      </c>
      <c r="E2470" s="10" t="s">
        <v>6182</v>
      </c>
      <c r="F2470" s="10" t="s">
        <v>8814</v>
      </c>
      <c r="G2470" s="10" t="s">
        <v>23</v>
      </c>
      <c r="H2470" s="7" t="s">
        <v>24</v>
      </c>
      <c r="I2470" s="7" t="s">
        <v>25</v>
      </c>
      <c r="J2470" s="13" t="str">
        <f>HYPERLINK("https://www.airitibooks.com/Detail/Detail?PublicationID=P20180330018", "https://www.airitibooks.com/Detail/Detail?PublicationID=P20180330018")</f>
        <v>https://www.airitibooks.com/Detail/Detail?PublicationID=P20180330018</v>
      </c>
      <c r="K2470" s="13" t="str">
        <f>HYPERLINK("https://ntsu.idm.oclc.org/login?url=https://www.airitibooks.com/Detail/Detail?PublicationID=P20180330018", "https://ntsu.idm.oclc.org/login?url=https://www.airitibooks.com/Detail/Detail?PublicationID=P20180330018")</f>
        <v>https://ntsu.idm.oclc.org/login?url=https://www.airitibooks.com/Detail/Detail?PublicationID=P20180330018</v>
      </c>
    </row>
    <row r="2471" spans="1:11" ht="51" x14ac:dyDescent="0.4">
      <c r="A2471" s="10" t="s">
        <v>8815</v>
      </c>
      <c r="B2471" s="10" t="s">
        <v>8816</v>
      </c>
      <c r="C2471" s="10" t="s">
        <v>544</v>
      </c>
      <c r="D2471" s="10" t="s">
        <v>8817</v>
      </c>
      <c r="E2471" s="10" t="s">
        <v>6182</v>
      </c>
      <c r="F2471" s="10" t="s">
        <v>250</v>
      </c>
      <c r="G2471" s="10" t="s">
        <v>23</v>
      </c>
      <c r="H2471" s="7" t="s">
        <v>24</v>
      </c>
      <c r="I2471" s="7" t="s">
        <v>25</v>
      </c>
      <c r="J2471" s="13" t="str">
        <f>HYPERLINK("https://www.airitibooks.com/Detail/Detail?PublicationID=P20180330025", "https://www.airitibooks.com/Detail/Detail?PublicationID=P20180330025")</f>
        <v>https://www.airitibooks.com/Detail/Detail?PublicationID=P20180330025</v>
      </c>
      <c r="K2471" s="13" t="str">
        <f>HYPERLINK("https://ntsu.idm.oclc.org/login?url=https://www.airitibooks.com/Detail/Detail?PublicationID=P20180330025", "https://ntsu.idm.oclc.org/login?url=https://www.airitibooks.com/Detail/Detail?PublicationID=P20180330025")</f>
        <v>https://ntsu.idm.oclc.org/login?url=https://www.airitibooks.com/Detail/Detail?PublicationID=P20180330025</v>
      </c>
    </row>
    <row r="2472" spans="1:11" ht="51" x14ac:dyDescent="0.4">
      <c r="A2472" s="10" t="s">
        <v>8828</v>
      </c>
      <c r="B2472" s="10" t="s">
        <v>8829</v>
      </c>
      <c r="C2472" s="10" t="s">
        <v>544</v>
      </c>
      <c r="D2472" s="10" t="s">
        <v>8820</v>
      </c>
      <c r="E2472" s="10" t="s">
        <v>6182</v>
      </c>
      <c r="F2472" s="10" t="s">
        <v>8830</v>
      </c>
      <c r="G2472" s="10" t="s">
        <v>23</v>
      </c>
      <c r="H2472" s="7" t="s">
        <v>24</v>
      </c>
      <c r="I2472" s="7" t="s">
        <v>25</v>
      </c>
      <c r="J2472" s="13" t="str">
        <f>HYPERLINK("https://www.airitibooks.com/Detail/Detail?PublicationID=P20180330037", "https://www.airitibooks.com/Detail/Detail?PublicationID=P20180330037")</f>
        <v>https://www.airitibooks.com/Detail/Detail?PublicationID=P20180330037</v>
      </c>
      <c r="K2472" s="13" t="str">
        <f>HYPERLINK("https://ntsu.idm.oclc.org/login?url=https://www.airitibooks.com/Detail/Detail?PublicationID=P20180330037", "https://ntsu.idm.oclc.org/login?url=https://www.airitibooks.com/Detail/Detail?PublicationID=P20180330037")</f>
        <v>https://ntsu.idm.oclc.org/login?url=https://www.airitibooks.com/Detail/Detail?PublicationID=P20180330037</v>
      </c>
    </row>
    <row r="2473" spans="1:11" ht="51" x14ac:dyDescent="0.4">
      <c r="A2473" s="10" t="s">
        <v>8831</v>
      </c>
      <c r="B2473" s="10" t="s">
        <v>8832</v>
      </c>
      <c r="C2473" s="10" t="s">
        <v>544</v>
      </c>
      <c r="D2473" s="10" t="s">
        <v>8833</v>
      </c>
      <c r="E2473" s="10" t="s">
        <v>6182</v>
      </c>
      <c r="F2473" s="10" t="s">
        <v>8835</v>
      </c>
      <c r="G2473" s="10" t="s">
        <v>23</v>
      </c>
      <c r="H2473" s="7" t="s">
        <v>24</v>
      </c>
      <c r="I2473" s="7" t="s">
        <v>25</v>
      </c>
      <c r="J2473" s="13" t="str">
        <f>HYPERLINK("https://www.airitibooks.com/Detail/Detail?PublicationID=P20180330038", "https://www.airitibooks.com/Detail/Detail?PublicationID=P20180330038")</f>
        <v>https://www.airitibooks.com/Detail/Detail?PublicationID=P20180330038</v>
      </c>
      <c r="K2473" s="13" t="str">
        <f>HYPERLINK("https://ntsu.idm.oclc.org/login?url=https://www.airitibooks.com/Detail/Detail?PublicationID=P20180330038", "https://ntsu.idm.oclc.org/login?url=https://www.airitibooks.com/Detail/Detail?PublicationID=P20180330038")</f>
        <v>https://ntsu.idm.oclc.org/login?url=https://www.airitibooks.com/Detail/Detail?PublicationID=P20180330038</v>
      </c>
    </row>
    <row r="2474" spans="1:11" ht="51" x14ac:dyDescent="0.4">
      <c r="A2474" s="10" t="s">
        <v>8843</v>
      </c>
      <c r="B2474" s="10" t="s">
        <v>8844</v>
      </c>
      <c r="C2474" s="10" t="s">
        <v>544</v>
      </c>
      <c r="D2474" s="10" t="s">
        <v>8845</v>
      </c>
      <c r="E2474" s="10" t="s">
        <v>6182</v>
      </c>
      <c r="F2474" s="10" t="s">
        <v>250</v>
      </c>
      <c r="G2474" s="10" t="s">
        <v>23</v>
      </c>
      <c r="H2474" s="7" t="s">
        <v>24</v>
      </c>
      <c r="I2474" s="7" t="s">
        <v>25</v>
      </c>
      <c r="J2474" s="13" t="str">
        <f>HYPERLINK("https://www.airitibooks.com/Detail/Detail?PublicationID=P20180330044", "https://www.airitibooks.com/Detail/Detail?PublicationID=P20180330044")</f>
        <v>https://www.airitibooks.com/Detail/Detail?PublicationID=P20180330044</v>
      </c>
      <c r="K2474" s="13" t="str">
        <f>HYPERLINK("https://ntsu.idm.oclc.org/login?url=https://www.airitibooks.com/Detail/Detail?PublicationID=P20180330044", "https://ntsu.idm.oclc.org/login?url=https://www.airitibooks.com/Detail/Detail?PublicationID=P20180330044")</f>
        <v>https://ntsu.idm.oclc.org/login?url=https://www.airitibooks.com/Detail/Detail?PublicationID=P20180330044</v>
      </c>
    </row>
    <row r="2475" spans="1:11" ht="51" x14ac:dyDescent="0.4">
      <c r="A2475" s="10" t="s">
        <v>8850</v>
      </c>
      <c r="B2475" s="10" t="s">
        <v>8851</v>
      </c>
      <c r="C2475" s="10" t="s">
        <v>240</v>
      </c>
      <c r="D2475" s="10" t="s">
        <v>8852</v>
      </c>
      <c r="E2475" s="10" t="s">
        <v>6182</v>
      </c>
      <c r="F2475" s="10" t="s">
        <v>565</v>
      </c>
      <c r="G2475" s="10" t="s">
        <v>23</v>
      </c>
      <c r="H2475" s="7" t="s">
        <v>24</v>
      </c>
      <c r="I2475" s="7" t="s">
        <v>25</v>
      </c>
      <c r="J2475" s="13" t="str">
        <f>HYPERLINK("https://www.airitibooks.com/Detail/Detail?PublicationID=P20180330059", "https://www.airitibooks.com/Detail/Detail?PublicationID=P20180330059")</f>
        <v>https://www.airitibooks.com/Detail/Detail?PublicationID=P20180330059</v>
      </c>
      <c r="K2475" s="13" t="str">
        <f>HYPERLINK("https://ntsu.idm.oclc.org/login?url=https://www.airitibooks.com/Detail/Detail?PublicationID=P20180330059", "https://ntsu.idm.oclc.org/login?url=https://www.airitibooks.com/Detail/Detail?PublicationID=P20180330059")</f>
        <v>https://ntsu.idm.oclc.org/login?url=https://www.airitibooks.com/Detail/Detail?PublicationID=P20180330059</v>
      </c>
    </row>
    <row r="2476" spans="1:11" ht="51" x14ac:dyDescent="0.4">
      <c r="A2476" s="10" t="s">
        <v>8853</v>
      </c>
      <c r="B2476" s="10" t="s">
        <v>8854</v>
      </c>
      <c r="C2476" s="10" t="s">
        <v>240</v>
      </c>
      <c r="D2476" s="10" t="s">
        <v>8855</v>
      </c>
      <c r="E2476" s="10" t="s">
        <v>6182</v>
      </c>
      <c r="F2476" s="10" t="s">
        <v>8856</v>
      </c>
      <c r="G2476" s="10" t="s">
        <v>23</v>
      </c>
      <c r="H2476" s="7" t="s">
        <v>24</v>
      </c>
      <c r="I2476" s="7" t="s">
        <v>25</v>
      </c>
      <c r="J2476" s="13" t="str">
        <f>HYPERLINK("https://www.airitibooks.com/Detail/Detail?PublicationID=P20180330065", "https://www.airitibooks.com/Detail/Detail?PublicationID=P20180330065")</f>
        <v>https://www.airitibooks.com/Detail/Detail?PublicationID=P20180330065</v>
      </c>
      <c r="K2476" s="13" t="str">
        <f>HYPERLINK("https://ntsu.idm.oclc.org/login?url=https://www.airitibooks.com/Detail/Detail?PublicationID=P20180330065", "https://ntsu.idm.oclc.org/login?url=https://www.airitibooks.com/Detail/Detail?PublicationID=P20180330065")</f>
        <v>https://ntsu.idm.oclc.org/login?url=https://www.airitibooks.com/Detail/Detail?PublicationID=P20180330065</v>
      </c>
    </row>
    <row r="2477" spans="1:11" ht="51" x14ac:dyDescent="0.4">
      <c r="A2477" s="10" t="s">
        <v>8968</v>
      </c>
      <c r="B2477" s="10" t="s">
        <v>8969</v>
      </c>
      <c r="C2477" s="10" t="s">
        <v>791</v>
      </c>
      <c r="D2477" s="10" t="s">
        <v>449</v>
      </c>
      <c r="E2477" s="10" t="s">
        <v>6182</v>
      </c>
      <c r="F2477" s="10" t="s">
        <v>720</v>
      </c>
      <c r="G2477" s="10" t="s">
        <v>23</v>
      </c>
      <c r="H2477" s="7" t="s">
        <v>24</v>
      </c>
      <c r="I2477" s="7" t="s">
        <v>25</v>
      </c>
      <c r="J2477" s="13" t="str">
        <f>HYPERLINK("https://www.airitibooks.com/Detail/Detail?PublicationID=P20180413079", "https://www.airitibooks.com/Detail/Detail?PublicationID=P20180413079")</f>
        <v>https://www.airitibooks.com/Detail/Detail?PublicationID=P20180413079</v>
      </c>
      <c r="K2477" s="13" t="str">
        <f>HYPERLINK("https://ntsu.idm.oclc.org/login?url=https://www.airitibooks.com/Detail/Detail?PublicationID=P20180413079", "https://ntsu.idm.oclc.org/login?url=https://www.airitibooks.com/Detail/Detail?PublicationID=P20180413079")</f>
        <v>https://ntsu.idm.oclc.org/login?url=https://www.airitibooks.com/Detail/Detail?PublicationID=P20180413079</v>
      </c>
    </row>
    <row r="2478" spans="1:11" ht="51" x14ac:dyDescent="0.4">
      <c r="A2478" s="10" t="s">
        <v>9018</v>
      </c>
      <c r="B2478" s="10" t="s">
        <v>9019</v>
      </c>
      <c r="C2478" s="10" t="s">
        <v>212</v>
      </c>
      <c r="D2478" s="10" t="s">
        <v>213</v>
      </c>
      <c r="E2478" s="10" t="s">
        <v>6182</v>
      </c>
      <c r="F2478" s="10" t="s">
        <v>214</v>
      </c>
      <c r="G2478" s="10" t="s">
        <v>23</v>
      </c>
      <c r="H2478" s="7" t="s">
        <v>24</v>
      </c>
      <c r="I2478" s="7" t="s">
        <v>25</v>
      </c>
      <c r="J2478" s="13" t="str">
        <f>HYPERLINK("https://www.airitibooks.com/Detail/Detail?PublicationID=P20180413107", "https://www.airitibooks.com/Detail/Detail?PublicationID=P20180413107")</f>
        <v>https://www.airitibooks.com/Detail/Detail?PublicationID=P20180413107</v>
      </c>
      <c r="K2478" s="13" t="str">
        <f>HYPERLINK("https://ntsu.idm.oclc.org/login?url=https://www.airitibooks.com/Detail/Detail?PublicationID=P20180413107", "https://ntsu.idm.oclc.org/login?url=https://www.airitibooks.com/Detail/Detail?PublicationID=P20180413107")</f>
        <v>https://ntsu.idm.oclc.org/login?url=https://www.airitibooks.com/Detail/Detail?PublicationID=P20180413107</v>
      </c>
    </row>
    <row r="2479" spans="1:11" ht="51" x14ac:dyDescent="0.4">
      <c r="A2479" s="10" t="s">
        <v>9117</v>
      </c>
      <c r="B2479" s="10" t="s">
        <v>9118</v>
      </c>
      <c r="C2479" s="10" t="s">
        <v>791</v>
      </c>
      <c r="D2479" s="10" t="s">
        <v>5678</v>
      </c>
      <c r="E2479" s="10" t="s">
        <v>6182</v>
      </c>
      <c r="F2479" s="10" t="s">
        <v>1122</v>
      </c>
      <c r="G2479" s="10" t="s">
        <v>23</v>
      </c>
      <c r="H2479" s="7" t="s">
        <v>24</v>
      </c>
      <c r="I2479" s="7" t="s">
        <v>25</v>
      </c>
      <c r="J2479" s="13" t="str">
        <f>HYPERLINK("https://www.airitibooks.com/Detail/Detail?PublicationID=P20180427042", "https://www.airitibooks.com/Detail/Detail?PublicationID=P20180427042")</f>
        <v>https://www.airitibooks.com/Detail/Detail?PublicationID=P20180427042</v>
      </c>
      <c r="K2479" s="13" t="str">
        <f>HYPERLINK("https://ntsu.idm.oclc.org/login?url=https://www.airitibooks.com/Detail/Detail?PublicationID=P20180427042", "https://ntsu.idm.oclc.org/login?url=https://www.airitibooks.com/Detail/Detail?PublicationID=P20180427042")</f>
        <v>https://ntsu.idm.oclc.org/login?url=https://www.airitibooks.com/Detail/Detail?PublicationID=P20180427042</v>
      </c>
    </row>
    <row r="2480" spans="1:11" ht="51" x14ac:dyDescent="0.4">
      <c r="A2480" s="10" t="s">
        <v>9119</v>
      </c>
      <c r="B2480" s="10" t="s">
        <v>9120</v>
      </c>
      <c r="C2480" s="10" t="s">
        <v>791</v>
      </c>
      <c r="D2480" s="10" t="s">
        <v>9121</v>
      </c>
      <c r="E2480" s="10" t="s">
        <v>6182</v>
      </c>
      <c r="F2480" s="10" t="s">
        <v>1122</v>
      </c>
      <c r="G2480" s="10" t="s">
        <v>23</v>
      </c>
      <c r="H2480" s="7" t="s">
        <v>24</v>
      </c>
      <c r="I2480" s="7" t="s">
        <v>25</v>
      </c>
      <c r="J2480" s="13" t="str">
        <f>HYPERLINK("https://www.airitibooks.com/Detail/Detail?PublicationID=P20180427043", "https://www.airitibooks.com/Detail/Detail?PublicationID=P20180427043")</f>
        <v>https://www.airitibooks.com/Detail/Detail?PublicationID=P20180427043</v>
      </c>
      <c r="K2480" s="13" t="str">
        <f>HYPERLINK("https://ntsu.idm.oclc.org/login?url=https://www.airitibooks.com/Detail/Detail?PublicationID=P20180427043", "https://ntsu.idm.oclc.org/login?url=https://www.airitibooks.com/Detail/Detail?PublicationID=P20180427043")</f>
        <v>https://ntsu.idm.oclc.org/login?url=https://www.airitibooks.com/Detail/Detail?PublicationID=P20180427043</v>
      </c>
    </row>
    <row r="2481" spans="1:11" ht="51" x14ac:dyDescent="0.4">
      <c r="A2481" s="10" t="s">
        <v>9182</v>
      </c>
      <c r="B2481" s="10" t="s">
        <v>9183</v>
      </c>
      <c r="C2481" s="10" t="s">
        <v>3705</v>
      </c>
      <c r="D2481" s="10" t="s">
        <v>9184</v>
      </c>
      <c r="E2481" s="10" t="s">
        <v>6182</v>
      </c>
      <c r="F2481" s="10" t="s">
        <v>243</v>
      </c>
      <c r="G2481" s="10" t="s">
        <v>23</v>
      </c>
      <c r="H2481" s="7" t="s">
        <v>24</v>
      </c>
      <c r="I2481" s="7" t="s">
        <v>25</v>
      </c>
      <c r="J2481" s="13" t="str">
        <f>HYPERLINK("https://www.airitibooks.com/Detail/Detail?PublicationID=P20180511055", "https://www.airitibooks.com/Detail/Detail?PublicationID=P20180511055")</f>
        <v>https://www.airitibooks.com/Detail/Detail?PublicationID=P20180511055</v>
      </c>
      <c r="K2481" s="13" t="str">
        <f>HYPERLINK("https://ntsu.idm.oclc.org/login?url=https://www.airitibooks.com/Detail/Detail?PublicationID=P20180511055", "https://ntsu.idm.oclc.org/login?url=https://www.airitibooks.com/Detail/Detail?PublicationID=P20180511055")</f>
        <v>https://ntsu.idm.oclc.org/login?url=https://www.airitibooks.com/Detail/Detail?PublicationID=P20180511055</v>
      </c>
    </row>
    <row r="2482" spans="1:11" ht="51" x14ac:dyDescent="0.4">
      <c r="A2482" s="10" t="s">
        <v>9223</v>
      </c>
      <c r="B2482" s="10" t="s">
        <v>9224</v>
      </c>
      <c r="C2482" s="10" t="s">
        <v>240</v>
      </c>
      <c r="D2482" s="10" t="s">
        <v>9225</v>
      </c>
      <c r="E2482" s="10" t="s">
        <v>6182</v>
      </c>
      <c r="F2482" s="10" t="s">
        <v>250</v>
      </c>
      <c r="G2482" s="10" t="s">
        <v>23</v>
      </c>
      <c r="H2482" s="7" t="s">
        <v>24</v>
      </c>
      <c r="I2482" s="7" t="s">
        <v>25</v>
      </c>
      <c r="J2482" s="13" t="str">
        <f>HYPERLINK("https://www.airitibooks.com/Detail/Detail?PublicationID=P20180518012", "https://www.airitibooks.com/Detail/Detail?PublicationID=P20180518012")</f>
        <v>https://www.airitibooks.com/Detail/Detail?PublicationID=P20180518012</v>
      </c>
      <c r="K2482" s="13" t="str">
        <f>HYPERLINK("https://ntsu.idm.oclc.org/login?url=https://www.airitibooks.com/Detail/Detail?PublicationID=P20180518012", "https://ntsu.idm.oclc.org/login?url=https://www.airitibooks.com/Detail/Detail?PublicationID=P20180518012")</f>
        <v>https://ntsu.idm.oclc.org/login?url=https://www.airitibooks.com/Detail/Detail?PublicationID=P20180518012</v>
      </c>
    </row>
    <row r="2483" spans="1:11" ht="51" x14ac:dyDescent="0.4">
      <c r="A2483" s="10" t="s">
        <v>9230</v>
      </c>
      <c r="B2483" s="10" t="s">
        <v>9231</v>
      </c>
      <c r="C2483" s="10" t="s">
        <v>240</v>
      </c>
      <c r="D2483" s="10" t="s">
        <v>9232</v>
      </c>
      <c r="E2483" s="10" t="s">
        <v>6182</v>
      </c>
      <c r="F2483" s="10" t="s">
        <v>250</v>
      </c>
      <c r="G2483" s="10" t="s">
        <v>23</v>
      </c>
      <c r="H2483" s="7" t="s">
        <v>24</v>
      </c>
      <c r="I2483" s="7" t="s">
        <v>25</v>
      </c>
      <c r="J2483" s="13" t="str">
        <f>HYPERLINK("https://www.airitibooks.com/Detail/Detail?PublicationID=P20180518019", "https://www.airitibooks.com/Detail/Detail?PublicationID=P20180518019")</f>
        <v>https://www.airitibooks.com/Detail/Detail?PublicationID=P20180518019</v>
      </c>
      <c r="K2483" s="13" t="str">
        <f>HYPERLINK("https://ntsu.idm.oclc.org/login?url=https://www.airitibooks.com/Detail/Detail?PublicationID=P20180518019", "https://ntsu.idm.oclc.org/login?url=https://www.airitibooks.com/Detail/Detail?PublicationID=P20180518019")</f>
        <v>https://ntsu.idm.oclc.org/login?url=https://www.airitibooks.com/Detail/Detail?PublicationID=P20180518019</v>
      </c>
    </row>
    <row r="2484" spans="1:11" ht="51" x14ac:dyDescent="0.4">
      <c r="A2484" s="10" t="s">
        <v>9254</v>
      </c>
      <c r="B2484" s="10" t="s">
        <v>9255</v>
      </c>
      <c r="C2484" s="10" t="s">
        <v>240</v>
      </c>
      <c r="D2484" s="10" t="s">
        <v>9256</v>
      </c>
      <c r="E2484" s="10" t="s">
        <v>6182</v>
      </c>
      <c r="F2484" s="10" t="s">
        <v>250</v>
      </c>
      <c r="G2484" s="10" t="s">
        <v>23</v>
      </c>
      <c r="H2484" s="7" t="s">
        <v>24</v>
      </c>
      <c r="I2484" s="7" t="s">
        <v>25</v>
      </c>
      <c r="J2484" s="13" t="str">
        <f>HYPERLINK("https://www.airitibooks.com/Detail/Detail?PublicationID=P20180525012", "https://www.airitibooks.com/Detail/Detail?PublicationID=P20180525012")</f>
        <v>https://www.airitibooks.com/Detail/Detail?PublicationID=P20180525012</v>
      </c>
      <c r="K2484" s="13" t="str">
        <f>HYPERLINK("https://ntsu.idm.oclc.org/login?url=https://www.airitibooks.com/Detail/Detail?PublicationID=P20180525012", "https://ntsu.idm.oclc.org/login?url=https://www.airitibooks.com/Detail/Detail?PublicationID=P20180525012")</f>
        <v>https://ntsu.idm.oclc.org/login?url=https://www.airitibooks.com/Detail/Detail?PublicationID=P20180525012</v>
      </c>
    </row>
    <row r="2485" spans="1:11" ht="51" x14ac:dyDescent="0.4">
      <c r="A2485" s="10" t="s">
        <v>9257</v>
      </c>
      <c r="B2485" s="10" t="s">
        <v>9258</v>
      </c>
      <c r="C2485" s="10" t="s">
        <v>240</v>
      </c>
      <c r="D2485" s="10" t="s">
        <v>9259</v>
      </c>
      <c r="E2485" s="10" t="s">
        <v>6182</v>
      </c>
      <c r="F2485" s="10" t="s">
        <v>565</v>
      </c>
      <c r="G2485" s="10" t="s">
        <v>23</v>
      </c>
      <c r="H2485" s="7" t="s">
        <v>24</v>
      </c>
      <c r="I2485" s="7" t="s">
        <v>25</v>
      </c>
      <c r="J2485" s="13" t="str">
        <f>HYPERLINK("https://www.airitibooks.com/Detail/Detail?PublicationID=P20180525013", "https://www.airitibooks.com/Detail/Detail?PublicationID=P20180525013")</f>
        <v>https://www.airitibooks.com/Detail/Detail?PublicationID=P20180525013</v>
      </c>
      <c r="K2485" s="13" t="str">
        <f>HYPERLINK("https://ntsu.idm.oclc.org/login?url=https://www.airitibooks.com/Detail/Detail?PublicationID=P20180525013", "https://ntsu.idm.oclc.org/login?url=https://www.airitibooks.com/Detail/Detail?PublicationID=P20180525013")</f>
        <v>https://ntsu.idm.oclc.org/login?url=https://www.airitibooks.com/Detail/Detail?PublicationID=P20180525013</v>
      </c>
    </row>
    <row r="2486" spans="1:11" ht="51" x14ac:dyDescent="0.4">
      <c r="A2486" s="10" t="s">
        <v>9260</v>
      </c>
      <c r="B2486" s="10" t="s">
        <v>9261</v>
      </c>
      <c r="C2486" s="10" t="s">
        <v>240</v>
      </c>
      <c r="D2486" s="10" t="s">
        <v>9262</v>
      </c>
      <c r="E2486" s="10" t="s">
        <v>6182</v>
      </c>
      <c r="F2486" s="10" t="s">
        <v>250</v>
      </c>
      <c r="G2486" s="10" t="s">
        <v>23</v>
      </c>
      <c r="H2486" s="7" t="s">
        <v>24</v>
      </c>
      <c r="I2486" s="7" t="s">
        <v>25</v>
      </c>
      <c r="J2486" s="13" t="str">
        <f>HYPERLINK("https://www.airitibooks.com/Detail/Detail?PublicationID=P20180525014", "https://www.airitibooks.com/Detail/Detail?PublicationID=P20180525014")</f>
        <v>https://www.airitibooks.com/Detail/Detail?PublicationID=P20180525014</v>
      </c>
      <c r="K2486" s="13" t="str">
        <f>HYPERLINK("https://ntsu.idm.oclc.org/login?url=https://www.airitibooks.com/Detail/Detail?PublicationID=P20180525014", "https://ntsu.idm.oclc.org/login?url=https://www.airitibooks.com/Detail/Detail?PublicationID=P20180525014")</f>
        <v>https://ntsu.idm.oclc.org/login?url=https://www.airitibooks.com/Detail/Detail?PublicationID=P20180525014</v>
      </c>
    </row>
    <row r="2487" spans="1:11" ht="51" x14ac:dyDescent="0.4">
      <c r="A2487" s="10" t="s">
        <v>9269</v>
      </c>
      <c r="B2487" s="10" t="s">
        <v>9270</v>
      </c>
      <c r="C2487" s="10" t="s">
        <v>791</v>
      </c>
      <c r="D2487" s="10" t="s">
        <v>9268</v>
      </c>
      <c r="E2487" s="10" t="s">
        <v>6182</v>
      </c>
      <c r="F2487" s="10" t="s">
        <v>5154</v>
      </c>
      <c r="G2487" s="10" t="s">
        <v>23</v>
      </c>
      <c r="H2487" s="7" t="s">
        <v>24</v>
      </c>
      <c r="I2487" s="7" t="s">
        <v>25</v>
      </c>
      <c r="J2487" s="13" t="str">
        <f>HYPERLINK("https://www.airitibooks.com/Detail/Detail?PublicationID=P20180525022", "https://www.airitibooks.com/Detail/Detail?PublicationID=P20180525022")</f>
        <v>https://www.airitibooks.com/Detail/Detail?PublicationID=P20180525022</v>
      </c>
      <c r="K2487" s="13" t="str">
        <f>HYPERLINK("https://ntsu.idm.oclc.org/login?url=https://www.airitibooks.com/Detail/Detail?PublicationID=P20180525022", "https://ntsu.idm.oclc.org/login?url=https://www.airitibooks.com/Detail/Detail?PublicationID=P20180525022")</f>
        <v>https://ntsu.idm.oclc.org/login?url=https://www.airitibooks.com/Detail/Detail?PublicationID=P20180525022</v>
      </c>
    </row>
    <row r="2488" spans="1:11" ht="68" x14ac:dyDescent="0.4">
      <c r="A2488" s="10" t="s">
        <v>9332</v>
      </c>
      <c r="B2488" s="10" t="s">
        <v>9333</v>
      </c>
      <c r="C2488" s="10" t="s">
        <v>1966</v>
      </c>
      <c r="D2488" s="10" t="s">
        <v>9334</v>
      </c>
      <c r="E2488" s="10" t="s">
        <v>6182</v>
      </c>
      <c r="F2488" s="10" t="s">
        <v>9335</v>
      </c>
      <c r="G2488" s="10" t="s">
        <v>23</v>
      </c>
      <c r="H2488" s="7" t="s">
        <v>24</v>
      </c>
      <c r="I2488" s="7" t="s">
        <v>25</v>
      </c>
      <c r="J2488" s="13" t="str">
        <f>HYPERLINK("https://www.airitibooks.com/Detail/Detail?PublicationID=P20180531003", "https://www.airitibooks.com/Detail/Detail?PublicationID=P20180531003")</f>
        <v>https://www.airitibooks.com/Detail/Detail?PublicationID=P20180531003</v>
      </c>
      <c r="K2488" s="13" t="str">
        <f>HYPERLINK("https://ntsu.idm.oclc.org/login?url=https://www.airitibooks.com/Detail/Detail?PublicationID=P20180531003", "https://ntsu.idm.oclc.org/login?url=https://www.airitibooks.com/Detail/Detail?PublicationID=P20180531003")</f>
        <v>https://ntsu.idm.oclc.org/login?url=https://www.airitibooks.com/Detail/Detail?PublicationID=P20180531003</v>
      </c>
    </row>
    <row r="2489" spans="1:11" ht="51" x14ac:dyDescent="0.4">
      <c r="A2489" s="10" t="s">
        <v>9378</v>
      </c>
      <c r="B2489" s="10" t="s">
        <v>9379</v>
      </c>
      <c r="C2489" s="10" t="s">
        <v>9380</v>
      </c>
      <c r="D2489" s="10" t="s">
        <v>9381</v>
      </c>
      <c r="E2489" s="10" t="s">
        <v>6182</v>
      </c>
      <c r="F2489" s="10" t="s">
        <v>753</v>
      </c>
      <c r="G2489" s="10" t="s">
        <v>23</v>
      </c>
      <c r="H2489" s="7" t="s">
        <v>7839</v>
      </c>
      <c r="I2489" s="7" t="s">
        <v>25</v>
      </c>
      <c r="J2489" s="13" t="str">
        <f>HYPERLINK("https://www.airitibooks.com/Detail/Detail?PublicationID=P20180613004", "https://www.airitibooks.com/Detail/Detail?PublicationID=P20180613004")</f>
        <v>https://www.airitibooks.com/Detail/Detail?PublicationID=P20180613004</v>
      </c>
      <c r="K2489" s="13" t="str">
        <f>HYPERLINK("https://ntsu.idm.oclc.org/login?url=https://www.airitibooks.com/Detail/Detail?PublicationID=P20180613004", "https://ntsu.idm.oclc.org/login?url=https://www.airitibooks.com/Detail/Detail?PublicationID=P20180613004")</f>
        <v>https://ntsu.idm.oclc.org/login?url=https://www.airitibooks.com/Detail/Detail?PublicationID=P20180613004</v>
      </c>
    </row>
    <row r="2490" spans="1:11" ht="51" x14ac:dyDescent="0.4">
      <c r="A2490" s="10" t="s">
        <v>9412</v>
      </c>
      <c r="B2490" s="10" t="s">
        <v>9413</v>
      </c>
      <c r="C2490" s="10" t="s">
        <v>499</v>
      </c>
      <c r="D2490" s="10" t="s">
        <v>9414</v>
      </c>
      <c r="E2490" s="10" t="s">
        <v>6182</v>
      </c>
      <c r="F2490" s="10" t="s">
        <v>9415</v>
      </c>
      <c r="G2490" s="10" t="s">
        <v>23</v>
      </c>
      <c r="H2490" s="7" t="s">
        <v>24</v>
      </c>
      <c r="I2490" s="7" t="s">
        <v>25</v>
      </c>
      <c r="J2490" s="13" t="str">
        <f>HYPERLINK("https://www.airitibooks.com/Detail/Detail?PublicationID=P20180614002", "https://www.airitibooks.com/Detail/Detail?PublicationID=P20180614002")</f>
        <v>https://www.airitibooks.com/Detail/Detail?PublicationID=P20180614002</v>
      </c>
      <c r="K2490" s="13" t="str">
        <f>HYPERLINK("https://ntsu.idm.oclc.org/login?url=https://www.airitibooks.com/Detail/Detail?PublicationID=P20180614002", "https://ntsu.idm.oclc.org/login?url=https://www.airitibooks.com/Detail/Detail?PublicationID=P20180614002")</f>
        <v>https://ntsu.idm.oclc.org/login?url=https://www.airitibooks.com/Detail/Detail?PublicationID=P20180614002</v>
      </c>
    </row>
    <row r="2491" spans="1:11" ht="51" x14ac:dyDescent="0.4">
      <c r="A2491" s="10" t="s">
        <v>9990</v>
      </c>
      <c r="B2491" s="10" t="s">
        <v>9991</v>
      </c>
      <c r="C2491" s="10" t="s">
        <v>5582</v>
      </c>
      <c r="D2491" s="10" t="s">
        <v>9992</v>
      </c>
      <c r="E2491" s="10" t="s">
        <v>6182</v>
      </c>
      <c r="F2491" s="10" t="s">
        <v>250</v>
      </c>
      <c r="G2491" s="10" t="s">
        <v>23</v>
      </c>
      <c r="H2491" s="7" t="s">
        <v>24</v>
      </c>
      <c r="I2491" s="7" t="s">
        <v>25</v>
      </c>
      <c r="J2491" s="13" t="str">
        <f>HYPERLINK("https://www.airitibooks.com/Detail/Detail?PublicationID=P20181107006", "https://www.airitibooks.com/Detail/Detail?PublicationID=P20181107006")</f>
        <v>https://www.airitibooks.com/Detail/Detail?PublicationID=P20181107006</v>
      </c>
      <c r="K2491" s="13" t="str">
        <f>HYPERLINK("https://ntsu.idm.oclc.org/login?url=https://www.airitibooks.com/Detail/Detail?PublicationID=P20181107006", "https://ntsu.idm.oclc.org/login?url=https://www.airitibooks.com/Detail/Detail?PublicationID=P20181107006")</f>
        <v>https://ntsu.idm.oclc.org/login?url=https://www.airitibooks.com/Detail/Detail?PublicationID=P20181107006</v>
      </c>
    </row>
    <row r="2492" spans="1:11" ht="51" x14ac:dyDescent="0.4">
      <c r="A2492" s="10" t="s">
        <v>9993</v>
      </c>
      <c r="B2492" s="10" t="s">
        <v>9994</v>
      </c>
      <c r="C2492" s="10" t="s">
        <v>5582</v>
      </c>
      <c r="D2492" s="10" t="s">
        <v>9995</v>
      </c>
      <c r="E2492" s="10" t="s">
        <v>6182</v>
      </c>
      <c r="F2492" s="10" t="s">
        <v>565</v>
      </c>
      <c r="G2492" s="10" t="s">
        <v>23</v>
      </c>
      <c r="H2492" s="7" t="s">
        <v>24</v>
      </c>
      <c r="I2492" s="7" t="s">
        <v>25</v>
      </c>
      <c r="J2492" s="13" t="str">
        <f>HYPERLINK("https://www.airitibooks.com/Detail/Detail?PublicationID=P20181107007", "https://www.airitibooks.com/Detail/Detail?PublicationID=P20181107007")</f>
        <v>https://www.airitibooks.com/Detail/Detail?PublicationID=P20181107007</v>
      </c>
      <c r="K2492" s="13" t="str">
        <f>HYPERLINK("https://ntsu.idm.oclc.org/login?url=https://www.airitibooks.com/Detail/Detail?PublicationID=P20181107007", "https://ntsu.idm.oclc.org/login?url=https://www.airitibooks.com/Detail/Detail?PublicationID=P20181107007")</f>
        <v>https://ntsu.idm.oclc.org/login?url=https://www.airitibooks.com/Detail/Detail?PublicationID=P20181107007</v>
      </c>
    </row>
    <row r="2493" spans="1:11" ht="51" x14ac:dyDescent="0.4">
      <c r="A2493" s="10" t="s">
        <v>10142</v>
      </c>
      <c r="B2493" s="10" t="s">
        <v>10143</v>
      </c>
      <c r="C2493" s="10" t="s">
        <v>9828</v>
      </c>
      <c r="D2493" s="10" t="s">
        <v>10144</v>
      </c>
      <c r="E2493" s="10" t="s">
        <v>6182</v>
      </c>
      <c r="F2493" s="10" t="s">
        <v>3263</v>
      </c>
      <c r="G2493" s="10" t="s">
        <v>23</v>
      </c>
      <c r="H2493" s="7" t="s">
        <v>1031</v>
      </c>
      <c r="I2493" s="7" t="s">
        <v>25</v>
      </c>
      <c r="J2493" s="13" t="str">
        <f>HYPERLINK("https://www.airitibooks.com/Detail/Detail?PublicationID=P20181121058", "https://www.airitibooks.com/Detail/Detail?PublicationID=P20181121058")</f>
        <v>https://www.airitibooks.com/Detail/Detail?PublicationID=P20181121058</v>
      </c>
      <c r="K2493" s="13" t="str">
        <f>HYPERLINK("https://ntsu.idm.oclc.org/login?url=https://www.airitibooks.com/Detail/Detail?PublicationID=P20181121058", "https://ntsu.idm.oclc.org/login?url=https://www.airitibooks.com/Detail/Detail?PublicationID=P20181121058")</f>
        <v>https://ntsu.idm.oclc.org/login?url=https://www.airitibooks.com/Detail/Detail?PublicationID=P20181121058</v>
      </c>
    </row>
    <row r="2494" spans="1:11" ht="51" x14ac:dyDescent="0.4">
      <c r="A2494" s="10" t="s">
        <v>10262</v>
      </c>
      <c r="B2494" s="10" t="s">
        <v>10263</v>
      </c>
      <c r="C2494" s="10" t="s">
        <v>9828</v>
      </c>
      <c r="D2494" s="10" t="s">
        <v>10264</v>
      </c>
      <c r="E2494" s="10" t="s">
        <v>6182</v>
      </c>
      <c r="F2494" s="10" t="s">
        <v>2484</v>
      </c>
      <c r="G2494" s="10" t="s">
        <v>23</v>
      </c>
      <c r="H2494" s="7" t="s">
        <v>7839</v>
      </c>
      <c r="I2494" s="7" t="s">
        <v>25</v>
      </c>
      <c r="J2494" s="13" t="str">
        <f>HYPERLINK("https://www.airitibooks.com/Detail/Detail?PublicationID=P20181203106", "https://www.airitibooks.com/Detail/Detail?PublicationID=P20181203106")</f>
        <v>https://www.airitibooks.com/Detail/Detail?PublicationID=P20181203106</v>
      </c>
      <c r="K2494" s="13" t="str">
        <f>HYPERLINK("https://ntsu.idm.oclc.org/login?url=https://www.airitibooks.com/Detail/Detail?PublicationID=P20181203106", "https://ntsu.idm.oclc.org/login?url=https://www.airitibooks.com/Detail/Detail?PublicationID=P20181203106")</f>
        <v>https://ntsu.idm.oclc.org/login?url=https://www.airitibooks.com/Detail/Detail?PublicationID=P20181203106</v>
      </c>
    </row>
    <row r="2495" spans="1:11" ht="51" x14ac:dyDescent="0.4">
      <c r="A2495" s="10" t="s">
        <v>10328</v>
      </c>
      <c r="B2495" s="10" t="s">
        <v>10329</v>
      </c>
      <c r="C2495" s="10" t="s">
        <v>9828</v>
      </c>
      <c r="D2495" s="10" t="s">
        <v>10330</v>
      </c>
      <c r="E2495" s="10" t="s">
        <v>6182</v>
      </c>
      <c r="F2495" s="10" t="s">
        <v>7849</v>
      </c>
      <c r="G2495" s="10" t="s">
        <v>23</v>
      </c>
      <c r="H2495" s="7" t="s">
        <v>1031</v>
      </c>
      <c r="I2495" s="7" t="s">
        <v>25</v>
      </c>
      <c r="J2495" s="13" t="str">
        <f>HYPERLINK("https://www.airitibooks.com/Detail/Detail?PublicationID=P20181204092", "https://www.airitibooks.com/Detail/Detail?PublicationID=P20181204092")</f>
        <v>https://www.airitibooks.com/Detail/Detail?PublicationID=P20181204092</v>
      </c>
      <c r="K2495" s="13" t="str">
        <f>HYPERLINK("https://ntsu.idm.oclc.org/login?url=https://www.airitibooks.com/Detail/Detail?PublicationID=P20181204092", "https://ntsu.idm.oclc.org/login?url=https://www.airitibooks.com/Detail/Detail?PublicationID=P20181204092")</f>
        <v>https://ntsu.idm.oclc.org/login?url=https://www.airitibooks.com/Detail/Detail?PublicationID=P20181204092</v>
      </c>
    </row>
    <row r="2496" spans="1:11" ht="51" x14ac:dyDescent="0.4">
      <c r="A2496" s="10" t="s">
        <v>10331</v>
      </c>
      <c r="B2496" s="10" t="s">
        <v>10332</v>
      </c>
      <c r="C2496" s="10" t="s">
        <v>9828</v>
      </c>
      <c r="D2496" s="10" t="s">
        <v>10330</v>
      </c>
      <c r="E2496" s="10" t="s">
        <v>6182</v>
      </c>
      <c r="F2496" s="10" t="s">
        <v>7849</v>
      </c>
      <c r="G2496" s="10" t="s">
        <v>23</v>
      </c>
      <c r="H2496" s="7" t="s">
        <v>1031</v>
      </c>
      <c r="I2496" s="7" t="s">
        <v>25</v>
      </c>
      <c r="J2496" s="13" t="str">
        <f>HYPERLINK("https://www.airitibooks.com/Detail/Detail?PublicationID=P20181204094", "https://www.airitibooks.com/Detail/Detail?PublicationID=P20181204094")</f>
        <v>https://www.airitibooks.com/Detail/Detail?PublicationID=P20181204094</v>
      </c>
      <c r="K2496" s="13" t="str">
        <f>HYPERLINK("https://ntsu.idm.oclc.org/login?url=https://www.airitibooks.com/Detail/Detail?PublicationID=P20181204094", "https://ntsu.idm.oclc.org/login?url=https://www.airitibooks.com/Detail/Detail?PublicationID=P20181204094")</f>
        <v>https://ntsu.idm.oclc.org/login?url=https://www.airitibooks.com/Detail/Detail?PublicationID=P20181204094</v>
      </c>
    </row>
    <row r="2497" spans="1:11" ht="51" x14ac:dyDescent="0.4">
      <c r="A2497" s="10" t="s">
        <v>10358</v>
      </c>
      <c r="B2497" s="10" t="s">
        <v>10359</v>
      </c>
      <c r="C2497" s="10" t="s">
        <v>5901</v>
      </c>
      <c r="D2497" s="10" t="s">
        <v>5901</v>
      </c>
      <c r="E2497" s="10" t="s">
        <v>6182</v>
      </c>
      <c r="F2497" s="10" t="s">
        <v>7409</v>
      </c>
      <c r="G2497" s="10" t="s">
        <v>23</v>
      </c>
      <c r="H2497" s="7" t="s">
        <v>24</v>
      </c>
      <c r="I2497" s="7" t="s">
        <v>25</v>
      </c>
      <c r="J2497" s="13" t="str">
        <f>HYPERLINK("https://www.airitibooks.com/Detail/Detail?PublicationID=P20181214041", "https://www.airitibooks.com/Detail/Detail?PublicationID=P20181214041")</f>
        <v>https://www.airitibooks.com/Detail/Detail?PublicationID=P20181214041</v>
      </c>
      <c r="K2497" s="13" t="str">
        <f>HYPERLINK("https://ntsu.idm.oclc.org/login?url=https://www.airitibooks.com/Detail/Detail?PublicationID=P20181214041", "https://ntsu.idm.oclc.org/login?url=https://www.airitibooks.com/Detail/Detail?PublicationID=P20181214041")</f>
        <v>https://ntsu.idm.oclc.org/login?url=https://www.airitibooks.com/Detail/Detail?PublicationID=P20181214041</v>
      </c>
    </row>
    <row r="2498" spans="1:11" ht="51" x14ac:dyDescent="0.4">
      <c r="A2498" s="10" t="s">
        <v>10505</v>
      </c>
      <c r="B2498" s="10" t="s">
        <v>10506</v>
      </c>
      <c r="C2498" s="10" t="s">
        <v>2546</v>
      </c>
      <c r="D2498" s="10" t="s">
        <v>10507</v>
      </c>
      <c r="E2498" s="10" t="s">
        <v>6182</v>
      </c>
      <c r="F2498" s="10" t="s">
        <v>565</v>
      </c>
      <c r="G2498" s="10" t="s">
        <v>23</v>
      </c>
      <c r="H2498" s="7" t="s">
        <v>24</v>
      </c>
      <c r="I2498" s="7" t="s">
        <v>25</v>
      </c>
      <c r="J2498" s="13" t="str">
        <f>HYPERLINK("https://www.airitibooks.com/Detail/Detail?PublicationID=P20181224048", "https://www.airitibooks.com/Detail/Detail?PublicationID=P20181224048")</f>
        <v>https://www.airitibooks.com/Detail/Detail?PublicationID=P20181224048</v>
      </c>
      <c r="K2498" s="13" t="str">
        <f>HYPERLINK("https://ntsu.idm.oclc.org/login?url=https://www.airitibooks.com/Detail/Detail?PublicationID=P20181224048", "https://ntsu.idm.oclc.org/login?url=https://www.airitibooks.com/Detail/Detail?PublicationID=P20181224048")</f>
        <v>https://ntsu.idm.oclc.org/login?url=https://www.airitibooks.com/Detail/Detail?PublicationID=P20181224048</v>
      </c>
    </row>
    <row r="2499" spans="1:11" ht="51" x14ac:dyDescent="0.4">
      <c r="A2499" s="10" t="s">
        <v>10508</v>
      </c>
      <c r="B2499" s="10" t="s">
        <v>10509</v>
      </c>
      <c r="C2499" s="10" t="s">
        <v>2546</v>
      </c>
      <c r="D2499" s="10" t="s">
        <v>10510</v>
      </c>
      <c r="E2499" s="10" t="s">
        <v>6182</v>
      </c>
      <c r="F2499" s="10" t="s">
        <v>10511</v>
      </c>
      <c r="G2499" s="10" t="s">
        <v>23</v>
      </c>
      <c r="H2499" s="7" t="s">
        <v>24</v>
      </c>
      <c r="I2499" s="7" t="s">
        <v>25</v>
      </c>
      <c r="J2499" s="13" t="str">
        <f>HYPERLINK("https://www.airitibooks.com/Detail/Detail?PublicationID=P20181224049", "https://www.airitibooks.com/Detail/Detail?PublicationID=P20181224049")</f>
        <v>https://www.airitibooks.com/Detail/Detail?PublicationID=P20181224049</v>
      </c>
      <c r="K2499" s="13" t="str">
        <f>HYPERLINK("https://ntsu.idm.oclc.org/login?url=https://www.airitibooks.com/Detail/Detail?PublicationID=P20181224049", "https://ntsu.idm.oclc.org/login?url=https://www.airitibooks.com/Detail/Detail?PublicationID=P20181224049")</f>
        <v>https://ntsu.idm.oclc.org/login?url=https://www.airitibooks.com/Detail/Detail?PublicationID=P20181224049</v>
      </c>
    </row>
    <row r="2500" spans="1:11" ht="68" x14ac:dyDescent="0.4">
      <c r="A2500" s="10" t="s">
        <v>10599</v>
      </c>
      <c r="B2500" s="10" t="s">
        <v>10600</v>
      </c>
      <c r="C2500" s="10" t="s">
        <v>457</v>
      </c>
      <c r="D2500" s="10" t="s">
        <v>10601</v>
      </c>
      <c r="E2500" s="10" t="s">
        <v>6182</v>
      </c>
      <c r="F2500" s="10" t="s">
        <v>1127</v>
      </c>
      <c r="G2500" s="10" t="s">
        <v>23</v>
      </c>
      <c r="H2500" s="7" t="s">
        <v>24</v>
      </c>
      <c r="I2500" s="7" t="s">
        <v>25</v>
      </c>
      <c r="J2500" s="13" t="str">
        <f>HYPERLINK("https://www.airitibooks.com/Detail/Detail?PublicationID=P20190214002", "https://www.airitibooks.com/Detail/Detail?PublicationID=P20190214002")</f>
        <v>https://www.airitibooks.com/Detail/Detail?PublicationID=P20190214002</v>
      </c>
      <c r="K2500" s="13" t="str">
        <f>HYPERLINK("https://ntsu.idm.oclc.org/login?url=https://www.airitibooks.com/Detail/Detail?PublicationID=P20190214002", "https://ntsu.idm.oclc.org/login?url=https://www.airitibooks.com/Detail/Detail?PublicationID=P20190214002")</f>
        <v>https://ntsu.idm.oclc.org/login?url=https://www.airitibooks.com/Detail/Detail?PublicationID=P20190214002</v>
      </c>
    </row>
    <row r="2501" spans="1:11" ht="51" x14ac:dyDescent="0.4">
      <c r="A2501" s="10" t="s">
        <v>10602</v>
      </c>
      <c r="B2501" s="10" t="s">
        <v>10603</v>
      </c>
      <c r="C2501" s="10" t="s">
        <v>457</v>
      </c>
      <c r="D2501" s="10" t="s">
        <v>10604</v>
      </c>
      <c r="E2501" s="10" t="s">
        <v>6182</v>
      </c>
      <c r="F2501" s="10" t="s">
        <v>2492</v>
      </c>
      <c r="G2501" s="10" t="s">
        <v>23</v>
      </c>
      <c r="H2501" s="7" t="s">
        <v>24</v>
      </c>
      <c r="I2501" s="7" t="s">
        <v>25</v>
      </c>
      <c r="J2501" s="13" t="str">
        <f>HYPERLINK("https://www.airitibooks.com/Detail/Detail?PublicationID=P20190214003", "https://www.airitibooks.com/Detail/Detail?PublicationID=P20190214003")</f>
        <v>https://www.airitibooks.com/Detail/Detail?PublicationID=P20190214003</v>
      </c>
      <c r="K2501" s="13" t="str">
        <f>HYPERLINK("https://ntsu.idm.oclc.org/login?url=https://www.airitibooks.com/Detail/Detail?PublicationID=P20190214003", "https://ntsu.idm.oclc.org/login?url=https://www.airitibooks.com/Detail/Detail?PublicationID=P20190214003")</f>
        <v>https://ntsu.idm.oclc.org/login?url=https://www.airitibooks.com/Detail/Detail?PublicationID=P20190214003</v>
      </c>
    </row>
    <row r="2502" spans="1:11" ht="68" x14ac:dyDescent="0.4">
      <c r="A2502" s="10" t="s">
        <v>10605</v>
      </c>
      <c r="B2502" s="10" t="s">
        <v>10606</v>
      </c>
      <c r="C2502" s="10" t="s">
        <v>457</v>
      </c>
      <c r="D2502" s="10" t="s">
        <v>10607</v>
      </c>
      <c r="E2502" s="10" t="s">
        <v>6182</v>
      </c>
      <c r="F2502" s="10" t="s">
        <v>1122</v>
      </c>
      <c r="G2502" s="10" t="s">
        <v>23</v>
      </c>
      <c r="H2502" s="7" t="s">
        <v>24</v>
      </c>
      <c r="I2502" s="7" t="s">
        <v>25</v>
      </c>
      <c r="J2502" s="13" t="str">
        <f>HYPERLINK("https://www.airitibooks.com/Detail/Detail?PublicationID=P20190214004", "https://www.airitibooks.com/Detail/Detail?PublicationID=P20190214004")</f>
        <v>https://www.airitibooks.com/Detail/Detail?PublicationID=P20190214004</v>
      </c>
      <c r="K2502" s="13" t="str">
        <f>HYPERLINK("https://ntsu.idm.oclc.org/login?url=https://www.airitibooks.com/Detail/Detail?PublicationID=P20190214004", "https://ntsu.idm.oclc.org/login?url=https://www.airitibooks.com/Detail/Detail?PublicationID=P20190214004")</f>
        <v>https://ntsu.idm.oclc.org/login?url=https://www.airitibooks.com/Detail/Detail?PublicationID=P20190214004</v>
      </c>
    </row>
    <row r="2503" spans="1:11" ht="68" x14ac:dyDescent="0.4">
      <c r="A2503" s="10" t="s">
        <v>10608</v>
      </c>
      <c r="B2503" s="10" t="s">
        <v>10609</v>
      </c>
      <c r="C2503" s="10" t="s">
        <v>457</v>
      </c>
      <c r="D2503" s="10" t="s">
        <v>10607</v>
      </c>
      <c r="E2503" s="10" t="s">
        <v>6182</v>
      </c>
      <c r="F2503" s="10" t="s">
        <v>214</v>
      </c>
      <c r="G2503" s="10" t="s">
        <v>23</v>
      </c>
      <c r="H2503" s="7" t="s">
        <v>24</v>
      </c>
      <c r="I2503" s="7" t="s">
        <v>25</v>
      </c>
      <c r="J2503" s="13" t="str">
        <f>HYPERLINK("https://www.airitibooks.com/Detail/Detail?PublicationID=P20190214005", "https://www.airitibooks.com/Detail/Detail?PublicationID=P20190214005")</f>
        <v>https://www.airitibooks.com/Detail/Detail?PublicationID=P20190214005</v>
      </c>
      <c r="K2503" s="13" t="str">
        <f>HYPERLINK("https://ntsu.idm.oclc.org/login?url=https://www.airitibooks.com/Detail/Detail?PublicationID=P20190214005", "https://ntsu.idm.oclc.org/login?url=https://www.airitibooks.com/Detail/Detail?PublicationID=P20190214005")</f>
        <v>https://ntsu.idm.oclc.org/login?url=https://www.airitibooks.com/Detail/Detail?PublicationID=P20190214005</v>
      </c>
    </row>
    <row r="2504" spans="1:11" ht="51" x14ac:dyDescent="0.4">
      <c r="A2504" s="10" t="s">
        <v>10667</v>
      </c>
      <c r="B2504" s="10" t="s">
        <v>10668</v>
      </c>
      <c r="C2504" s="10" t="s">
        <v>457</v>
      </c>
      <c r="D2504" s="10" t="s">
        <v>10669</v>
      </c>
      <c r="E2504" s="10" t="s">
        <v>6182</v>
      </c>
      <c r="F2504" s="10" t="s">
        <v>710</v>
      </c>
      <c r="G2504" s="10" t="s">
        <v>23</v>
      </c>
      <c r="H2504" s="7" t="s">
        <v>24</v>
      </c>
      <c r="I2504" s="7" t="s">
        <v>25</v>
      </c>
      <c r="J2504" s="13" t="str">
        <f>HYPERLINK("https://www.airitibooks.com/Detail/Detail?PublicationID=P20190214048", "https://www.airitibooks.com/Detail/Detail?PublicationID=P20190214048")</f>
        <v>https://www.airitibooks.com/Detail/Detail?PublicationID=P20190214048</v>
      </c>
      <c r="K2504" s="13" t="str">
        <f>HYPERLINK("https://ntsu.idm.oclc.org/login?url=https://www.airitibooks.com/Detail/Detail?PublicationID=P20190214048", "https://ntsu.idm.oclc.org/login?url=https://www.airitibooks.com/Detail/Detail?PublicationID=P20190214048")</f>
        <v>https://ntsu.idm.oclc.org/login?url=https://www.airitibooks.com/Detail/Detail?PublicationID=P20190214048</v>
      </c>
    </row>
    <row r="2505" spans="1:11" ht="51" x14ac:dyDescent="0.4">
      <c r="A2505" s="10" t="s">
        <v>10844</v>
      </c>
      <c r="B2505" s="10" t="s">
        <v>10845</v>
      </c>
      <c r="C2505" s="10" t="s">
        <v>10846</v>
      </c>
      <c r="D2505" s="10" t="s">
        <v>10847</v>
      </c>
      <c r="E2505" s="10" t="s">
        <v>6182</v>
      </c>
      <c r="F2505" s="10" t="s">
        <v>565</v>
      </c>
      <c r="G2505" s="10" t="s">
        <v>23</v>
      </c>
      <c r="H2505" s="7" t="s">
        <v>24</v>
      </c>
      <c r="I2505" s="7" t="s">
        <v>25</v>
      </c>
      <c r="J2505" s="13" t="str">
        <f>HYPERLINK("https://www.airitibooks.com/Detail/Detail?PublicationID=P20190220152", "https://www.airitibooks.com/Detail/Detail?PublicationID=P20190220152")</f>
        <v>https://www.airitibooks.com/Detail/Detail?PublicationID=P20190220152</v>
      </c>
      <c r="K2505" s="13" t="str">
        <f>HYPERLINK("https://ntsu.idm.oclc.org/login?url=https://www.airitibooks.com/Detail/Detail?PublicationID=P20190220152", "https://ntsu.idm.oclc.org/login?url=https://www.airitibooks.com/Detail/Detail?PublicationID=P20190220152")</f>
        <v>https://ntsu.idm.oclc.org/login?url=https://www.airitibooks.com/Detail/Detail?PublicationID=P20190220152</v>
      </c>
    </row>
    <row r="2506" spans="1:11" ht="51" x14ac:dyDescent="0.4">
      <c r="A2506" s="10" t="s">
        <v>10870</v>
      </c>
      <c r="B2506" s="10" t="s">
        <v>10871</v>
      </c>
      <c r="C2506" s="10" t="s">
        <v>10640</v>
      </c>
      <c r="D2506" s="10" t="s">
        <v>10641</v>
      </c>
      <c r="E2506" s="10" t="s">
        <v>6182</v>
      </c>
      <c r="F2506" s="10" t="s">
        <v>3575</v>
      </c>
      <c r="G2506" s="10" t="s">
        <v>23</v>
      </c>
      <c r="H2506" s="7" t="s">
        <v>24</v>
      </c>
      <c r="I2506" s="7" t="s">
        <v>25</v>
      </c>
      <c r="J2506" s="13" t="str">
        <f>HYPERLINK("https://www.airitibooks.com/Detail/Detail?PublicationID=P20190222018", "https://www.airitibooks.com/Detail/Detail?PublicationID=P20190222018")</f>
        <v>https://www.airitibooks.com/Detail/Detail?PublicationID=P20190222018</v>
      </c>
      <c r="K2506" s="13" t="str">
        <f>HYPERLINK("https://ntsu.idm.oclc.org/login?url=https://www.airitibooks.com/Detail/Detail?PublicationID=P20190222018", "https://ntsu.idm.oclc.org/login?url=https://www.airitibooks.com/Detail/Detail?PublicationID=P20190222018")</f>
        <v>https://ntsu.idm.oclc.org/login?url=https://www.airitibooks.com/Detail/Detail?PublicationID=P20190222018</v>
      </c>
    </row>
    <row r="2507" spans="1:11" ht="51" x14ac:dyDescent="0.4">
      <c r="A2507" s="10" t="s">
        <v>10872</v>
      </c>
      <c r="B2507" s="10" t="s">
        <v>10873</v>
      </c>
      <c r="C2507" s="10" t="s">
        <v>10640</v>
      </c>
      <c r="D2507" s="10" t="s">
        <v>10641</v>
      </c>
      <c r="E2507" s="10" t="s">
        <v>6182</v>
      </c>
      <c r="F2507" s="10" t="s">
        <v>3575</v>
      </c>
      <c r="G2507" s="10" t="s">
        <v>23</v>
      </c>
      <c r="H2507" s="7" t="s">
        <v>24</v>
      </c>
      <c r="I2507" s="7" t="s">
        <v>25</v>
      </c>
      <c r="J2507" s="13" t="str">
        <f>HYPERLINK("https://www.airitibooks.com/Detail/Detail?PublicationID=P20190222026", "https://www.airitibooks.com/Detail/Detail?PublicationID=P20190222026")</f>
        <v>https://www.airitibooks.com/Detail/Detail?PublicationID=P20190222026</v>
      </c>
      <c r="K2507" s="13" t="str">
        <f>HYPERLINK("https://ntsu.idm.oclc.org/login?url=https://www.airitibooks.com/Detail/Detail?PublicationID=P20190222026", "https://ntsu.idm.oclc.org/login?url=https://www.airitibooks.com/Detail/Detail?PublicationID=P20190222026")</f>
        <v>https://ntsu.idm.oclc.org/login?url=https://www.airitibooks.com/Detail/Detail?PublicationID=P20190222026</v>
      </c>
    </row>
    <row r="2508" spans="1:11" ht="51" x14ac:dyDescent="0.4">
      <c r="A2508" s="10" t="s">
        <v>10907</v>
      </c>
      <c r="B2508" s="10" t="s">
        <v>10908</v>
      </c>
      <c r="C2508" s="10" t="s">
        <v>10846</v>
      </c>
      <c r="D2508" s="10" t="s">
        <v>10909</v>
      </c>
      <c r="E2508" s="10" t="s">
        <v>6182</v>
      </c>
      <c r="F2508" s="10" t="s">
        <v>1856</v>
      </c>
      <c r="G2508" s="10" t="s">
        <v>23</v>
      </c>
      <c r="H2508" s="7" t="s">
        <v>24</v>
      </c>
      <c r="I2508" s="7" t="s">
        <v>25</v>
      </c>
      <c r="J2508" s="13" t="str">
        <f>HYPERLINK("https://www.airitibooks.com/Detail/Detail?PublicationID=P20190306032", "https://www.airitibooks.com/Detail/Detail?PublicationID=P20190306032")</f>
        <v>https://www.airitibooks.com/Detail/Detail?PublicationID=P20190306032</v>
      </c>
      <c r="K2508" s="13" t="str">
        <f>HYPERLINK("https://ntsu.idm.oclc.org/login?url=https://www.airitibooks.com/Detail/Detail?PublicationID=P20190306032", "https://ntsu.idm.oclc.org/login?url=https://www.airitibooks.com/Detail/Detail?PublicationID=P20190306032")</f>
        <v>https://ntsu.idm.oclc.org/login?url=https://www.airitibooks.com/Detail/Detail?PublicationID=P20190306032</v>
      </c>
    </row>
    <row r="2509" spans="1:11" ht="51" x14ac:dyDescent="0.4">
      <c r="A2509" s="10" t="s">
        <v>11189</v>
      </c>
      <c r="B2509" s="10" t="s">
        <v>11190</v>
      </c>
      <c r="C2509" s="10" t="s">
        <v>11191</v>
      </c>
      <c r="D2509" s="10" t="s">
        <v>11192</v>
      </c>
      <c r="E2509" s="10" t="s">
        <v>6182</v>
      </c>
      <c r="F2509" s="10" t="s">
        <v>11193</v>
      </c>
      <c r="G2509" s="10" t="s">
        <v>23</v>
      </c>
      <c r="H2509" s="7" t="s">
        <v>24</v>
      </c>
      <c r="I2509" s="7" t="s">
        <v>25</v>
      </c>
      <c r="J2509" s="13" t="str">
        <f>HYPERLINK("https://www.airitibooks.com/Detail/Detail?PublicationID=P20190425117", "https://www.airitibooks.com/Detail/Detail?PublicationID=P20190425117")</f>
        <v>https://www.airitibooks.com/Detail/Detail?PublicationID=P20190425117</v>
      </c>
      <c r="K2509" s="13" t="str">
        <f>HYPERLINK("https://ntsu.idm.oclc.org/login?url=https://www.airitibooks.com/Detail/Detail?PublicationID=P20190425117", "https://ntsu.idm.oclc.org/login?url=https://www.airitibooks.com/Detail/Detail?PublicationID=P20190425117")</f>
        <v>https://ntsu.idm.oclc.org/login?url=https://www.airitibooks.com/Detail/Detail?PublicationID=P20190425117</v>
      </c>
    </row>
    <row r="2510" spans="1:11" ht="51" x14ac:dyDescent="0.4">
      <c r="A2510" s="10" t="s">
        <v>11583</v>
      </c>
      <c r="B2510" s="10" t="s">
        <v>11584</v>
      </c>
      <c r="C2510" s="10" t="s">
        <v>357</v>
      </c>
      <c r="D2510" s="10" t="s">
        <v>3776</v>
      </c>
      <c r="E2510" s="10" t="s">
        <v>6182</v>
      </c>
      <c r="F2510" s="10" t="s">
        <v>565</v>
      </c>
      <c r="G2510" s="10" t="s">
        <v>23</v>
      </c>
      <c r="H2510" s="7" t="s">
        <v>24</v>
      </c>
      <c r="I2510" s="7" t="s">
        <v>25</v>
      </c>
      <c r="J2510" s="13" t="str">
        <f>HYPERLINK("https://www.airitibooks.com/Detail/Detail?PublicationID=P20190531058", "https://www.airitibooks.com/Detail/Detail?PublicationID=P20190531058")</f>
        <v>https://www.airitibooks.com/Detail/Detail?PublicationID=P20190531058</v>
      </c>
      <c r="K2510" s="13" t="str">
        <f>HYPERLINK("https://ntsu.idm.oclc.org/login?url=https://www.airitibooks.com/Detail/Detail?PublicationID=P20190531058", "https://ntsu.idm.oclc.org/login?url=https://www.airitibooks.com/Detail/Detail?PublicationID=P20190531058")</f>
        <v>https://ntsu.idm.oclc.org/login?url=https://www.airitibooks.com/Detail/Detail?PublicationID=P20190531058</v>
      </c>
    </row>
    <row r="2511" spans="1:11" ht="51" x14ac:dyDescent="0.4">
      <c r="A2511" s="10" t="s">
        <v>11585</v>
      </c>
      <c r="B2511" s="10" t="s">
        <v>11586</v>
      </c>
      <c r="C2511" s="10" t="s">
        <v>357</v>
      </c>
      <c r="D2511" s="10" t="s">
        <v>3776</v>
      </c>
      <c r="E2511" s="10" t="s">
        <v>6182</v>
      </c>
      <c r="F2511" s="10" t="s">
        <v>565</v>
      </c>
      <c r="G2511" s="10" t="s">
        <v>23</v>
      </c>
      <c r="H2511" s="7" t="s">
        <v>24</v>
      </c>
      <c r="I2511" s="7" t="s">
        <v>25</v>
      </c>
      <c r="J2511" s="13" t="str">
        <f>HYPERLINK("https://www.airitibooks.com/Detail/Detail?PublicationID=P20190531060", "https://www.airitibooks.com/Detail/Detail?PublicationID=P20190531060")</f>
        <v>https://www.airitibooks.com/Detail/Detail?PublicationID=P20190531060</v>
      </c>
      <c r="K2511" s="13" t="str">
        <f>HYPERLINK("https://ntsu.idm.oclc.org/login?url=https://www.airitibooks.com/Detail/Detail?PublicationID=P20190531060", "https://ntsu.idm.oclc.org/login?url=https://www.airitibooks.com/Detail/Detail?PublicationID=P20190531060")</f>
        <v>https://ntsu.idm.oclc.org/login?url=https://www.airitibooks.com/Detail/Detail?PublicationID=P20190531060</v>
      </c>
    </row>
    <row r="2512" spans="1:11" ht="85" x14ac:dyDescent="0.4">
      <c r="A2512" s="10" t="s">
        <v>11602</v>
      </c>
      <c r="B2512" s="10" t="s">
        <v>11603</v>
      </c>
      <c r="C2512" s="10" t="s">
        <v>3919</v>
      </c>
      <c r="D2512" s="10" t="s">
        <v>11604</v>
      </c>
      <c r="E2512" s="10" t="s">
        <v>6182</v>
      </c>
      <c r="F2512" s="10" t="s">
        <v>3921</v>
      </c>
      <c r="G2512" s="10" t="s">
        <v>23</v>
      </c>
      <c r="H2512" s="7" t="s">
        <v>24</v>
      </c>
      <c r="I2512" s="7" t="s">
        <v>25</v>
      </c>
      <c r="J2512" s="13" t="str">
        <f>HYPERLINK("https://www.airitibooks.com/Detail/Detail?PublicationID=P20190531176", "https://www.airitibooks.com/Detail/Detail?PublicationID=P20190531176")</f>
        <v>https://www.airitibooks.com/Detail/Detail?PublicationID=P20190531176</v>
      </c>
      <c r="K2512" s="13" t="str">
        <f>HYPERLINK("https://ntsu.idm.oclc.org/login?url=https://www.airitibooks.com/Detail/Detail?PublicationID=P20190531176", "https://ntsu.idm.oclc.org/login?url=https://www.airitibooks.com/Detail/Detail?PublicationID=P20190531176")</f>
        <v>https://ntsu.idm.oclc.org/login?url=https://www.airitibooks.com/Detail/Detail?PublicationID=P20190531176</v>
      </c>
    </row>
    <row r="2513" spans="1:11" ht="51" x14ac:dyDescent="0.4">
      <c r="A2513" s="10" t="s">
        <v>6227</v>
      </c>
      <c r="B2513" s="10" t="s">
        <v>11631</v>
      </c>
      <c r="C2513" s="10" t="s">
        <v>6229</v>
      </c>
      <c r="D2513" s="10" t="s">
        <v>6230</v>
      </c>
      <c r="E2513" s="10" t="s">
        <v>6182</v>
      </c>
      <c r="F2513" s="10" t="s">
        <v>4993</v>
      </c>
      <c r="G2513" s="10" t="s">
        <v>23</v>
      </c>
      <c r="H2513" s="7" t="s">
        <v>24</v>
      </c>
      <c r="I2513" s="7" t="s">
        <v>25</v>
      </c>
      <c r="J2513" s="13" t="str">
        <f>HYPERLINK("https://www.airitibooks.com/Detail/Detail?PublicationID=P20190606147", "https://www.airitibooks.com/Detail/Detail?PublicationID=P20190606147")</f>
        <v>https://www.airitibooks.com/Detail/Detail?PublicationID=P20190606147</v>
      </c>
      <c r="K2513" s="13" t="str">
        <f>HYPERLINK("https://ntsu.idm.oclc.org/login?url=https://www.airitibooks.com/Detail/Detail?PublicationID=P20190606147", "https://ntsu.idm.oclc.org/login?url=https://www.airitibooks.com/Detail/Detail?PublicationID=P20190606147")</f>
        <v>https://ntsu.idm.oclc.org/login?url=https://www.airitibooks.com/Detail/Detail?PublicationID=P20190606147</v>
      </c>
    </row>
    <row r="2514" spans="1:11" ht="51" x14ac:dyDescent="0.4">
      <c r="A2514" s="10" t="s">
        <v>11632</v>
      </c>
      <c r="B2514" s="10" t="s">
        <v>11633</v>
      </c>
      <c r="C2514" s="10" t="s">
        <v>7065</v>
      </c>
      <c r="D2514" s="10" t="s">
        <v>4353</v>
      </c>
      <c r="E2514" s="10" t="s">
        <v>6182</v>
      </c>
      <c r="F2514" s="10" t="s">
        <v>3548</v>
      </c>
      <c r="G2514" s="10" t="s">
        <v>23</v>
      </c>
      <c r="H2514" s="7" t="s">
        <v>24</v>
      </c>
      <c r="I2514" s="7" t="s">
        <v>25</v>
      </c>
      <c r="J2514" s="13" t="str">
        <f>HYPERLINK("https://www.airitibooks.com/Detail/Detail?PublicationID=P20190606151", "https://www.airitibooks.com/Detail/Detail?PublicationID=P20190606151")</f>
        <v>https://www.airitibooks.com/Detail/Detail?PublicationID=P20190606151</v>
      </c>
      <c r="K2514" s="13" t="str">
        <f>HYPERLINK("https://ntsu.idm.oclc.org/login?url=https://www.airitibooks.com/Detail/Detail?PublicationID=P20190606151", "https://ntsu.idm.oclc.org/login?url=https://www.airitibooks.com/Detail/Detail?PublicationID=P20190606151")</f>
        <v>https://ntsu.idm.oclc.org/login?url=https://www.airitibooks.com/Detail/Detail?PublicationID=P20190606151</v>
      </c>
    </row>
    <row r="2515" spans="1:11" ht="51" x14ac:dyDescent="0.4">
      <c r="A2515" s="10" t="s">
        <v>11661</v>
      </c>
      <c r="B2515" s="10" t="s">
        <v>11662</v>
      </c>
      <c r="C2515" s="10" t="s">
        <v>4120</v>
      </c>
      <c r="D2515" s="10" t="s">
        <v>11663</v>
      </c>
      <c r="E2515" s="10" t="s">
        <v>6182</v>
      </c>
      <c r="F2515" s="10" t="s">
        <v>250</v>
      </c>
      <c r="G2515" s="10" t="s">
        <v>23</v>
      </c>
      <c r="H2515" s="7" t="s">
        <v>24</v>
      </c>
      <c r="I2515" s="7" t="s">
        <v>25</v>
      </c>
      <c r="J2515" s="13" t="str">
        <f>HYPERLINK("https://www.airitibooks.com/Detail/Detail?PublicationID=P20190614028", "https://www.airitibooks.com/Detail/Detail?PublicationID=P20190614028")</f>
        <v>https://www.airitibooks.com/Detail/Detail?PublicationID=P20190614028</v>
      </c>
      <c r="K2515" s="13" t="str">
        <f>HYPERLINK("https://ntsu.idm.oclc.org/login?url=https://www.airitibooks.com/Detail/Detail?PublicationID=P20190614028", "https://ntsu.idm.oclc.org/login?url=https://www.airitibooks.com/Detail/Detail?PublicationID=P20190614028")</f>
        <v>https://ntsu.idm.oclc.org/login?url=https://www.airitibooks.com/Detail/Detail?PublicationID=P20190614028</v>
      </c>
    </row>
    <row r="2516" spans="1:11" ht="85" x14ac:dyDescent="0.4">
      <c r="A2516" s="10" t="s">
        <v>11681</v>
      </c>
      <c r="B2516" s="10" t="s">
        <v>11682</v>
      </c>
      <c r="C2516" s="10" t="s">
        <v>5050</v>
      </c>
      <c r="D2516" s="10" t="s">
        <v>11683</v>
      </c>
      <c r="E2516" s="10" t="s">
        <v>6182</v>
      </c>
      <c r="F2516" s="10" t="s">
        <v>2560</v>
      </c>
      <c r="G2516" s="10" t="s">
        <v>23</v>
      </c>
      <c r="H2516" s="7" t="s">
        <v>24</v>
      </c>
      <c r="I2516" s="7" t="s">
        <v>25</v>
      </c>
      <c r="J2516" s="13" t="str">
        <f>HYPERLINK("https://www.airitibooks.com/Detail/Detail?PublicationID=P20190614076", "https://www.airitibooks.com/Detail/Detail?PublicationID=P20190614076")</f>
        <v>https://www.airitibooks.com/Detail/Detail?PublicationID=P20190614076</v>
      </c>
      <c r="K2516" s="13" t="str">
        <f>HYPERLINK("https://ntsu.idm.oclc.org/login?url=https://www.airitibooks.com/Detail/Detail?PublicationID=P20190614076", "https://ntsu.idm.oclc.org/login?url=https://www.airitibooks.com/Detail/Detail?PublicationID=P20190614076")</f>
        <v>https://ntsu.idm.oclc.org/login?url=https://www.airitibooks.com/Detail/Detail?PublicationID=P20190614076</v>
      </c>
    </row>
    <row r="2517" spans="1:11" ht="68" x14ac:dyDescent="0.4">
      <c r="A2517" s="10" t="s">
        <v>11684</v>
      </c>
      <c r="B2517" s="10" t="s">
        <v>11685</v>
      </c>
      <c r="C2517" s="10" t="s">
        <v>5050</v>
      </c>
      <c r="D2517" s="10" t="s">
        <v>11686</v>
      </c>
      <c r="E2517" s="10" t="s">
        <v>6182</v>
      </c>
      <c r="F2517" s="10" t="s">
        <v>3789</v>
      </c>
      <c r="G2517" s="10" t="s">
        <v>23</v>
      </c>
      <c r="H2517" s="7" t="s">
        <v>24</v>
      </c>
      <c r="I2517" s="7" t="s">
        <v>25</v>
      </c>
      <c r="J2517" s="13" t="str">
        <f>HYPERLINK("https://www.airitibooks.com/Detail/Detail?PublicationID=P20190614077", "https://www.airitibooks.com/Detail/Detail?PublicationID=P20190614077")</f>
        <v>https://www.airitibooks.com/Detail/Detail?PublicationID=P20190614077</v>
      </c>
      <c r="K2517" s="13" t="str">
        <f>HYPERLINK("https://ntsu.idm.oclc.org/login?url=https://www.airitibooks.com/Detail/Detail?PublicationID=P20190614077", "https://ntsu.idm.oclc.org/login?url=https://www.airitibooks.com/Detail/Detail?PublicationID=P20190614077")</f>
        <v>https://ntsu.idm.oclc.org/login?url=https://www.airitibooks.com/Detail/Detail?PublicationID=P20190614077</v>
      </c>
    </row>
    <row r="2518" spans="1:11" ht="51" x14ac:dyDescent="0.4">
      <c r="A2518" s="10" t="s">
        <v>11687</v>
      </c>
      <c r="B2518" s="10" t="s">
        <v>11688</v>
      </c>
      <c r="C2518" s="10" t="s">
        <v>9664</v>
      </c>
      <c r="D2518" s="10" t="s">
        <v>11689</v>
      </c>
      <c r="E2518" s="10" t="s">
        <v>6182</v>
      </c>
      <c r="F2518" s="10" t="s">
        <v>250</v>
      </c>
      <c r="G2518" s="10" t="s">
        <v>23</v>
      </c>
      <c r="H2518" s="7" t="s">
        <v>24</v>
      </c>
      <c r="I2518" s="7" t="s">
        <v>25</v>
      </c>
      <c r="J2518" s="13" t="str">
        <f>HYPERLINK("https://www.airitibooks.com/Detail/Detail?PublicationID=P20190614137", "https://www.airitibooks.com/Detail/Detail?PublicationID=P20190614137")</f>
        <v>https://www.airitibooks.com/Detail/Detail?PublicationID=P20190614137</v>
      </c>
      <c r="K2518" s="13" t="str">
        <f>HYPERLINK("https://ntsu.idm.oclc.org/login?url=https://www.airitibooks.com/Detail/Detail?PublicationID=P20190614137", "https://ntsu.idm.oclc.org/login?url=https://www.airitibooks.com/Detail/Detail?PublicationID=P20190614137")</f>
        <v>https://ntsu.idm.oclc.org/login?url=https://www.airitibooks.com/Detail/Detail?PublicationID=P20190614137</v>
      </c>
    </row>
    <row r="2519" spans="1:11" ht="51" x14ac:dyDescent="0.4">
      <c r="A2519" s="10" t="s">
        <v>11690</v>
      </c>
      <c r="B2519" s="10" t="s">
        <v>11691</v>
      </c>
      <c r="C2519" s="10" t="s">
        <v>9644</v>
      </c>
      <c r="D2519" s="10" t="s">
        <v>11692</v>
      </c>
      <c r="E2519" s="10" t="s">
        <v>6182</v>
      </c>
      <c r="F2519" s="10" t="s">
        <v>9646</v>
      </c>
      <c r="G2519" s="10" t="s">
        <v>23</v>
      </c>
      <c r="H2519" s="7" t="s">
        <v>24</v>
      </c>
      <c r="I2519" s="7" t="s">
        <v>25</v>
      </c>
      <c r="J2519" s="13" t="str">
        <f>HYPERLINK("https://www.airitibooks.com/Detail/Detail?PublicationID=P20190614139", "https://www.airitibooks.com/Detail/Detail?PublicationID=P20190614139")</f>
        <v>https://www.airitibooks.com/Detail/Detail?PublicationID=P20190614139</v>
      </c>
      <c r="K2519" s="13" t="str">
        <f>HYPERLINK("https://ntsu.idm.oclc.org/login?url=https://www.airitibooks.com/Detail/Detail?PublicationID=P20190614139", "https://ntsu.idm.oclc.org/login?url=https://www.airitibooks.com/Detail/Detail?PublicationID=P20190614139")</f>
        <v>https://ntsu.idm.oclc.org/login?url=https://www.airitibooks.com/Detail/Detail?PublicationID=P20190614139</v>
      </c>
    </row>
    <row r="2520" spans="1:11" ht="51" x14ac:dyDescent="0.4">
      <c r="A2520" s="10" t="s">
        <v>11693</v>
      </c>
      <c r="B2520" s="10" t="s">
        <v>11694</v>
      </c>
      <c r="C2520" s="10" t="s">
        <v>9664</v>
      </c>
      <c r="D2520" s="10" t="s">
        <v>11695</v>
      </c>
      <c r="E2520" s="10" t="s">
        <v>6182</v>
      </c>
      <c r="F2520" s="10" t="s">
        <v>753</v>
      </c>
      <c r="G2520" s="10" t="s">
        <v>23</v>
      </c>
      <c r="H2520" s="7" t="s">
        <v>24</v>
      </c>
      <c r="I2520" s="7" t="s">
        <v>25</v>
      </c>
      <c r="J2520" s="13" t="str">
        <f>HYPERLINK("https://www.airitibooks.com/Detail/Detail?PublicationID=P20190614141", "https://www.airitibooks.com/Detail/Detail?PublicationID=P20190614141")</f>
        <v>https://www.airitibooks.com/Detail/Detail?PublicationID=P20190614141</v>
      </c>
      <c r="K2520" s="13" t="str">
        <f>HYPERLINK("https://ntsu.idm.oclc.org/login?url=https://www.airitibooks.com/Detail/Detail?PublicationID=P20190614141", "https://ntsu.idm.oclc.org/login?url=https://www.airitibooks.com/Detail/Detail?PublicationID=P20190614141")</f>
        <v>https://ntsu.idm.oclc.org/login?url=https://www.airitibooks.com/Detail/Detail?PublicationID=P20190614141</v>
      </c>
    </row>
    <row r="2521" spans="1:11" ht="51" x14ac:dyDescent="0.4">
      <c r="A2521" s="10" t="s">
        <v>11696</v>
      </c>
      <c r="B2521" s="10" t="s">
        <v>11697</v>
      </c>
      <c r="C2521" s="10" t="s">
        <v>9627</v>
      </c>
      <c r="D2521" s="10" t="s">
        <v>11698</v>
      </c>
      <c r="E2521" s="10" t="s">
        <v>6182</v>
      </c>
      <c r="F2521" s="10" t="s">
        <v>1164</v>
      </c>
      <c r="G2521" s="10" t="s">
        <v>23</v>
      </c>
      <c r="H2521" s="7" t="s">
        <v>24</v>
      </c>
      <c r="I2521" s="7" t="s">
        <v>25</v>
      </c>
      <c r="J2521" s="13" t="str">
        <f>HYPERLINK("https://www.airitibooks.com/Detail/Detail?PublicationID=P20190614142", "https://www.airitibooks.com/Detail/Detail?PublicationID=P20190614142")</f>
        <v>https://www.airitibooks.com/Detail/Detail?PublicationID=P20190614142</v>
      </c>
      <c r="K2521" s="13" t="str">
        <f>HYPERLINK("https://ntsu.idm.oclc.org/login?url=https://www.airitibooks.com/Detail/Detail?PublicationID=P20190614142", "https://ntsu.idm.oclc.org/login?url=https://www.airitibooks.com/Detail/Detail?PublicationID=P20190614142")</f>
        <v>https://ntsu.idm.oclc.org/login?url=https://www.airitibooks.com/Detail/Detail?PublicationID=P20190614142</v>
      </c>
    </row>
    <row r="2522" spans="1:11" ht="51" x14ac:dyDescent="0.4">
      <c r="A2522" s="10" t="s">
        <v>11924</v>
      </c>
      <c r="B2522" s="10" t="s">
        <v>11925</v>
      </c>
      <c r="C2522" s="10" t="s">
        <v>3473</v>
      </c>
      <c r="D2522" s="10" t="s">
        <v>11926</v>
      </c>
      <c r="E2522" s="10" t="s">
        <v>6182</v>
      </c>
      <c r="F2522" s="10" t="s">
        <v>9785</v>
      </c>
      <c r="G2522" s="10" t="s">
        <v>23</v>
      </c>
      <c r="H2522" s="7" t="s">
        <v>24</v>
      </c>
      <c r="I2522" s="7" t="s">
        <v>25</v>
      </c>
      <c r="J2522" s="13" t="str">
        <f>HYPERLINK("https://www.airitibooks.com/Detail/Detail?PublicationID=P20190705032", "https://www.airitibooks.com/Detail/Detail?PublicationID=P20190705032")</f>
        <v>https://www.airitibooks.com/Detail/Detail?PublicationID=P20190705032</v>
      </c>
      <c r="K2522" s="13" t="str">
        <f>HYPERLINK("https://ntsu.idm.oclc.org/login?url=https://www.airitibooks.com/Detail/Detail?PublicationID=P20190705032", "https://ntsu.idm.oclc.org/login?url=https://www.airitibooks.com/Detail/Detail?PublicationID=P20190705032")</f>
        <v>https://ntsu.idm.oclc.org/login?url=https://www.airitibooks.com/Detail/Detail?PublicationID=P20190705032</v>
      </c>
    </row>
    <row r="2523" spans="1:11" ht="51" x14ac:dyDescent="0.4">
      <c r="A2523" s="10" t="s">
        <v>11927</v>
      </c>
      <c r="B2523" s="10" t="s">
        <v>11928</v>
      </c>
      <c r="C2523" s="10" t="s">
        <v>3473</v>
      </c>
      <c r="D2523" s="10" t="s">
        <v>7876</v>
      </c>
      <c r="E2523" s="10" t="s">
        <v>6182</v>
      </c>
      <c r="F2523" s="10" t="s">
        <v>11929</v>
      </c>
      <c r="G2523" s="10" t="s">
        <v>23</v>
      </c>
      <c r="H2523" s="7" t="s">
        <v>24</v>
      </c>
      <c r="I2523" s="7" t="s">
        <v>25</v>
      </c>
      <c r="J2523" s="13" t="str">
        <f>HYPERLINK("https://www.airitibooks.com/Detail/Detail?PublicationID=P20190705033", "https://www.airitibooks.com/Detail/Detail?PublicationID=P20190705033")</f>
        <v>https://www.airitibooks.com/Detail/Detail?PublicationID=P20190705033</v>
      </c>
      <c r="K2523" s="13" t="str">
        <f>HYPERLINK("https://ntsu.idm.oclc.org/login?url=https://www.airitibooks.com/Detail/Detail?PublicationID=P20190705033", "https://ntsu.idm.oclc.org/login?url=https://www.airitibooks.com/Detail/Detail?PublicationID=P20190705033")</f>
        <v>https://ntsu.idm.oclc.org/login?url=https://www.airitibooks.com/Detail/Detail?PublicationID=P20190705033</v>
      </c>
    </row>
    <row r="2524" spans="1:11" ht="51" x14ac:dyDescent="0.4">
      <c r="A2524" s="10" t="s">
        <v>11930</v>
      </c>
      <c r="B2524" s="10" t="s">
        <v>11931</v>
      </c>
      <c r="C2524" s="10" t="s">
        <v>3473</v>
      </c>
      <c r="D2524" s="10" t="s">
        <v>11932</v>
      </c>
      <c r="E2524" s="10" t="s">
        <v>6182</v>
      </c>
      <c r="F2524" s="10" t="s">
        <v>7989</v>
      </c>
      <c r="G2524" s="10" t="s">
        <v>23</v>
      </c>
      <c r="H2524" s="7" t="s">
        <v>24</v>
      </c>
      <c r="I2524" s="7" t="s">
        <v>25</v>
      </c>
      <c r="J2524" s="13" t="str">
        <f>HYPERLINK("https://www.airitibooks.com/Detail/Detail?PublicationID=P20190705035", "https://www.airitibooks.com/Detail/Detail?PublicationID=P20190705035")</f>
        <v>https://www.airitibooks.com/Detail/Detail?PublicationID=P20190705035</v>
      </c>
      <c r="K2524" s="13" t="str">
        <f>HYPERLINK("https://ntsu.idm.oclc.org/login?url=https://www.airitibooks.com/Detail/Detail?PublicationID=P20190705035", "https://ntsu.idm.oclc.org/login?url=https://www.airitibooks.com/Detail/Detail?PublicationID=P20190705035")</f>
        <v>https://ntsu.idm.oclc.org/login?url=https://www.airitibooks.com/Detail/Detail?PublicationID=P20190705035</v>
      </c>
    </row>
    <row r="2525" spans="1:11" ht="51" x14ac:dyDescent="0.4">
      <c r="A2525" s="10" t="s">
        <v>11957</v>
      </c>
      <c r="B2525" s="10" t="s">
        <v>11958</v>
      </c>
      <c r="C2525" s="10" t="s">
        <v>18</v>
      </c>
      <c r="D2525" s="10" t="s">
        <v>11959</v>
      </c>
      <c r="E2525" s="10" t="s">
        <v>6182</v>
      </c>
      <c r="F2525" s="10" t="s">
        <v>11960</v>
      </c>
      <c r="G2525" s="10" t="s">
        <v>23</v>
      </c>
      <c r="H2525" s="7" t="s">
        <v>24</v>
      </c>
      <c r="I2525" s="7" t="s">
        <v>25</v>
      </c>
      <c r="J2525" s="13" t="str">
        <f>HYPERLINK("https://www.airitibooks.com/Detail/Detail?PublicationID=P20190718007", "https://www.airitibooks.com/Detail/Detail?PublicationID=P20190718007")</f>
        <v>https://www.airitibooks.com/Detail/Detail?PublicationID=P20190718007</v>
      </c>
      <c r="K2525" s="13" t="str">
        <f>HYPERLINK("https://ntsu.idm.oclc.org/login?url=https://www.airitibooks.com/Detail/Detail?PublicationID=P20190718007", "https://ntsu.idm.oclc.org/login?url=https://www.airitibooks.com/Detail/Detail?PublicationID=P20190718007")</f>
        <v>https://ntsu.idm.oclc.org/login?url=https://www.airitibooks.com/Detail/Detail?PublicationID=P20190718007</v>
      </c>
    </row>
    <row r="2526" spans="1:11" ht="51" x14ac:dyDescent="0.4">
      <c r="A2526" s="10" t="s">
        <v>12021</v>
      </c>
      <c r="B2526" s="10" t="s">
        <v>12022</v>
      </c>
      <c r="C2526" s="10" t="s">
        <v>18</v>
      </c>
      <c r="D2526" s="10" t="s">
        <v>12023</v>
      </c>
      <c r="E2526" s="10" t="s">
        <v>6182</v>
      </c>
      <c r="F2526" s="10" t="s">
        <v>5981</v>
      </c>
      <c r="G2526" s="10" t="s">
        <v>23</v>
      </c>
      <c r="H2526" s="7" t="s">
        <v>24</v>
      </c>
      <c r="I2526" s="7" t="s">
        <v>25</v>
      </c>
      <c r="J2526" s="13" t="str">
        <f>HYPERLINK("https://www.airitibooks.com/Detail/Detail?PublicationID=P20190816022", "https://www.airitibooks.com/Detail/Detail?PublicationID=P20190816022")</f>
        <v>https://www.airitibooks.com/Detail/Detail?PublicationID=P20190816022</v>
      </c>
      <c r="K2526" s="13" t="str">
        <f>HYPERLINK("https://ntsu.idm.oclc.org/login?url=https://www.airitibooks.com/Detail/Detail?PublicationID=P20190816022", "https://ntsu.idm.oclc.org/login?url=https://www.airitibooks.com/Detail/Detail?PublicationID=P20190816022")</f>
        <v>https://ntsu.idm.oclc.org/login?url=https://www.airitibooks.com/Detail/Detail?PublicationID=P20190816022</v>
      </c>
    </row>
    <row r="2527" spans="1:11" ht="51" x14ac:dyDescent="0.4">
      <c r="A2527" s="10" t="s">
        <v>12518</v>
      </c>
      <c r="B2527" s="10" t="s">
        <v>12519</v>
      </c>
      <c r="C2527" s="10" t="s">
        <v>12510</v>
      </c>
      <c r="D2527" s="10" t="s">
        <v>12520</v>
      </c>
      <c r="E2527" s="10" t="s">
        <v>6182</v>
      </c>
      <c r="F2527" s="10" t="s">
        <v>1856</v>
      </c>
      <c r="G2527" s="10" t="s">
        <v>23</v>
      </c>
      <c r="H2527" s="7" t="s">
        <v>1031</v>
      </c>
      <c r="I2527" s="7" t="s">
        <v>25</v>
      </c>
      <c r="J2527" s="13" t="str">
        <f>HYPERLINK("https://www.airitibooks.com/Detail/Detail?PublicationID=P20191005164", "https://www.airitibooks.com/Detail/Detail?PublicationID=P20191005164")</f>
        <v>https://www.airitibooks.com/Detail/Detail?PublicationID=P20191005164</v>
      </c>
      <c r="K2527" s="13" t="str">
        <f>HYPERLINK("https://ntsu.idm.oclc.org/login?url=https://www.airitibooks.com/Detail/Detail?PublicationID=P20191005164", "https://ntsu.idm.oclc.org/login?url=https://www.airitibooks.com/Detail/Detail?PublicationID=P20191005164")</f>
        <v>https://ntsu.idm.oclc.org/login?url=https://www.airitibooks.com/Detail/Detail?PublicationID=P20191005164</v>
      </c>
    </row>
    <row r="2528" spans="1:11" ht="51" x14ac:dyDescent="0.4">
      <c r="A2528" s="10" t="s">
        <v>12555</v>
      </c>
      <c r="B2528" s="10" t="s">
        <v>12556</v>
      </c>
      <c r="C2528" s="10" t="s">
        <v>12510</v>
      </c>
      <c r="D2528" s="10" t="s">
        <v>12557</v>
      </c>
      <c r="E2528" s="10" t="s">
        <v>6182</v>
      </c>
      <c r="F2528" s="10" t="s">
        <v>7383</v>
      </c>
      <c r="G2528" s="10" t="s">
        <v>23</v>
      </c>
      <c r="H2528" s="7" t="s">
        <v>1031</v>
      </c>
      <c r="I2528" s="7" t="s">
        <v>25</v>
      </c>
      <c r="J2528" s="13" t="str">
        <f>HYPERLINK("https://www.airitibooks.com/Detail/Detail?PublicationID=P20191009096", "https://www.airitibooks.com/Detail/Detail?PublicationID=P20191009096")</f>
        <v>https://www.airitibooks.com/Detail/Detail?PublicationID=P20191009096</v>
      </c>
      <c r="K2528" s="13" t="str">
        <f>HYPERLINK("https://ntsu.idm.oclc.org/login?url=https://www.airitibooks.com/Detail/Detail?PublicationID=P20191009096", "https://ntsu.idm.oclc.org/login?url=https://www.airitibooks.com/Detail/Detail?PublicationID=P20191009096")</f>
        <v>https://ntsu.idm.oclc.org/login?url=https://www.airitibooks.com/Detail/Detail?PublicationID=P20191009096</v>
      </c>
    </row>
    <row r="2529" spans="1:11" ht="51" x14ac:dyDescent="0.4">
      <c r="A2529" s="10" t="s">
        <v>12558</v>
      </c>
      <c r="B2529" s="10" t="s">
        <v>12559</v>
      </c>
      <c r="C2529" s="10" t="s">
        <v>12510</v>
      </c>
      <c r="D2529" s="10" t="s">
        <v>12560</v>
      </c>
      <c r="E2529" s="10" t="s">
        <v>6182</v>
      </c>
      <c r="F2529" s="10" t="s">
        <v>1856</v>
      </c>
      <c r="G2529" s="10" t="s">
        <v>23</v>
      </c>
      <c r="H2529" s="7" t="s">
        <v>1031</v>
      </c>
      <c r="I2529" s="7" t="s">
        <v>25</v>
      </c>
      <c r="J2529" s="13" t="str">
        <f>HYPERLINK("https://www.airitibooks.com/Detail/Detail?PublicationID=P20191009104", "https://www.airitibooks.com/Detail/Detail?PublicationID=P20191009104")</f>
        <v>https://www.airitibooks.com/Detail/Detail?PublicationID=P20191009104</v>
      </c>
      <c r="K2529" s="13" t="str">
        <f>HYPERLINK("https://ntsu.idm.oclc.org/login?url=https://www.airitibooks.com/Detail/Detail?PublicationID=P20191009104", "https://ntsu.idm.oclc.org/login?url=https://www.airitibooks.com/Detail/Detail?PublicationID=P20191009104")</f>
        <v>https://ntsu.idm.oclc.org/login?url=https://www.airitibooks.com/Detail/Detail?PublicationID=P20191009104</v>
      </c>
    </row>
    <row r="2530" spans="1:11" ht="51" x14ac:dyDescent="0.4">
      <c r="A2530" s="10" t="s">
        <v>12570</v>
      </c>
      <c r="B2530" s="10" t="s">
        <v>12571</v>
      </c>
      <c r="C2530" s="10" t="s">
        <v>12510</v>
      </c>
      <c r="D2530" s="10" t="s">
        <v>12572</v>
      </c>
      <c r="E2530" s="10" t="s">
        <v>6182</v>
      </c>
      <c r="F2530" s="10" t="s">
        <v>9864</v>
      </c>
      <c r="G2530" s="10" t="s">
        <v>23</v>
      </c>
      <c r="H2530" s="7" t="s">
        <v>1031</v>
      </c>
      <c r="I2530" s="7" t="s">
        <v>25</v>
      </c>
      <c r="J2530" s="13" t="str">
        <f>HYPERLINK("https://www.airitibooks.com/Detail/Detail?PublicationID=P20191009130", "https://www.airitibooks.com/Detail/Detail?PublicationID=P20191009130")</f>
        <v>https://www.airitibooks.com/Detail/Detail?PublicationID=P20191009130</v>
      </c>
      <c r="K2530" s="13" t="str">
        <f>HYPERLINK("https://ntsu.idm.oclc.org/login?url=https://www.airitibooks.com/Detail/Detail?PublicationID=P20191009130", "https://ntsu.idm.oclc.org/login?url=https://www.airitibooks.com/Detail/Detail?PublicationID=P20191009130")</f>
        <v>https://ntsu.idm.oclc.org/login?url=https://www.airitibooks.com/Detail/Detail?PublicationID=P20191009130</v>
      </c>
    </row>
    <row r="2531" spans="1:11" ht="51" x14ac:dyDescent="0.4">
      <c r="A2531" s="10" t="s">
        <v>12573</v>
      </c>
      <c r="B2531" s="10" t="s">
        <v>12574</v>
      </c>
      <c r="C2531" s="10" t="s">
        <v>12510</v>
      </c>
      <c r="D2531" s="10" t="s">
        <v>12575</v>
      </c>
      <c r="E2531" s="10" t="s">
        <v>6182</v>
      </c>
      <c r="F2531" s="10" t="s">
        <v>9864</v>
      </c>
      <c r="G2531" s="10" t="s">
        <v>23</v>
      </c>
      <c r="H2531" s="7" t="s">
        <v>1031</v>
      </c>
      <c r="I2531" s="7" t="s">
        <v>25</v>
      </c>
      <c r="J2531" s="13" t="str">
        <f>HYPERLINK("https://www.airitibooks.com/Detail/Detail?PublicationID=P20191009131", "https://www.airitibooks.com/Detail/Detail?PublicationID=P20191009131")</f>
        <v>https://www.airitibooks.com/Detail/Detail?PublicationID=P20191009131</v>
      </c>
      <c r="K2531" s="13" t="str">
        <f>HYPERLINK("https://ntsu.idm.oclc.org/login?url=https://www.airitibooks.com/Detail/Detail?PublicationID=P20191009131", "https://ntsu.idm.oclc.org/login?url=https://www.airitibooks.com/Detail/Detail?PublicationID=P20191009131")</f>
        <v>https://ntsu.idm.oclc.org/login?url=https://www.airitibooks.com/Detail/Detail?PublicationID=P20191009131</v>
      </c>
    </row>
    <row r="2532" spans="1:11" ht="51" x14ac:dyDescent="0.4">
      <c r="A2532" s="10" t="s">
        <v>12576</v>
      </c>
      <c r="B2532" s="10" t="s">
        <v>12577</v>
      </c>
      <c r="C2532" s="10" t="s">
        <v>12510</v>
      </c>
      <c r="D2532" s="10" t="s">
        <v>12578</v>
      </c>
      <c r="E2532" s="10" t="s">
        <v>6182</v>
      </c>
      <c r="F2532" s="10" t="s">
        <v>9864</v>
      </c>
      <c r="G2532" s="10" t="s">
        <v>23</v>
      </c>
      <c r="H2532" s="7" t="s">
        <v>1031</v>
      </c>
      <c r="I2532" s="7" t="s">
        <v>25</v>
      </c>
      <c r="J2532" s="13" t="str">
        <f>HYPERLINK("https://www.airitibooks.com/Detail/Detail?PublicationID=P20191009132", "https://www.airitibooks.com/Detail/Detail?PublicationID=P20191009132")</f>
        <v>https://www.airitibooks.com/Detail/Detail?PublicationID=P20191009132</v>
      </c>
      <c r="K2532" s="13" t="str">
        <f>HYPERLINK("https://ntsu.idm.oclc.org/login?url=https://www.airitibooks.com/Detail/Detail?PublicationID=P20191009132", "https://ntsu.idm.oclc.org/login?url=https://www.airitibooks.com/Detail/Detail?PublicationID=P20191009132")</f>
        <v>https://ntsu.idm.oclc.org/login?url=https://www.airitibooks.com/Detail/Detail?PublicationID=P20191009132</v>
      </c>
    </row>
    <row r="2533" spans="1:11" ht="51" x14ac:dyDescent="0.4">
      <c r="A2533" s="10" t="s">
        <v>13027</v>
      </c>
      <c r="B2533" s="10" t="s">
        <v>13028</v>
      </c>
      <c r="C2533" s="10" t="s">
        <v>4628</v>
      </c>
      <c r="D2533" s="10" t="s">
        <v>13029</v>
      </c>
      <c r="E2533" s="10" t="s">
        <v>6182</v>
      </c>
      <c r="F2533" s="10" t="s">
        <v>13030</v>
      </c>
      <c r="G2533" s="10" t="s">
        <v>23</v>
      </c>
      <c r="H2533" s="7" t="s">
        <v>24</v>
      </c>
      <c r="I2533" s="7" t="s">
        <v>25</v>
      </c>
      <c r="J2533" s="13" t="str">
        <f>HYPERLINK("https://www.airitibooks.com/Detail/Detail?PublicationID=P20191128025", "https://www.airitibooks.com/Detail/Detail?PublicationID=P20191128025")</f>
        <v>https://www.airitibooks.com/Detail/Detail?PublicationID=P20191128025</v>
      </c>
      <c r="K2533" s="13" t="str">
        <f>HYPERLINK("https://ntsu.idm.oclc.org/login?url=https://www.airitibooks.com/Detail/Detail?PublicationID=P20191128025", "https://ntsu.idm.oclc.org/login?url=https://www.airitibooks.com/Detail/Detail?PublicationID=P20191128025")</f>
        <v>https://ntsu.idm.oclc.org/login?url=https://www.airitibooks.com/Detail/Detail?PublicationID=P20191128025</v>
      </c>
    </row>
    <row r="2534" spans="1:11" ht="51" x14ac:dyDescent="0.4">
      <c r="A2534" s="10" t="s">
        <v>13143</v>
      </c>
      <c r="B2534" s="10" t="s">
        <v>13144</v>
      </c>
      <c r="C2534" s="10" t="s">
        <v>13117</v>
      </c>
      <c r="D2534" s="10" t="s">
        <v>13145</v>
      </c>
      <c r="E2534" s="10" t="s">
        <v>6182</v>
      </c>
      <c r="F2534" s="10" t="s">
        <v>7447</v>
      </c>
      <c r="G2534" s="10" t="s">
        <v>23</v>
      </c>
      <c r="H2534" s="7" t="s">
        <v>1031</v>
      </c>
      <c r="I2534" s="7" t="s">
        <v>25</v>
      </c>
      <c r="J2534" s="13" t="str">
        <f>HYPERLINK("https://www.airitibooks.com/Detail/Detail?PublicationID=P20191225110", "https://www.airitibooks.com/Detail/Detail?PublicationID=P20191225110")</f>
        <v>https://www.airitibooks.com/Detail/Detail?PublicationID=P20191225110</v>
      </c>
      <c r="K2534" s="13" t="str">
        <f>HYPERLINK("https://ntsu.idm.oclc.org/login?url=https://www.airitibooks.com/Detail/Detail?PublicationID=P20191225110", "https://ntsu.idm.oclc.org/login?url=https://www.airitibooks.com/Detail/Detail?PublicationID=P20191225110")</f>
        <v>https://ntsu.idm.oclc.org/login?url=https://www.airitibooks.com/Detail/Detail?PublicationID=P20191225110</v>
      </c>
    </row>
    <row r="2535" spans="1:11" ht="51" x14ac:dyDescent="0.4">
      <c r="A2535" s="10" t="s">
        <v>13377</v>
      </c>
      <c r="B2535" s="10" t="s">
        <v>13378</v>
      </c>
      <c r="C2535" s="10" t="s">
        <v>9828</v>
      </c>
      <c r="D2535" s="10" t="s">
        <v>13379</v>
      </c>
      <c r="E2535" s="10" t="s">
        <v>6182</v>
      </c>
      <c r="F2535" s="10" t="s">
        <v>10283</v>
      </c>
      <c r="G2535" s="10" t="s">
        <v>23</v>
      </c>
      <c r="H2535" s="7" t="s">
        <v>1031</v>
      </c>
      <c r="I2535" s="7" t="s">
        <v>25</v>
      </c>
      <c r="J2535" s="13" t="str">
        <f>HYPERLINK("https://www.airitibooks.com/Detail/Detail?PublicationID=P20200117269", "https://www.airitibooks.com/Detail/Detail?PublicationID=P20200117269")</f>
        <v>https://www.airitibooks.com/Detail/Detail?PublicationID=P20200117269</v>
      </c>
      <c r="K2535" s="13" t="str">
        <f>HYPERLINK("https://ntsu.idm.oclc.org/login?url=https://www.airitibooks.com/Detail/Detail?PublicationID=P20200117269", "https://ntsu.idm.oclc.org/login?url=https://www.airitibooks.com/Detail/Detail?PublicationID=P20200117269")</f>
        <v>https://ntsu.idm.oclc.org/login?url=https://www.airitibooks.com/Detail/Detail?PublicationID=P20200117269</v>
      </c>
    </row>
    <row r="2536" spans="1:11" ht="51" x14ac:dyDescent="0.4">
      <c r="A2536" s="10" t="s">
        <v>13521</v>
      </c>
      <c r="B2536" s="10" t="s">
        <v>13522</v>
      </c>
      <c r="C2536" s="10" t="s">
        <v>5050</v>
      </c>
      <c r="D2536" s="10" t="s">
        <v>13523</v>
      </c>
      <c r="E2536" s="10" t="s">
        <v>6182</v>
      </c>
      <c r="F2536" s="10" t="s">
        <v>9450</v>
      </c>
      <c r="G2536" s="10" t="s">
        <v>23</v>
      </c>
      <c r="H2536" s="7" t="s">
        <v>24</v>
      </c>
      <c r="I2536" s="7" t="s">
        <v>25</v>
      </c>
      <c r="J2536" s="13" t="str">
        <f>HYPERLINK("https://www.airitibooks.com/Detail/Detail?PublicationID=P20200221029", "https://www.airitibooks.com/Detail/Detail?PublicationID=P20200221029")</f>
        <v>https://www.airitibooks.com/Detail/Detail?PublicationID=P20200221029</v>
      </c>
      <c r="K2536" s="13" t="str">
        <f>HYPERLINK("https://ntsu.idm.oclc.org/login?url=https://www.airitibooks.com/Detail/Detail?PublicationID=P20200221029", "https://ntsu.idm.oclc.org/login?url=https://www.airitibooks.com/Detail/Detail?PublicationID=P20200221029")</f>
        <v>https://ntsu.idm.oclc.org/login?url=https://www.airitibooks.com/Detail/Detail?PublicationID=P20200221029</v>
      </c>
    </row>
    <row r="2537" spans="1:11" ht="51" x14ac:dyDescent="0.4">
      <c r="A2537" s="10" t="s">
        <v>13524</v>
      </c>
      <c r="B2537" s="10" t="s">
        <v>13525</v>
      </c>
      <c r="C2537" s="10" t="s">
        <v>5050</v>
      </c>
      <c r="D2537" s="10" t="s">
        <v>13526</v>
      </c>
      <c r="E2537" s="10" t="s">
        <v>6182</v>
      </c>
      <c r="F2537" s="10" t="s">
        <v>250</v>
      </c>
      <c r="G2537" s="10" t="s">
        <v>23</v>
      </c>
      <c r="H2537" s="7" t="s">
        <v>24</v>
      </c>
      <c r="I2537" s="7" t="s">
        <v>25</v>
      </c>
      <c r="J2537" s="13" t="str">
        <f>HYPERLINK("https://www.airitibooks.com/Detail/Detail?PublicationID=P20200221043", "https://www.airitibooks.com/Detail/Detail?PublicationID=P20200221043")</f>
        <v>https://www.airitibooks.com/Detail/Detail?PublicationID=P20200221043</v>
      </c>
      <c r="K2537" s="13" t="str">
        <f>HYPERLINK("https://ntsu.idm.oclc.org/login?url=https://www.airitibooks.com/Detail/Detail?PublicationID=P20200221043", "https://ntsu.idm.oclc.org/login?url=https://www.airitibooks.com/Detail/Detail?PublicationID=P20200221043")</f>
        <v>https://ntsu.idm.oclc.org/login?url=https://www.airitibooks.com/Detail/Detail?PublicationID=P20200221043</v>
      </c>
    </row>
    <row r="2538" spans="1:11" ht="51" x14ac:dyDescent="0.4">
      <c r="A2538" s="10" t="s">
        <v>13527</v>
      </c>
      <c r="B2538" s="10" t="s">
        <v>13528</v>
      </c>
      <c r="C2538" s="10" t="s">
        <v>5050</v>
      </c>
      <c r="D2538" s="10" t="s">
        <v>13529</v>
      </c>
      <c r="E2538" s="10" t="s">
        <v>6182</v>
      </c>
      <c r="F2538" s="10" t="s">
        <v>762</v>
      </c>
      <c r="G2538" s="10" t="s">
        <v>23</v>
      </c>
      <c r="H2538" s="7" t="s">
        <v>24</v>
      </c>
      <c r="I2538" s="7" t="s">
        <v>25</v>
      </c>
      <c r="J2538" s="13" t="str">
        <f>HYPERLINK("https://www.airitibooks.com/Detail/Detail?PublicationID=P20200221050", "https://www.airitibooks.com/Detail/Detail?PublicationID=P20200221050")</f>
        <v>https://www.airitibooks.com/Detail/Detail?PublicationID=P20200221050</v>
      </c>
      <c r="K2538" s="13" t="str">
        <f>HYPERLINK("https://ntsu.idm.oclc.org/login?url=https://www.airitibooks.com/Detail/Detail?PublicationID=P20200221050", "https://ntsu.idm.oclc.org/login?url=https://www.airitibooks.com/Detail/Detail?PublicationID=P20200221050")</f>
        <v>https://ntsu.idm.oclc.org/login?url=https://www.airitibooks.com/Detail/Detail?PublicationID=P20200221050</v>
      </c>
    </row>
    <row r="2539" spans="1:11" ht="51" x14ac:dyDescent="0.4">
      <c r="A2539" s="10" t="s">
        <v>13530</v>
      </c>
      <c r="B2539" s="10" t="s">
        <v>13531</v>
      </c>
      <c r="C2539" s="10" t="s">
        <v>5050</v>
      </c>
      <c r="D2539" s="10" t="s">
        <v>13532</v>
      </c>
      <c r="E2539" s="10" t="s">
        <v>6182</v>
      </c>
      <c r="F2539" s="10" t="s">
        <v>762</v>
      </c>
      <c r="G2539" s="10" t="s">
        <v>23</v>
      </c>
      <c r="H2539" s="7" t="s">
        <v>24</v>
      </c>
      <c r="I2539" s="7" t="s">
        <v>25</v>
      </c>
      <c r="J2539" s="13" t="str">
        <f>HYPERLINK("https://www.airitibooks.com/Detail/Detail?PublicationID=P20200221052", "https://www.airitibooks.com/Detail/Detail?PublicationID=P20200221052")</f>
        <v>https://www.airitibooks.com/Detail/Detail?PublicationID=P20200221052</v>
      </c>
      <c r="K2539" s="13" t="str">
        <f>HYPERLINK("https://ntsu.idm.oclc.org/login?url=https://www.airitibooks.com/Detail/Detail?PublicationID=P20200221052", "https://ntsu.idm.oclc.org/login?url=https://www.airitibooks.com/Detail/Detail?PublicationID=P20200221052")</f>
        <v>https://ntsu.idm.oclc.org/login?url=https://www.airitibooks.com/Detail/Detail?PublicationID=P20200221052</v>
      </c>
    </row>
    <row r="2540" spans="1:11" ht="51" x14ac:dyDescent="0.4">
      <c r="A2540" s="10" t="s">
        <v>13533</v>
      </c>
      <c r="B2540" s="10" t="s">
        <v>13534</v>
      </c>
      <c r="C2540" s="10" t="s">
        <v>5050</v>
      </c>
      <c r="D2540" s="10" t="s">
        <v>9480</v>
      </c>
      <c r="E2540" s="10" t="s">
        <v>6182</v>
      </c>
      <c r="F2540" s="10" t="s">
        <v>250</v>
      </c>
      <c r="G2540" s="10" t="s">
        <v>23</v>
      </c>
      <c r="H2540" s="7" t="s">
        <v>24</v>
      </c>
      <c r="I2540" s="7" t="s">
        <v>25</v>
      </c>
      <c r="J2540" s="13" t="str">
        <f>HYPERLINK("https://www.airitibooks.com/Detail/Detail?PublicationID=P20200221055", "https://www.airitibooks.com/Detail/Detail?PublicationID=P20200221055")</f>
        <v>https://www.airitibooks.com/Detail/Detail?PublicationID=P20200221055</v>
      </c>
      <c r="K2540" s="13" t="str">
        <f>HYPERLINK("https://ntsu.idm.oclc.org/login?url=https://www.airitibooks.com/Detail/Detail?PublicationID=P20200221055", "https://ntsu.idm.oclc.org/login?url=https://www.airitibooks.com/Detail/Detail?PublicationID=P20200221055")</f>
        <v>https://ntsu.idm.oclc.org/login?url=https://www.airitibooks.com/Detail/Detail?PublicationID=P20200221055</v>
      </c>
    </row>
    <row r="2541" spans="1:11" ht="51" x14ac:dyDescent="0.4">
      <c r="A2541" s="10" t="s">
        <v>13535</v>
      </c>
      <c r="B2541" s="10" t="s">
        <v>13536</v>
      </c>
      <c r="C2541" s="10" t="s">
        <v>5050</v>
      </c>
      <c r="D2541" s="10" t="s">
        <v>13537</v>
      </c>
      <c r="E2541" s="10" t="s">
        <v>6182</v>
      </c>
      <c r="F2541" s="10" t="s">
        <v>762</v>
      </c>
      <c r="G2541" s="10" t="s">
        <v>23</v>
      </c>
      <c r="H2541" s="7" t="s">
        <v>24</v>
      </c>
      <c r="I2541" s="7" t="s">
        <v>25</v>
      </c>
      <c r="J2541" s="13" t="str">
        <f>HYPERLINK("https://www.airitibooks.com/Detail/Detail?PublicationID=P20200221060", "https://www.airitibooks.com/Detail/Detail?PublicationID=P20200221060")</f>
        <v>https://www.airitibooks.com/Detail/Detail?PublicationID=P20200221060</v>
      </c>
      <c r="K2541" s="13" t="str">
        <f>HYPERLINK("https://ntsu.idm.oclc.org/login?url=https://www.airitibooks.com/Detail/Detail?PublicationID=P20200221060", "https://ntsu.idm.oclc.org/login?url=https://www.airitibooks.com/Detail/Detail?PublicationID=P20200221060")</f>
        <v>https://ntsu.idm.oclc.org/login?url=https://www.airitibooks.com/Detail/Detail?PublicationID=P20200221060</v>
      </c>
    </row>
    <row r="2542" spans="1:11" ht="85" x14ac:dyDescent="0.4">
      <c r="A2542" s="10" t="s">
        <v>13568</v>
      </c>
      <c r="B2542" s="10" t="s">
        <v>13569</v>
      </c>
      <c r="C2542" s="10" t="s">
        <v>5050</v>
      </c>
      <c r="D2542" s="10" t="s">
        <v>13570</v>
      </c>
      <c r="E2542" s="10" t="s">
        <v>6182</v>
      </c>
      <c r="F2542" s="10" t="s">
        <v>250</v>
      </c>
      <c r="G2542" s="10" t="s">
        <v>23</v>
      </c>
      <c r="H2542" s="7" t="s">
        <v>24</v>
      </c>
      <c r="I2542" s="7" t="s">
        <v>25</v>
      </c>
      <c r="J2542" s="13" t="str">
        <f>HYPERLINK("https://www.airitibooks.com/Detail/Detail?PublicationID=P20200221127", "https://www.airitibooks.com/Detail/Detail?PublicationID=P20200221127")</f>
        <v>https://www.airitibooks.com/Detail/Detail?PublicationID=P20200221127</v>
      </c>
      <c r="K2542" s="13" t="str">
        <f>HYPERLINK("https://ntsu.idm.oclc.org/login?url=https://www.airitibooks.com/Detail/Detail?PublicationID=P20200221127", "https://ntsu.idm.oclc.org/login?url=https://www.airitibooks.com/Detail/Detail?PublicationID=P20200221127")</f>
        <v>https://ntsu.idm.oclc.org/login?url=https://www.airitibooks.com/Detail/Detail?PublicationID=P20200221127</v>
      </c>
    </row>
    <row r="2543" spans="1:11" ht="51" x14ac:dyDescent="0.4">
      <c r="A2543" s="10" t="s">
        <v>14101</v>
      </c>
      <c r="B2543" s="10" t="s">
        <v>14102</v>
      </c>
      <c r="C2543" s="10" t="s">
        <v>3473</v>
      </c>
      <c r="D2543" s="10" t="s">
        <v>3477</v>
      </c>
      <c r="E2543" s="10" t="s">
        <v>6182</v>
      </c>
      <c r="F2543" s="10" t="s">
        <v>14103</v>
      </c>
      <c r="G2543" s="10" t="s">
        <v>23</v>
      </c>
      <c r="H2543" s="7" t="s">
        <v>24</v>
      </c>
      <c r="I2543" s="7" t="s">
        <v>25</v>
      </c>
      <c r="J2543" s="13" t="str">
        <f>HYPERLINK("https://www.airitibooks.com/Detail/Detail?PublicationID=P20200514141", "https://www.airitibooks.com/Detail/Detail?PublicationID=P20200514141")</f>
        <v>https://www.airitibooks.com/Detail/Detail?PublicationID=P20200514141</v>
      </c>
      <c r="K2543" s="13" t="str">
        <f>HYPERLINK("https://ntsu.idm.oclc.org/login?url=https://www.airitibooks.com/Detail/Detail?PublicationID=P20200514141", "https://ntsu.idm.oclc.org/login?url=https://www.airitibooks.com/Detail/Detail?PublicationID=P20200514141")</f>
        <v>https://ntsu.idm.oclc.org/login?url=https://www.airitibooks.com/Detail/Detail?PublicationID=P20200514141</v>
      </c>
    </row>
    <row r="2544" spans="1:11" ht="51" x14ac:dyDescent="0.4">
      <c r="A2544" s="10" t="s">
        <v>14192</v>
      </c>
      <c r="B2544" s="10" t="s">
        <v>14193</v>
      </c>
      <c r="C2544" s="10" t="s">
        <v>7294</v>
      </c>
      <c r="D2544" s="10" t="s">
        <v>14194</v>
      </c>
      <c r="E2544" s="10" t="s">
        <v>6182</v>
      </c>
      <c r="F2544" s="10" t="s">
        <v>14195</v>
      </c>
      <c r="G2544" s="10" t="s">
        <v>23</v>
      </c>
      <c r="H2544" s="7" t="s">
        <v>24</v>
      </c>
      <c r="I2544" s="7" t="s">
        <v>25</v>
      </c>
      <c r="J2544" s="13" t="str">
        <f>HYPERLINK("https://www.airitibooks.com/Detail/Detail?PublicationID=P20200521014", "https://www.airitibooks.com/Detail/Detail?PublicationID=P20200521014")</f>
        <v>https://www.airitibooks.com/Detail/Detail?PublicationID=P20200521014</v>
      </c>
      <c r="K2544" s="13" t="str">
        <f>HYPERLINK("https://ntsu.idm.oclc.org/login?url=https://www.airitibooks.com/Detail/Detail?PublicationID=P20200521014", "https://ntsu.idm.oclc.org/login?url=https://www.airitibooks.com/Detail/Detail?PublicationID=P20200521014")</f>
        <v>https://ntsu.idm.oclc.org/login?url=https://www.airitibooks.com/Detail/Detail?PublicationID=P20200521014</v>
      </c>
    </row>
    <row r="2545" spans="1:11" ht="51" x14ac:dyDescent="0.4">
      <c r="A2545" s="10" t="s">
        <v>14196</v>
      </c>
      <c r="B2545" s="10" t="s">
        <v>14197</v>
      </c>
      <c r="C2545" s="10" t="s">
        <v>7294</v>
      </c>
      <c r="D2545" s="10" t="s">
        <v>7301</v>
      </c>
      <c r="E2545" s="10" t="s">
        <v>6182</v>
      </c>
      <c r="F2545" s="10" t="s">
        <v>394</v>
      </c>
      <c r="G2545" s="10" t="s">
        <v>23</v>
      </c>
      <c r="H2545" s="7" t="s">
        <v>7839</v>
      </c>
      <c r="I2545" s="7" t="s">
        <v>25</v>
      </c>
      <c r="J2545" s="13" t="str">
        <f>HYPERLINK("https://www.airitibooks.com/Detail/Detail?PublicationID=P20200521015", "https://www.airitibooks.com/Detail/Detail?PublicationID=P20200521015")</f>
        <v>https://www.airitibooks.com/Detail/Detail?PublicationID=P20200521015</v>
      </c>
      <c r="K2545" s="13" t="str">
        <f>HYPERLINK("https://ntsu.idm.oclc.org/login?url=https://www.airitibooks.com/Detail/Detail?PublicationID=P20200521015", "https://ntsu.idm.oclc.org/login?url=https://www.airitibooks.com/Detail/Detail?PublicationID=P20200521015")</f>
        <v>https://ntsu.idm.oclc.org/login?url=https://www.airitibooks.com/Detail/Detail?PublicationID=P20200521015</v>
      </c>
    </row>
    <row r="2546" spans="1:11" ht="51" x14ac:dyDescent="0.4">
      <c r="A2546" s="10" t="s">
        <v>15345</v>
      </c>
      <c r="B2546" s="10" t="s">
        <v>15346</v>
      </c>
      <c r="C2546" s="10" t="s">
        <v>15347</v>
      </c>
      <c r="D2546" s="10" t="s">
        <v>15348</v>
      </c>
      <c r="E2546" s="10" t="s">
        <v>6182</v>
      </c>
      <c r="F2546" s="10" t="s">
        <v>15208</v>
      </c>
      <c r="G2546" s="10" t="s">
        <v>23</v>
      </c>
      <c r="H2546" s="7" t="s">
        <v>24</v>
      </c>
      <c r="I2546" s="7" t="s">
        <v>25</v>
      </c>
      <c r="J2546" s="13" t="str">
        <f>HYPERLINK("https://www.airitibooks.com/Detail/Detail?PublicationID=P20210414012", "https://www.airitibooks.com/Detail/Detail?PublicationID=P20210414012")</f>
        <v>https://www.airitibooks.com/Detail/Detail?PublicationID=P20210414012</v>
      </c>
      <c r="K2546" s="13" t="str">
        <f>HYPERLINK("https://ntsu.idm.oclc.org/login?url=https://www.airitibooks.com/Detail/Detail?PublicationID=P20210414012", "https://ntsu.idm.oclc.org/login?url=https://www.airitibooks.com/Detail/Detail?PublicationID=P20210414012")</f>
        <v>https://ntsu.idm.oclc.org/login?url=https://www.airitibooks.com/Detail/Detail?PublicationID=P20210414012</v>
      </c>
    </row>
    <row r="2547" spans="1:11" ht="51" x14ac:dyDescent="0.4">
      <c r="A2547" s="10" t="s">
        <v>15485</v>
      </c>
      <c r="B2547" s="10" t="s">
        <v>15486</v>
      </c>
      <c r="C2547" s="10" t="s">
        <v>7294</v>
      </c>
      <c r="D2547" s="10" t="s">
        <v>7301</v>
      </c>
      <c r="E2547" s="10" t="s">
        <v>6182</v>
      </c>
      <c r="F2547" s="10" t="s">
        <v>394</v>
      </c>
      <c r="G2547" s="10" t="s">
        <v>23</v>
      </c>
      <c r="H2547" s="7" t="s">
        <v>24</v>
      </c>
      <c r="I2547" s="7" t="s">
        <v>25</v>
      </c>
      <c r="J2547" s="13" t="str">
        <f>HYPERLINK("https://www.airitibooks.com/Detail/Detail?PublicationID=P20210430058", "https://www.airitibooks.com/Detail/Detail?PublicationID=P20210430058")</f>
        <v>https://www.airitibooks.com/Detail/Detail?PublicationID=P20210430058</v>
      </c>
      <c r="K2547" s="13" t="str">
        <f>HYPERLINK("https://ntsu.idm.oclc.org/login?url=https://www.airitibooks.com/Detail/Detail?PublicationID=P20210430058", "https://ntsu.idm.oclc.org/login?url=https://www.airitibooks.com/Detail/Detail?PublicationID=P20210430058")</f>
        <v>https://ntsu.idm.oclc.org/login?url=https://www.airitibooks.com/Detail/Detail?PublicationID=P20210430058</v>
      </c>
    </row>
    <row r="2548" spans="1:11" ht="51" x14ac:dyDescent="0.4">
      <c r="A2548" s="10" t="s">
        <v>15487</v>
      </c>
      <c r="B2548" s="10" t="s">
        <v>15488</v>
      </c>
      <c r="C2548" s="10" t="s">
        <v>7294</v>
      </c>
      <c r="D2548" s="10" t="s">
        <v>7301</v>
      </c>
      <c r="E2548" s="10" t="s">
        <v>6182</v>
      </c>
      <c r="F2548" s="10" t="s">
        <v>394</v>
      </c>
      <c r="G2548" s="10" t="s">
        <v>23</v>
      </c>
      <c r="H2548" s="7" t="s">
        <v>24</v>
      </c>
      <c r="I2548" s="7" t="s">
        <v>25</v>
      </c>
      <c r="J2548" s="13" t="str">
        <f>HYPERLINK("https://www.airitibooks.com/Detail/Detail?PublicationID=P20210430059", "https://www.airitibooks.com/Detail/Detail?PublicationID=P20210430059")</f>
        <v>https://www.airitibooks.com/Detail/Detail?PublicationID=P20210430059</v>
      </c>
      <c r="K2548" s="13" t="str">
        <f>HYPERLINK("https://ntsu.idm.oclc.org/login?url=https://www.airitibooks.com/Detail/Detail?PublicationID=P20210430059", "https://ntsu.idm.oclc.org/login?url=https://www.airitibooks.com/Detail/Detail?PublicationID=P20210430059")</f>
        <v>https://ntsu.idm.oclc.org/login?url=https://www.airitibooks.com/Detail/Detail?PublicationID=P20210430059</v>
      </c>
    </row>
    <row r="2549" spans="1:11" ht="51" x14ac:dyDescent="0.4">
      <c r="A2549" s="10" t="s">
        <v>15489</v>
      </c>
      <c r="B2549" s="10" t="s">
        <v>15490</v>
      </c>
      <c r="C2549" s="10" t="s">
        <v>7294</v>
      </c>
      <c r="D2549" s="10" t="s">
        <v>7301</v>
      </c>
      <c r="E2549" s="10" t="s">
        <v>6182</v>
      </c>
      <c r="F2549" s="10" t="s">
        <v>394</v>
      </c>
      <c r="G2549" s="10" t="s">
        <v>23</v>
      </c>
      <c r="H2549" s="7" t="s">
        <v>24</v>
      </c>
      <c r="I2549" s="7" t="s">
        <v>25</v>
      </c>
      <c r="J2549" s="13" t="str">
        <f>HYPERLINK("https://www.airitibooks.com/Detail/Detail?PublicationID=P20210430060", "https://www.airitibooks.com/Detail/Detail?PublicationID=P20210430060")</f>
        <v>https://www.airitibooks.com/Detail/Detail?PublicationID=P20210430060</v>
      </c>
      <c r="K2549" s="13" t="str">
        <f>HYPERLINK("https://ntsu.idm.oclc.org/login?url=https://www.airitibooks.com/Detail/Detail?PublicationID=P20210430060", "https://ntsu.idm.oclc.org/login?url=https://www.airitibooks.com/Detail/Detail?PublicationID=P20210430060")</f>
        <v>https://ntsu.idm.oclc.org/login?url=https://www.airitibooks.com/Detail/Detail?PublicationID=P20210430060</v>
      </c>
    </row>
    <row r="2550" spans="1:11" ht="51" x14ac:dyDescent="0.4">
      <c r="A2550" s="10" t="s">
        <v>15491</v>
      </c>
      <c r="B2550" s="10" t="s">
        <v>15492</v>
      </c>
      <c r="C2550" s="10" t="s">
        <v>7294</v>
      </c>
      <c r="D2550" s="10" t="s">
        <v>15369</v>
      </c>
      <c r="E2550" s="10" t="s">
        <v>6182</v>
      </c>
      <c r="F2550" s="10" t="s">
        <v>1599</v>
      </c>
      <c r="G2550" s="10" t="s">
        <v>23</v>
      </c>
      <c r="H2550" s="7" t="s">
        <v>24</v>
      </c>
      <c r="I2550" s="7" t="s">
        <v>25</v>
      </c>
      <c r="J2550" s="13" t="str">
        <f>HYPERLINK("https://www.airitibooks.com/Detail/Detail?PublicationID=P20210430061", "https://www.airitibooks.com/Detail/Detail?PublicationID=P20210430061")</f>
        <v>https://www.airitibooks.com/Detail/Detail?PublicationID=P20210430061</v>
      </c>
      <c r="K2550" s="13" t="str">
        <f>HYPERLINK("https://ntsu.idm.oclc.org/login?url=https://www.airitibooks.com/Detail/Detail?PublicationID=P20210430061", "https://ntsu.idm.oclc.org/login?url=https://www.airitibooks.com/Detail/Detail?PublicationID=P20210430061")</f>
        <v>https://ntsu.idm.oclc.org/login?url=https://www.airitibooks.com/Detail/Detail?PublicationID=P20210430061</v>
      </c>
    </row>
    <row r="2551" spans="1:11" ht="51" x14ac:dyDescent="0.4">
      <c r="A2551" s="10" t="s">
        <v>15493</v>
      </c>
      <c r="B2551" s="10" t="s">
        <v>15494</v>
      </c>
      <c r="C2551" s="10" t="s">
        <v>7294</v>
      </c>
      <c r="D2551" s="10" t="s">
        <v>15369</v>
      </c>
      <c r="E2551" s="10" t="s">
        <v>6182</v>
      </c>
      <c r="F2551" s="10" t="s">
        <v>1599</v>
      </c>
      <c r="G2551" s="10" t="s">
        <v>23</v>
      </c>
      <c r="H2551" s="7" t="s">
        <v>24</v>
      </c>
      <c r="I2551" s="7" t="s">
        <v>25</v>
      </c>
      <c r="J2551" s="13" t="str">
        <f>HYPERLINK("https://www.airitibooks.com/Detail/Detail?PublicationID=P20210430062", "https://www.airitibooks.com/Detail/Detail?PublicationID=P20210430062")</f>
        <v>https://www.airitibooks.com/Detail/Detail?PublicationID=P20210430062</v>
      </c>
      <c r="K2551" s="13" t="str">
        <f>HYPERLINK("https://ntsu.idm.oclc.org/login?url=https://www.airitibooks.com/Detail/Detail?PublicationID=P20210430062", "https://ntsu.idm.oclc.org/login?url=https://www.airitibooks.com/Detail/Detail?PublicationID=P20210430062")</f>
        <v>https://ntsu.idm.oclc.org/login?url=https://www.airitibooks.com/Detail/Detail?PublicationID=P20210430062</v>
      </c>
    </row>
    <row r="2552" spans="1:11" ht="51" x14ac:dyDescent="0.4">
      <c r="A2552" s="10" t="s">
        <v>15495</v>
      </c>
      <c r="B2552" s="10" t="s">
        <v>15496</v>
      </c>
      <c r="C2552" s="10" t="s">
        <v>7294</v>
      </c>
      <c r="D2552" s="10" t="s">
        <v>7301</v>
      </c>
      <c r="E2552" s="10" t="s">
        <v>6182</v>
      </c>
      <c r="F2552" s="10" t="s">
        <v>394</v>
      </c>
      <c r="G2552" s="10" t="s">
        <v>23</v>
      </c>
      <c r="H2552" s="7" t="s">
        <v>24</v>
      </c>
      <c r="I2552" s="7" t="s">
        <v>25</v>
      </c>
      <c r="J2552" s="13" t="str">
        <f>HYPERLINK("https://www.airitibooks.com/Detail/Detail?PublicationID=P20210430063", "https://www.airitibooks.com/Detail/Detail?PublicationID=P20210430063")</f>
        <v>https://www.airitibooks.com/Detail/Detail?PublicationID=P20210430063</v>
      </c>
      <c r="K2552" s="13" t="str">
        <f>HYPERLINK("https://ntsu.idm.oclc.org/login?url=https://www.airitibooks.com/Detail/Detail?PublicationID=P20210430063", "https://ntsu.idm.oclc.org/login?url=https://www.airitibooks.com/Detail/Detail?PublicationID=P20210430063")</f>
        <v>https://ntsu.idm.oclc.org/login?url=https://www.airitibooks.com/Detail/Detail?PublicationID=P20210430063</v>
      </c>
    </row>
    <row r="2553" spans="1:11" ht="68" x14ac:dyDescent="0.4">
      <c r="A2553" s="10" t="s">
        <v>15497</v>
      </c>
      <c r="B2553" s="10" t="s">
        <v>15498</v>
      </c>
      <c r="C2553" s="10" t="s">
        <v>7294</v>
      </c>
      <c r="D2553" s="10" t="s">
        <v>12135</v>
      </c>
      <c r="E2553" s="10" t="s">
        <v>6182</v>
      </c>
      <c r="F2553" s="10" t="s">
        <v>214</v>
      </c>
      <c r="G2553" s="10" t="s">
        <v>23</v>
      </c>
      <c r="H2553" s="7" t="s">
        <v>24</v>
      </c>
      <c r="I2553" s="7" t="s">
        <v>25</v>
      </c>
      <c r="J2553" s="13" t="str">
        <f>HYPERLINK("https://www.airitibooks.com/Detail/Detail?PublicationID=P20210430064", "https://www.airitibooks.com/Detail/Detail?PublicationID=P20210430064")</f>
        <v>https://www.airitibooks.com/Detail/Detail?PublicationID=P20210430064</v>
      </c>
      <c r="K2553" s="13" t="str">
        <f>HYPERLINK("https://ntsu.idm.oclc.org/login?url=https://www.airitibooks.com/Detail/Detail?PublicationID=P20210430064", "https://ntsu.idm.oclc.org/login?url=https://www.airitibooks.com/Detail/Detail?PublicationID=P20210430064")</f>
        <v>https://ntsu.idm.oclc.org/login?url=https://www.airitibooks.com/Detail/Detail?PublicationID=P20210430064</v>
      </c>
    </row>
    <row r="2554" spans="1:11" ht="51" x14ac:dyDescent="0.4">
      <c r="A2554" s="10" t="s">
        <v>6188</v>
      </c>
      <c r="B2554" s="10" t="s">
        <v>6189</v>
      </c>
      <c r="C2554" s="10" t="s">
        <v>6190</v>
      </c>
      <c r="D2554" s="10" t="s">
        <v>6191</v>
      </c>
      <c r="E2554" s="10" t="s">
        <v>6182</v>
      </c>
      <c r="F2554" s="10" t="s">
        <v>6192</v>
      </c>
      <c r="G2554" s="10" t="s">
        <v>32</v>
      </c>
      <c r="H2554" s="7" t="s">
        <v>24</v>
      </c>
      <c r="I2554" s="7" t="s">
        <v>25</v>
      </c>
      <c r="J2554" s="13" t="str">
        <f>HYPERLINK("https://www.airitibooks.com/Detail/Detail?PublicationID=P20170207002", "https://www.airitibooks.com/Detail/Detail?PublicationID=P20170207002")</f>
        <v>https://www.airitibooks.com/Detail/Detail?PublicationID=P20170207002</v>
      </c>
      <c r="K2554" s="13" t="str">
        <f>HYPERLINK("https://ntsu.idm.oclc.org/login?url=https://www.airitibooks.com/Detail/Detail?PublicationID=P20170207002", "https://ntsu.idm.oclc.org/login?url=https://www.airitibooks.com/Detail/Detail?PublicationID=P20170207002")</f>
        <v>https://ntsu.idm.oclc.org/login?url=https://www.airitibooks.com/Detail/Detail?PublicationID=P20170207002</v>
      </c>
    </row>
    <row r="2555" spans="1:11" ht="51" x14ac:dyDescent="0.4">
      <c r="A2555" s="10" t="s">
        <v>6220</v>
      </c>
      <c r="B2555" s="10" t="s">
        <v>6221</v>
      </c>
      <c r="C2555" s="10" t="s">
        <v>6190</v>
      </c>
      <c r="D2555" s="10" t="s">
        <v>6191</v>
      </c>
      <c r="E2555" s="10" t="s">
        <v>6182</v>
      </c>
      <c r="F2555" s="10" t="s">
        <v>6192</v>
      </c>
      <c r="G2555" s="10" t="s">
        <v>32</v>
      </c>
      <c r="H2555" s="7" t="s">
        <v>24</v>
      </c>
      <c r="I2555" s="7" t="s">
        <v>25</v>
      </c>
      <c r="J2555" s="13" t="str">
        <f>HYPERLINK("https://www.airitibooks.com/Detail/Detail?PublicationID=P20170218079", "https://www.airitibooks.com/Detail/Detail?PublicationID=P20170218079")</f>
        <v>https://www.airitibooks.com/Detail/Detail?PublicationID=P20170218079</v>
      </c>
      <c r="K2555" s="13" t="str">
        <f>HYPERLINK("https://ntsu.idm.oclc.org/login?url=https://www.airitibooks.com/Detail/Detail?PublicationID=P20170218079", "https://ntsu.idm.oclc.org/login?url=https://www.airitibooks.com/Detail/Detail?PublicationID=P20170218079")</f>
        <v>https://ntsu.idm.oclc.org/login?url=https://www.airitibooks.com/Detail/Detail?PublicationID=P20170218079</v>
      </c>
    </row>
    <row r="2556" spans="1:11" ht="68" x14ac:dyDescent="0.4">
      <c r="A2556" s="10" t="s">
        <v>6246</v>
      </c>
      <c r="B2556" s="10" t="s">
        <v>6247</v>
      </c>
      <c r="C2556" s="10" t="s">
        <v>1340</v>
      </c>
      <c r="D2556" s="10" t="s">
        <v>5988</v>
      </c>
      <c r="E2556" s="10" t="s">
        <v>6182</v>
      </c>
      <c r="F2556" s="10" t="s">
        <v>1925</v>
      </c>
      <c r="G2556" s="10" t="s">
        <v>32</v>
      </c>
      <c r="H2556" s="7" t="s">
        <v>24</v>
      </c>
      <c r="I2556" s="7" t="s">
        <v>25</v>
      </c>
      <c r="J2556" s="13" t="str">
        <f>HYPERLINK("https://www.airitibooks.com/Detail/Detail?PublicationID=P20170227015", "https://www.airitibooks.com/Detail/Detail?PublicationID=P20170227015")</f>
        <v>https://www.airitibooks.com/Detail/Detail?PublicationID=P20170227015</v>
      </c>
      <c r="K2556" s="13" t="str">
        <f>HYPERLINK("https://ntsu.idm.oclc.org/login?url=https://www.airitibooks.com/Detail/Detail?PublicationID=P20170227015", "https://ntsu.idm.oclc.org/login?url=https://www.airitibooks.com/Detail/Detail?PublicationID=P20170227015")</f>
        <v>https://ntsu.idm.oclc.org/login?url=https://www.airitibooks.com/Detail/Detail?PublicationID=P20170227015</v>
      </c>
    </row>
    <row r="2557" spans="1:11" ht="68" x14ac:dyDescent="0.4">
      <c r="A2557" s="10" t="s">
        <v>6257</v>
      </c>
      <c r="B2557" s="10" t="s">
        <v>6258</v>
      </c>
      <c r="C2557" s="10" t="s">
        <v>1340</v>
      </c>
      <c r="D2557" s="10" t="s">
        <v>5988</v>
      </c>
      <c r="E2557" s="10" t="s">
        <v>6182</v>
      </c>
      <c r="F2557" s="10" t="s">
        <v>6259</v>
      </c>
      <c r="G2557" s="10" t="s">
        <v>32</v>
      </c>
      <c r="H2557" s="7" t="s">
        <v>24</v>
      </c>
      <c r="I2557" s="7" t="s">
        <v>25</v>
      </c>
      <c r="J2557" s="13" t="str">
        <f>HYPERLINK("https://www.airitibooks.com/Detail/Detail?PublicationID=P20170227070", "https://www.airitibooks.com/Detail/Detail?PublicationID=P20170227070")</f>
        <v>https://www.airitibooks.com/Detail/Detail?PublicationID=P20170227070</v>
      </c>
      <c r="K2557" s="13" t="str">
        <f>HYPERLINK("https://ntsu.idm.oclc.org/login?url=https://www.airitibooks.com/Detail/Detail?PublicationID=P20170227070", "https://ntsu.idm.oclc.org/login?url=https://www.airitibooks.com/Detail/Detail?PublicationID=P20170227070")</f>
        <v>https://ntsu.idm.oclc.org/login?url=https://www.airitibooks.com/Detail/Detail?PublicationID=P20170227070</v>
      </c>
    </row>
    <row r="2558" spans="1:11" ht="51" x14ac:dyDescent="0.4">
      <c r="A2558" s="10" t="s">
        <v>6264</v>
      </c>
      <c r="B2558" s="10" t="s">
        <v>6265</v>
      </c>
      <c r="C2558" s="10" t="s">
        <v>661</v>
      </c>
      <c r="D2558" s="10" t="s">
        <v>6266</v>
      </c>
      <c r="E2558" s="10" t="s">
        <v>6182</v>
      </c>
      <c r="F2558" s="10" t="s">
        <v>6267</v>
      </c>
      <c r="G2558" s="10" t="s">
        <v>32</v>
      </c>
      <c r="H2558" s="7" t="s">
        <v>24</v>
      </c>
      <c r="I2558" s="7" t="s">
        <v>25</v>
      </c>
      <c r="J2558" s="13" t="str">
        <f>HYPERLINK("https://www.airitibooks.com/Detail/Detail?PublicationID=P20170227073", "https://www.airitibooks.com/Detail/Detail?PublicationID=P20170227073")</f>
        <v>https://www.airitibooks.com/Detail/Detail?PublicationID=P20170227073</v>
      </c>
      <c r="K2558" s="13" t="str">
        <f>HYPERLINK("https://ntsu.idm.oclc.org/login?url=https://www.airitibooks.com/Detail/Detail?PublicationID=P20170227073", "https://ntsu.idm.oclc.org/login?url=https://www.airitibooks.com/Detail/Detail?PublicationID=P20170227073")</f>
        <v>https://ntsu.idm.oclc.org/login?url=https://www.airitibooks.com/Detail/Detail?PublicationID=P20170227073</v>
      </c>
    </row>
    <row r="2559" spans="1:11" ht="51" x14ac:dyDescent="0.4">
      <c r="A2559" s="10" t="s">
        <v>6277</v>
      </c>
      <c r="B2559" s="10" t="s">
        <v>6278</v>
      </c>
      <c r="C2559" s="10" t="s">
        <v>938</v>
      </c>
      <c r="D2559" s="10" t="s">
        <v>6279</v>
      </c>
      <c r="E2559" s="10" t="s">
        <v>6182</v>
      </c>
      <c r="F2559" s="10" t="s">
        <v>6280</v>
      </c>
      <c r="G2559" s="10" t="s">
        <v>32</v>
      </c>
      <c r="H2559" s="7" t="s">
        <v>24</v>
      </c>
      <c r="I2559" s="7" t="s">
        <v>25</v>
      </c>
      <c r="J2559" s="13" t="str">
        <f>HYPERLINK("https://www.airitibooks.com/Detail/Detail?PublicationID=P20170227107", "https://www.airitibooks.com/Detail/Detail?PublicationID=P20170227107")</f>
        <v>https://www.airitibooks.com/Detail/Detail?PublicationID=P20170227107</v>
      </c>
      <c r="K2559" s="13" t="str">
        <f>HYPERLINK("https://ntsu.idm.oclc.org/login?url=https://www.airitibooks.com/Detail/Detail?PublicationID=P20170227107", "https://ntsu.idm.oclc.org/login?url=https://www.airitibooks.com/Detail/Detail?PublicationID=P20170227107")</f>
        <v>https://ntsu.idm.oclc.org/login?url=https://www.airitibooks.com/Detail/Detail?PublicationID=P20170227107</v>
      </c>
    </row>
    <row r="2560" spans="1:11" ht="51" x14ac:dyDescent="0.4">
      <c r="A2560" s="10" t="s">
        <v>6477</v>
      </c>
      <c r="B2560" s="10" t="s">
        <v>6478</v>
      </c>
      <c r="C2560" s="10" t="s">
        <v>838</v>
      </c>
      <c r="D2560" s="10" t="s">
        <v>6479</v>
      </c>
      <c r="E2560" s="10" t="s">
        <v>6182</v>
      </c>
      <c r="F2560" s="10" t="s">
        <v>6480</v>
      </c>
      <c r="G2560" s="10" t="s">
        <v>32</v>
      </c>
      <c r="H2560" s="7" t="s">
        <v>24</v>
      </c>
      <c r="I2560" s="7" t="s">
        <v>25</v>
      </c>
      <c r="J2560" s="13" t="str">
        <f>HYPERLINK("https://www.airitibooks.com/Detail/Detail?PublicationID=P20170502025", "https://www.airitibooks.com/Detail/Detail?PublicationID=P20170502025")</f>
        <v>https://www.airitibooks.com/Detail/Detail?PublicationID=P20170502025</v>
      </c>
      <c r="K2560" s="13" t="str">
        <f>HYPERLINK("https://ntsu.idm.oclc.org/login?url=https://www.airitibooks.com/Detail/Detail?PublicationID=P20170502025", "https://ntsu.idm.oclc.org/login?url=https://www.airitibooks.com/Detail/Detail?PublicationID=P20170502025")</f>
        <v>https://ntsu.idm.oclc.org/login?url=https://www.airitibooks.com/Detail/Detail?PublicationID=P20170502025</v>
      </c>
    </row>
    <row r="2561" spans="1:11" ht="51" x14ac:dyDescent="0.4">
      <c r="A2561" s="10" t="s">
        <v>6503</v>
      </c>
      <c r="B2561" s="10" t="s">
        <v>6504</v>
      </c>
      <c r="C2561" s="10" t="s">
        <v>130</v>
      </c>
      <c r="D2561" s="10" t="s">
        <v>6505</v>
      </c>
      <c r="E2561" s="10" t="s">
        <v>6182</v>
      </c>
      <c r="F2561" s="10" t="s">
        <v>6506</v>
      </c>
      <c r="G2561" s="10" t="s">
        <v>32</v>
      </c>
      <c r="H2561" s="7" t="s">
        <v>24</v>
      </c>
      <c r="I2561" s="7" t="s">
        <v>25</v>
      </c>
      <c r="J2561" s="13" t="str">
        <f>HYPERLINK("https://www.airitibooks.com/Detail/Detail?PublicationID=P20170502044", "https://www.airitibooks.com/Detail/Detail?PublicationID=P20170502044")</f>
        <v>https://www.airitibooks.com/Detail/Detail?PublicationID=P20170502044</v>
      </c>
      <c r="K2561" s="13" t="str">
        <f>HYPERLINK("https://ntsu.idm.oclc.org/login?url=https://www.airitibooks.com/Detail/Detail?PublicationID=P20170502044", "https://ntsu.idm.oclc.org/login?url=https://www.airitibooks.com/Detail/Detail?PublicationID=P20170502044")</f>
        <v>https://ntsu.idm.oclc.org/login?url=https://www.airitibooks.com/Detail/Detail?PublicationID=P20170502044</v>
      </c>
    </row>
    <row r="2562" spans="1:11" ht="51" x14ac:dyDescent="0.4">
      <c r="A2562" s="10" t="s">
        <v>6507</v>
      </c>
      <c r="B2562" s="10" t="s">
        <v>6508</v>
      </c>
      <c r="C2562" s="10" t="s">
        <v>130</v>
      </c>
      <c r="D2562" s="10" t="s">
        <v>6509</v>
      </c>
      <c r="E2562" s="10" t="s">
        <v>6182</v>
      </c>
      <c r="F2562" s="10" t="s">
        <v>42</v>
      </c>
      <c r="G2562" s="10" t="s">
        <v>32</v>
      </c>
      <c r="H2562" s="7" t="s">
        <v>24</v>
      </c>
      <c r="I2562" s="7" t="s">
        <v>25</v>
      </c>
      <c r="J2562" s="13" t="str">
        <f>HYPERLINK("https://www.airitibooks.com/Detail/Detail?PublicationID=P20170502045", "https://www.airitibooks.com/Detail/Detail?PublicationID=P20170502045")</f>
        <v>https://www.airitibooks.com/Detail/Detail?PublicationID=P20170502045</v>
      </c>
      <c r="K2562" s="13" t="str">
        <f>HYPERLINK("https://ntsu.idm.oclc.org/login?url=https://www.airitibooks.com/Detail/Detail?PublicationID=P20170502045", "https://ntsu.idm.oclc.org/login?url=https://www.airitibooks.com/Detail/Detail?PublicationID=P20170502045")</f>
        <v>https://ntsu.idm.oclc.org/login?url=https://www.airitibooks.com/Detail/Detail?PublicationID=P20170502045</v>
      </c>
    </row>
    <row r="2563" spans="1:11" ht="51" x14ac:dyDescent="0.4">
      <c r="A2563" s="10" t="s">
        <v>6555</v>
      </c>
      <c r="B2563" s="10" t="s">
        <v>6556</v>
      </c>
      <c r="C2563" s="10" t="s">
        <v>6190</v>
      </c>
      <c r="D2563" s="10" t="s">
        <v>6191</v>
      </c>
      <c r="E2563" s="10" t="s">
        <v>6182</v>
      </c>
      <c r="F2563" s="10" t="s">
        <v>6192</v>
      </c>
      <c r="G2563" s="10" t="s">
        <v>32</v>
      </c>
      <c r="H2563" s="7" t="s">
        <v>24</v>
      </c>
      <c r="I2563" s="7" t="s">
        <v>25</v>
      </c>
      <c r="J2563" s="13" t="str">
        <f>HYPERLINK("https://www.airitibooks.com/Detail/Detail?PublicationID=P20170515020", "https://www.airitibooks.com/Detail/Detail?PublicationID=P20170515020")</f>
        <v>https://www.airitibooks.com/Detail/Detail?PublicationID=P20170515020</v>
      </c>
      <c r="K2563" s="13" t="str">
        <f>HYPERLINK("https://ntsu.idm.oclc.org/login?url=https://www.airitibooks.com/Detail/Detail?PublicationID=P20170515020", "https://ntsu.idm.oclc.org/login?url=https://www.airitibooks.com/Detail/Detail?PublicationID=P20170515020")</f>
        <v>https://ntsu.idm.oclc.org/login?url=https://www.airitibooks.com/Detail/Detail?PublicationID=P20170515020</v>
      </c>
    </row>
    <row r="2564" spans="1:11" ht="51" x14ac:dyDescent="0.4">
      <c r="A2564" s="10" t="s">
        <v>6557</v>
      </c>
      <c r="B2564" s="10" t="s">
        <v>6558</v>
      </c>
      <c r="C2564" s="10" t="s">
        <v>6190</v>
      </c>
      <c r="D2564" s="10" t="s">
        <v>6191</v>
      </c>
      <c r="E2564" s="10" t="s">
        <v>6182</v>
      </c>
      <c r="F2564" s="10" t="s">
        <v>6192</v>
      </c>
      <c r="G2564" s="10" t="s">
        <v>32</v>
      </c>
      <c r="H2564" s="7" t="s">
        <v>24</v>
      </c>
      <c r="I2564" s="7" t="s">
        <v>25</v>
      </c>
      <c r="J2564" s="13" t="str">
        <f>HYPERLINK("https://www.airitibooks.com/Detail/Detail?PublicationID=P20170515021", "https://www.airitibooks.com/Detail/Detail?PublicationID=P20170515021")</f>
        <v>https://www.airitibooks.com/Detail/Detail?PublicationID=P20170515021</v>
      </c>
      <c r="K2564" s="13" t="str">
        <f>HYPERLINK("https://ntsu.idm.oclc.org/login?url=https://www.airitibooks.com/Detail/Detail?PublicationID=P20170515021", "https://ntsu.idm.oclc.org/login?url=https://www.airitibooks.com/Detail/Detail?PublicationID=P20170515021")</f>
        <v>https://ntsu.idm.oclc.org/login?url=https://www.airitibooks.com/Detail/Detail?PublicationID=P20170515021</v>
      </c>
    </row>
    <row r="2565" spans="1:11" ht="51" x14ac:dyDescent="0.4">
      <c r="A2565" s="10" t="s">
        <v>6559</v>
      </c>
      <c r="B2565" s="10" t="s">
        <v>6560</v>
      </c>
      <c r="C2565" s="10" t="s">
        <v>938</v>
      </c>
      <c r="D2565" s="10" t="s">
        <v>6561</v>
      </c>
      <c r="E2565" s="10" t="s">
        <v>6182</v>
      </c>
      <c r="F2565" s="10" t="s">
        <v>6562</v>
      </c>
      <c r="G2565" s="10" t="s">
        <v>32</v>
      </c>
      <c r="H2565" s="7" t="s">
        <v>24</v>
      </c>
      <c r="I2565" s="7" t="s">
        <v>25</v>
      </c>
      <c r="J2565" s="13" t="str">
        <f>HYPERLINK("https://www.airitibooks.com/Detail/Detail?PublicationID=P20170517003", "https://www.airitibooks.com/Detail/Detail?PublicationID=P20170517003")</f>
        <v>https://www.airitibooks.com/Detail/Detail?PublicationID=P20170517003</v>
      </c>
      <c r="K2565" s="13" t="str">
        <f>HYPERLINK("https://ntsu.idm.oclc.org/login?url=https://www.airitibooks.com/Detail/Detail?PublicationID=P20170517003", "https://ntsu.idm.oclc.org/login?url=https://www.airitibooks.com/Detail/Detail?PublicationID=P20170517003")</f>
        <v>https://ntsu.idm.oclc.org/login?url=https://www.airitibooks.com/Detail/Detail?PublicationID=P20170517003</v>
      </c>
    </row>
    <row r="2566" spans="1:11" ht="51" x14ac:dyDescent="0.4">
      <c r="A2566" s="10" t="s">
        <v>6574</v>
      </c>
      <c r="B2566" s="10" t="s">
        <v>6575</v>
      </c>
      <c r="C2566" s="10" t="s">
        <v>938</v>
      </c>
      <c r="D2566" s="10" t="s">
        <v>5263</v>
      </c>
      <c r="E2566" s="10" t="s">
        <v>6182</v>
      </c>
      <c r="F2566" s="10" t="s">
        <v>181</v>
      </c>
      <c r="G2566" s="10" t="s">
        <v>32</v>
      </c>
      <c r="H2566" s="7" t="s">
        <v>24</v>
      </c>
      <c r="I2566" s="7" t="s">
        <v>25</v>
      </c>
      <c r="J2566" s="13" t="str">
        <f>HYPERLINK("https://www.airitibooks.com/Detail/Detail?PublicationID=P20170517018", "https://www.airitibooks.com/Detail/Detail?PublicationID=P20170517018")</f>
        <v>https://www.airitibooks.com/Detail/Detail?PublicationID=P20170517018</v>
      </c>
      <c r="K2566" s="13" t="str">
        <f>HYPERLINK("https://ntsu.idm.oclc.org/login?url=https://www.airitibooks.com/Detail/Detail?PublicationID=P20170517018", "https://ntsu.idm.oclc.org/login?url=https://www.airitibooks.com/Detail/Detail?PublicationID=P20170517018")</f>
        <v>https://ntsu.idm.oclc.org/login?url=https://www.airitibooks.com/Detail/Detail?PublicationID=P20170517018</v>
      </c>
    </row>
    <row r="2567" spans="1:11" ht="68" x14ac:dyDescent="0.4">
      <c r="A2567" s="10" t="s">
        <v>6808</v>
      </c>
      <c r="B2567" s="10" t="s">
        <v>6809</v>
      </c>
      <c r="C2567" s="10" t="s">
        <v>6810</v>
      </c>
      <c r="D2567" s="10" t="s">
        <v>6810</v>
      </c>
      <c r="E2567" s="10" t="s">
        <v>6182</v>
      </c>
      <c r="F2567" s="10" t="s">
        <v>6811</v>
      </c>
      <c r="G2567" s="10" t="s">
        <v>32</v>
      </c>
      <c r="H2567" s="7" t="s">
        <v>24</v>
      </c>
      <c r="I2567" s="7" t="s">
        <v>25</v>
      </c>
      <c r="J2567" s="13" t="str">
        <f>HYPERLINK("https://www.airitibooks.com/Detail/Detail?PublicationID=P20170616068", "https://www.airitibooks.com/Detail/Detail?PublicationID=P20170616068")</f>
        <v>https://www.airitibooks.com/Detail/Detail?PublicationID=P20170616068</v>
      </c>
      <c r="K2567" s="13" t="str">
        <f>HYPERLINK("https://ntsu.idm.oclc.org/login?url=https://www.airitibooks.com/Detail/Detail?PublicationID=P20170616068", "https://ntsu.idm.oclc.org/login?url=https://www.airitibooks.com/Detail/Detail?PublicationID=P20170616068")</f>
        <v>https://ntsu.idm.oclc.org/login?url=https://www.airitibooks.com/Detail/Detail?PublicationID=P20170616068</v>
      </c>
    </row>
    <row r="2568" spans="1:11" ht="51" x14ac:dyDescent="0.4">
      <c r="A2568" s="10" t="s">
        <v>6821</v>
      </c>
      <c r="B2568" s="10" t="s">
        <v>6822</v>
      </c>
      <c r="C2568" s="10" t="s">
        <v>6190</v>
      </c>
      <c r="D2568" s="10" t="s">
        <v>6191</v>
      </c>
      <c r="E2568" s="10" t="s">
        <v>6182</v>
      </c>
      <c r="F2568" s="10" t="s">
        <v>6192</v>
      </c>
      <c r="G2568" s="10" t="s">
        <v>32</v>
      </c>
      <c r="H2568" s="7" t="s">
        <v>24</v>
      </c>
      <c r="I2568" s="7" t="s">
        <v>25</v>
      </c>
      <c r="J2568" s="13" t="str">
        <f>HYPERLINK("https://www.airitibooks.com/Detail/Detail?PublicationID=P20170620001", "https://www.airitibooks.com/Detail/Detail?PublicationID=P20170620001")</f>
        <v>https://www.airitibooks.com/Detail/Detail?PublicationID=P20170620001</v>
      </c>
      <c r="K2568" s="13" t="str">
        <f>HYPERLINK("https://ntsu.idm.oclc.org/login?url=https://www.airitibooks.com/Detail/Detail?PublicationID=P20170620001", "https://ntsu.idm.oclc.org/login?url=https://www.airitibooks.com/Detail/Detail?PublicationID=P20170620001")</f>
        <v>https://ntsu.idm.oclc.org/login?url=https://www.airitibooks.com/Detail/Detail?PublicationID=P20170620001</v>
      </c>
    </row>
    <row r="2569" spans="1:11" ht="68" x14ac:dyDescent="0.4">
      <c r="A2569" s="10" t="s">
        <v>6840</v>
      </c>
      <c r="B2569" s="10" t="s">
        <v>6841</v>
      </c>
      <c r="C2569" s="10" t="s">
        <v>1504</v>
      </c>
      <c r="D2569" s="10" t="s">
        <v>6842</v>
      </c>
      <c r="E2569" s="10" t="s">
        <v>6182</v>
      </c>
      <c r="F2569" s="10" t="s">
        <v>575</v>
      </c>
      <c r="G2569" s="10" t="s">
        <v>32</v>
      </c>
      <c r="H2569" s="7" t="s">
        <v>24</v>
      </c>
      <c r="I2569" s="7" t="s">
        <v>25</v>
      </c>
      <c r="J2569" s="13" t="str">
        <f>HYPERLINK("https://www.airitibooks.com/Detail/Detail?PublicationID=P20170706018", "https://www.airitibooks.com/Detail/Detail?PublicationID=P20170706018")</f>
        <v>https://www.airitibooks.com/Detail/Detail?PublicationID=P20170706018</v>
      </c>
      <c r="K2569" s="13" t="str">
        <f>HYPERLINK("https://ntsu.idm.oclc.org/login?url=https://www.airitibooks.com/Detail/Detail?PublicationID=P20170706018", "https://ntsu.idm.oclc.org/login?url=https://www.airitibooks.com/Detail/Detail?PublicationID=P20170706018")</f>
        <v>https://ntsu.idm.oclc.org/login?url=https://www.airitibooks.com/Detail/Detail?PublicationID=P20170706018</v>
      </c>
    </row>
    <row r="2570" spans="1:11" ht="68" x14ac:dyDescent="0.4">
      <c r="A2570" s="10" t="s">
        <v>6987</v>
      </c>
      <c r="B2570" s="10" t="s">
        <v>6988</v>
      </c>
      <c r="C2570" s="10" t="s">
        <v>568</v>
      </c>
      <c r="D2570" s="10" t="s">
        <v>6989</v>
      </c>
      <c r="E2570" s="10" t="s">
        <v>6182</v>
      </c>
      <c r="F2570" s="10" t="s">
        <v>6990</v>
      </c>
      <c r="G2570" s="10" t="s">
        <v>32</v>
      </c>
      <c r="H2570" s="7" t="s">
        <v>24</v>
      </c>
      <c r="I2570" s="7" t="s">
        <v>25</v>
      </c>
      <c r="J2570" s="13" t="str">
        <f>HYPERLINK("https://www.airitibooks.com/Detail/Detail?PublicationID=P20170717021", "https://www.airitibooks.com/Detail/Detail?PublicationID=P20170717021")</f>
        <v>https://www.airitibooks.com/Detail/Detail?PublicationID=P20170717021</v>
      </c>
      <c r="K2570" s="13" t="str">
        <f>HYPERLINK("https://ntsu.idm.oclc.org/login?url=https://www.airitibooks.com/Detail/Detail?PublicationID=P20170717021", "https://ntsu.idm.oclc.org/login?url=https://www.airitibooks.com/Detail/Detail?PublicationID=P20170717021")</f>
        <v>https://ntsu.idm.oclc.org/login?url=https://www.airitibooks.com/Detail/Detail?PublicationID=P20170717021</v>
      </c>
    </row>
    <row r="2571" spans="1:11" ht="51" x14ac:dyDescent="0.4">
      <c r="A2571" s="10" t="s">
        <v>7005</v>
      </c>
      <c r="B2571" s="10" t="s">
        <v>7006</v>
      </c>
      <c r="C2571" s="10" t="s">
        <v>738</v>
      </c>
      <c r="D2571" s="10" t="s">
        <v>7007</v>
      </c>
      <c r="E2571" s="10" t="s">
        <v>6182</v>
      </c>
      <c r="F2571" s="10" t="s">
        <v>149</v>
      </c>
      <c r="G2571" s="10" t="s">
        <v>32</v>
      </c>
      <c r="H2571" s="7" t="s">
        <v>24</v>
      </c>
      <c r="I2571" s="7" t="s">
        <v>25</v>
      </c>
      <c r="J2571" s="13" t="str">
        <f>HYPERLINK("https://www.airitibooks.com/Detail/Detail?PublicationID=P20170815001", "https://www.airitibooks.com/Detail/Detail?PublicationID=P20170815001")</f>
        <v>https://www.airitibooks.com/Detail/Detail?PublicationID=P20170815001</v>
      </c>
      <c r="K2571" s="13" t="str">
        <f>HYPERLINK("https://ntsu.idm.oclc.org/login?url=https://www.airitibooks.com/Detail/Detail?PublicationID=P20170815001", "https://ntsu.idm.oclc.org/login?url=https://www.airitibooks.com/Detail/Detail?PublicationID=P20170815001")</f>
        <v>https://ntsu.idm.oclc.org/login?url=https://www.airitibooks.com/Detail/Detail?PublicationID=P20170815001</v>
      </c>
    </row>
    <row r="2572" spans="1:11" ht="51" x14ac:dyDescent="0.4">
      <c r="A2572" s="10" t="s">
        <v>7014</v>
      </c>
      <c r="B2572" s="10" t="s">
        <v>7015</v>
      </c>
      <c r="C2572" s="10" t="s">
        <v>4616</v>
      </c>
      <c r="D2572" s="10" t="s">
        <v>7016</v>
      </c>
      <c r="E2572" s="10" t="s">
        <v>6182</v>
      </c>
      <c r="F2572" s="10" t="s">
        <v>7017</v>
      </c>
      <c r="G2572" s="10" t="s">
        <v>32</v>
      </c>
      <c r="H2572" s="7" t="s">
        <v>24</v>
      </c>
      <c r="I2572" s="7" t="s">
        <v>25</v>
      </c>
      <c r="J2572" s="13" t="str">
        <f>HYPERLINK("https://www.airitibooks.com/Detail/Detail?PublicationID=P20170815060", "https://www.airitibooks.com/Detail/Detail?PublicationID=P20170815060")</f>
        <v>https://www.airitibooks.com/Detail/Detail?PublicationID=P20170815060</v>
      </c>
      <c r="K2572" s="13" t="str">
        <f>HYPERLINK("https://ntsu.idm.oclc.org/login?url=https://www.airitibooks.com/Detail/Detail?PublicationID=P20170815060", "https://ntsu.idm.oclc.org/login?url=https://www.airitibooks.com/Detail/Detail?PublicationID=P20170815060")</f>
        <v>https://ntsu.idm.oclc.org/login?url=https://www.airitibooks.com/Detail/Detail?PublicationID=P20170815060</v>
      </c>
    </row>
    <row r="2573" spans="1:11" ht="85" x14ac:dyDescent="0.4">
      <c r="A2573" s="10" t="s">
        <v>7025</v>
      </c>
      <c r="B2573" s="10" t="s">
        <v>7026</v>
      </c>
      <c r="C2573" s="10" t="s">
        <v>938</v>
      </c>
      <c r="D2573" s="10" t="s">
        <v>7027</v>
      </c>
      <c r="E2573" s="10" t="s">
        <v>6182</v>
      </c>
      <c r="F2573" s="10" t="s">
        <v>7028</v>
      </c>
      <c r="G2573" s="10" t="s">
        <v>32</v>
      </c>
      <c r="H2573" s="7" t="s">
        <v>24</v>
      </c>
      <c r="I2573" s="7" t="s">
        <v>25</v>
      </c>
      <c r="J2573" s="13" t="str">
        <f>HYPERLINK("https://www.airitibooks.com/Detail/Detail?PublicationID=P20170907118", "https://www.airitibooks.com/Detail/Detail?PublicationID=P20170907118")</f>
        <v>https://www.airitibooks.com/Detail/Detail?PublicationID=P20170907118</v>
      </c>
      <c r="K2573" s="13" t="str">
        <f>HYPERLINK("https://ntsu.idm.oclc.org/login?url=https://www.airitibooks.com/Detail/Detail?PublicationID=P20170907118", "https://ntsu.idm.oclc.org/login?url=https://www.airitibooks.com/Detail/Detail?PublicationID=P20170907118")</f>
        <v>https://ntsu.idm.oclc.org/login?url=https://www.airitibooks.com/Detail/Detail?PublicationID=P20170907118</v>
      </c>
    </row>
    <row r="2574" spans="1:11" ht="51" x14ac:dyDescent="0.4">
      <c r="A2574" s="10" t="s">
        <v>7029</v>
      </c>
      <c r="B2574" s="10" t="s">
        <v>7030</v>
      </c>
      <c r="C2574" s="10" t="s">
        <v>938</v>
      </c>
      <c r="D2574" s="10" t="s">
        <v>7031</v>
      </c>
      <c r="E2574" s="10" t="s">
        <v>6182</v>
      </c>
      <c r="F2574" s="10" t="s">
        <v>181</v>
      </c>
      <c r="G2574" s="10" t="s">
        <v>32</v>
      </c>
      <c r="H2574" s="7" t="s">
        <v>24</v>
      </c>
      <c r="I2574" s="7" t="s">
        <v>25</v>
      </c>
      <c r="J2574" s="13" t="str">
        <f>HYPERLINK("https://www.airitibooks.com/Detail/Detail?PublicationID=P20170907121", "https://www.airitibooks.com/Detail/Detail?PublicationID=P20170907121")</f>
        <v>https://www.airitibooks.com/Detail/Detail?PublicationID=P20170907121</v>
      </c>
      <c r="K2574" s="13" t="str">
        <f>HYPERLINK("https://ntsu.idm.oclc.org/login?url=https://www.airitibooks.com/Detail/Detail?PublicationID=P20170907121", "https://ntsu.idm.oclc.org/login?url=https://www.airitibooks.com/Detail/Detail?PublicationID=P20170907121")</f>
        <v>https://ntsu.idm.oclc.org/login?url=https://www.airitibooks.com/Detail/Detail?PublicationID=P20170907121</v>
      </c>
    </row>
    <row r="2575" spans="1:11" ht="51" x14ac:dyDescent="0.4">
      <c r="A2575" s="10" t="s">
        <v>7049</v>
      </c>
      <c r="B2575" s="10" t="s">
        <v>7050</v>
      </c>
      <c r="C2575" s="10" t="s">
        <v>7051</v>
      </c>
      <c r="D2575" s="10" t="s">
        <v>4822</v>
      </c>
      <c r="E2575" s="10" t="s">
        <v>6182</v>
      </c>
      <c r="F2575" s="10" t="s">
        <v>2937</v>
      </c>
      <c r="G2575" s="10" t="s">
        <v>32</v>
      </c>
      <c r="H2575" s="7" t="s">
        <v>24</v>
      </c>
      <c r="I2575" s="7" t="s">
        <v>25</v>
      </c>
      <c r="J2575" s="13" t="str">
        <f>HYPERLINK("https://www.airitibooks.com/Detail/Detail?PublicationID=P20170907177", "https://www.airitibooks.com/Detail/Detail?PublicationID=P20170907177")</f>
        <v>https://www.airitibooks.com/Detail/Detail?PublicationID=P20170907177</v>
      </c>
      <c r="K2575" s="13" t="str">
        <f>HYPERLINK("https://ntsu.idm.oclc.org/login?url=https://www.airitibooks.com/Detail/Detail?PublicationID=P20170907177", "https://ntsu.idm.oclc.org/login?url=https://www.airitibooks.com/Detail/Detail?PublicationID=P20170907177")</f>
        <v>https://ntsu.idm.oclc.org/login?url=https://www.airitibooks.com/Detail/Detail?PublicationID=P20170907177</v>
      </c>
    </row>
    <row r="2576" spans="1:11" ht="51" x14ac:dyDescent="0.4">
      <c r="A2576" s="10" t="s">
        <v>7055</v>
      </c>
      <c r="B2576" s="10" t="s">
        <v>7056</v>
      </c>
      <c r="C2576" s="10" t="s">
        <v>7051</v>
      </c>
      <c r="D2576" s="10" t="s">
        <v>3607</v>
      </c>
      <c r="E2576" s="10" t="s">
        <v>6182</v>
      </c>
      <c r="F2576" s="10" t="s">
        <v>2844</v>
      </c>
      <c r="G2576" s="10" t="s">
        <v>32</v>
      </c>
      <c r="H2576" s="7" t="s">
        <v>24</v>
      </c>
      <c r="I2576" s="7" t="s">
        <v>25</v>
      </c>
      <c r="J2576" s="13" t="str">
        <f>HYPERLINK("https://www.airitibooks.com/Detail/Detail?PublicationID=P20170907181", "https://www.airitibooks.com/Detail/Detail?PublicationID=P20170907181")</f>
        <v>https://www.airitibooks.com/Detail/Detail?PublicationID=P20170907181</v>
      </c>
      <c r="K2576" s="13" t="str">
        <f>HYPERLINK("https://ntsu.idm.oclc.org/login?url=https://www.airitibooks.com/Detail/Detail?PublicationID=P20170907181", "https://ntsu.idm.oclc.org/login?url=https://www.airitibooks.com/Detail/Detail?PublicationID=P20170907181")</f>
        <v>https://ntsu.idm.oclc.org/login?url=https://www.airitibooks.com/Detail/Detail?PublicationID=P20170907181</v>
      </c>
    </row>
    <row r="2577" spans="1:11" ht="51" x14ac:dyDescent="0.4">
      <c r="A2577" s="10" t="s">
        <v>7110</v>
      </c>
      <c r="B2577" s="10" t="s">
        <v>7111</v>
      </c>
      <c r="C2577" s="10" t="s">
        <v>613</v>
      </c>
      <c r="D2577" s="10" t="s">
        <v>7112</v>
      </c>
      <c r="E2577" s="10" t="s">
        <v>6182</v>
      </c>
      <c r="F2577" s="10" t="s">
        <v>6816</v>
      </c>
      <c r="G2577" s="10" t="s">
        <v>32</v>
      </c>
      <c r="H2577" s="7" t="s">
        <v>24</v>
      </c>
      <c r="I2577" s="7" t="s">
        <v>25</v>
      </c>
      <c r="J2577" s="13" t="str">
        <f>HYPERLINK("https://www.airitibooks.com/Detail/Detail?PublicationID=P20170929087", "https://www.airitibooks.com/Detail/Detail?PublicationID=P20170929087")</f>
        <v>https://www.airitibooks.com/Detail/Detail?PublicationID=P20170929087</v>
      </c>
      <c r="K2577" s="13" t="str">
        <f>HYPERLINK("https://ntsu.idm.oclc.org/login?url=https://www.airitibooks.com/Detail/Detail?PublicationID=P20170929087", "https://ntsu.idm.oclc.org/login?url=https://www.airitibooks.com/Detail/Detail?PublicationID=P20170929087")</f>
        <v>https://ntsu.idm.oclc.org/login?url=https://www.airitibooks.com/Detail/Detail?PublicationID=P20170929087</v>
      </c>
    </row>
    <row r="2578" spans="1:11" ht="51" x14ac:dyDescent="0.4">
      <c r="A2578" s="10" t="s">
        <v>7117</v>
      </c>
      <c r="B2578" s="10" t="s">
        <v>7118</v>
      </c>
      <c r="C2578" s="10" t="s">
        <v>613</v>
      </c>
      <c r="D2578" s="10" t="s">
        <v>7119</v>
      </c>
      <c r="E2578" s="10" t="s">
        <v>6182</v>
      </c>
      <c r="F2578" s="10" t="s">
        <v>7120</v>
      </c>
      <c r="G2578" s="10" t="s">
        <v>32</v>
      </c>
      <c r="H2578" s="7" t="s">
        <v>24</v>
      </c>
      <c r="I2578" s="7" t="s">
        <v>25</v>
      </c>
      <c r="J2578" s="13" t="str">
        <f>HYPERLINK("https://www.airitibooks.com/Detail/Detail?PublicationID=P20170929091", "https://www.airitibooks.com/Detail/Detail?PublicationID=P20170929091")</f>
        <v>https://www.airitibooks.com/Detail/Detail?PublicationID=P20170929091</v>
      </c>
      <c r="K2578" s="13" t="str">
        <f>HYPERLINK("https://ntsu.idm.oclc.org/login?url=https://www.airitibooks.com/Detail/Detail?PublicationID=P20170929091", "https://ntsu.idm.oclc.org/login?url=https://www.airitibooks.com/Detail/Detail?PublicationID=P20170929091")</f>
        <v>https://ntsu.idm.oclc.org/login?url=https://www.airitibooks.com/Detail/Detail?PublicationID=P20170929091</v>
      </c>
    </row>
    <row r="2579" spans="1:11" ht="51" x14ac:dyDescent="0.4">
      <c r="A2579" s="10" t="s">
        <v>7121</v>
      </c>
      <c r="B2579" s="10" t="s">
        <v>7122</v>
      </c>
      <c r="C2579" s="10" t="s">
        <v>613</v>
      </c>
      <c r="D2579" s="10" t="s">
        <v>6321</v>
      </c>
      <c r="E2579" s="10" t="s">
        <v>6182</v>
      </c>
      <c r="F2579" s="10" t="s">
        <v>7123</v>
      </c>
      <c r="G2579" s="10" t="s">
        <v>32</v>
      </c>
      <c r="H2579" s="7" t="s">
        <v>24</v>
      </c>
      <c r="I2579" s="7" t="s">
        <v>25</v>
      </c>
      <c r="J2579" s="13" t="str">
        <f>HYPERLINK("https://www.airitibooks.com/Detail/Detail?PublicationID=P20170929092", "https://www.airitibooks.com/Detail/Detail?PublicationID=P20170929092")</f>
        <v>https://www.airitibooks.com/Detail/Detail?PublicationID=P20170929092</v>
      </c>
      <c r="K2579" s="13" t="str">
        <f>HYPERLINK("https://ntsu.idm.oclc.org/login?url=https://www.airitibooks.com/Detail/Detail?PublicationID=P20170929092", "https://ntsu.idm.oclc.org/login?url=https://www.airitibooks.com/Detail/Detail?PublicationID=P20170929092")</f>
        <v>https://ntsu.idm.oclc.org/login?url=https://www.airitibooks.com/Detail/Detail?PublicationID=P20170929092</v>
      </c>
    </row>
    <row r="2580" spans="1:11" ht="136" x14ac:dyDescent="0.4">
      <c r="A2580" s="10" t="s">
        <v>7136</v>
      </c>
      <c r="B2580" s="10" t="s">
        <v>7137</v>
      </c>
      <c r="C2580" s="10" t="s">
        <v>1484</v>
      </c>
      <c r="D2580" s="10" t="s">
        <v>7138</v>
      </c>
      <c r="E2580" s="10" t="s">
        <v>6182</v>
      </c>
      <c r="F2580" s="10" t="s">
        <v>185</v>
      </c>
      <c r="G2580" s="10" t="s">
        <v>32</v>
      </c>
      <c r="H2580" s="7" t="s">
        <v>24</v>
      </c>
      <c r="I2580" s="7" t="s">
        <v>25</v>
      </c>
      <c r="J2580" s="13" t="str">
        <f>HYPERLINK("https://www.airitibooks.com/Detail/Detail?PublicationID=P20170929107", "https://www.airitibooks.com/Detail/Detail?PublicationID=P20170929107")</f>
        <v>https://www.airitibooks.com/Detail/Detail?PublicationID=P20170929107</v>
      </c>
      <c r="K2580" s="13" t="str">
        <f>HYPERLINK("https://ntsu.idm.oclc.org/login?url=https://www.airitibooks.com/Detail/Detail?PublicationID=P20170929107", "https://ntsu.idm.oclc.org/login?url=https://www.airitibooks.com/Detail/Detail?PublicationID=P20170929107")</f>
        <v>https://ntsu.idm.oclc.org/login?url=https://www.airitibooks.com/Detail/Detail?PublicationID=P20170929107</v>
      </c>
    </row>
    <row r="2581" spans="1:11" ht="68" x14ac:dyDescent="0.4">
      <c r="A2581" s="10" t="s">
        <v>7238</v>
      </c>
      <c r="B2581" s="10" t="s">
        <v>7239</v>
      </c>
      <c r="C2581" s="10" t="s">
        <v>7085</v>
      </c>
      <c r="D2581" s="10" t="s">
        <v>7240</v>
      </c>
      <c r="E2581" s="10" t="s">
        <v>6182</v>
      </c>
      <c r="F2581" s="10" t="s">
        <v>1135</v>
      </c>
      <c r="G2581" s="10" t="s">
        <v>32</v>
      </c>
      <c r="H2581" s="7" t="s">
        <v>24</v>
      </c>
      <c r="I2581" s="7" t="s">
        <v>25</v>
      </c>
      <c r="J2581" s="13" t="str">
        <f>HYPERLINK("https://www.airitibooks.com/Detail/Detail?PublicationID=P20170929385", "https://www.airitibooks.com/Detail/Detail?PublicationID=P20170929385")</f>
        <v>https://www.airitibooks.com/Detail/Detail?PublicationID=P20170929385</v>
      </c>
      <c r="K2581" s="13" t="str">
        <f>HYPERLINK("https://ntsu.idm.oclc.org/login?url=https://www.airitibooks.com/Detail/Detail?PublicationID=P20170929385", "https://ntsu.idm.oclc.org/login?url=https://www.airitibooks.com/Detail/Detail?PublicationID=P20170929385")</f>
        <v>https://ntsu.idm.oclc.org/login?url=https://www.airitibooks.com/Detail/Detail?PublicationID=P20170929385</v>
      </c>
    </row>
    <row r="2582" spans="1:11" ht="102" x14ac:dyDescent="0.4">
      <c r="A2582" s="10" t="s">
        <v>7248</v>
      </c>
      <c r="B2582" s="10" t="s">
        <v>7249</v>
      </c>
      <c r="C2582" s="10" t="s">
        <v>6298</v>
      </c>
      <c r="D2582" s="10" t="s">
        <v>7250</v>
      </c>
      <c r="E2582" s="10" t="s">
        <v>6182</v>
      </c>
      <c r="F2582" s="10" t="s">
        <v>7251</v>
      </c>
      <c r="G2582" s="10" t="s">
        <v>32</v>
      </c>
      <c r="H2582" s="7" t="s">
        <v>24</v>
      </c>
      <c r="I2582" s="7" t="s">
        <v>25</v>
      </c>
      <c r="J2582" s="13" t="str">
        <f>HYPERLINK("https://www.airitibooks.com/Detail/Detail?PublicationID=P20170929394", "https://www.airitibooks.com/Detail/Detail?PublicationID=P20170929394")</f>
        <v>https://www.airitibooks.com/Detail/Detail?PublicationID=P20170929394</v>
      </c>
      <c r="K2582" s="13" t="str">
        <f>HYPERLINK("https://ntsu.idm.oclc.org/login?url=https://www.airitibooks.com/Detail/Detail?PublicationID=P20170929394", "https://ntsu.idm.oclc.org/login?url=https://www.airitibooks.com/Detail/Detail?PublicationID=P20170929394")</f>
        <v>https://ntsu.idm.oclc.org/login?url=https://www.airitibooks.com/Detail/Detail?PublicationID=P20170929394</v>
      </c>
    </row>
    <row r="2583" spans="1:11" ht="68" x14ac:dyDescent="0.4">
      <c r="A2583" s="10" t="s">
        <v>7252</v>
      </c>
      <c r="B2583" s="10" t="s">
        <v>7253</v>
      </c>
      <c r="C2583" s="10" t="s">
        <v>7254</v>
      </c>
      <c r="D2583" s="10" t="s">
        <v>7255</v>
      </c>
      <c r="E2583" s="10" t="s">
        <v>6182</v>
      </c>
      <c r="F2583" s="10" t="s">
        <v>42</v>
      </c>
      <c r="G2583" s="10" t="s">
        <v>32</v>
      </c>
      <c r="H2583" s="7" t="s">
        <v>24</v>
      </c>
      <c r="I2583" s="7" t="s">
        <v>25</v>
      </c>
      <c r="J2583" s="13" t="str">
        <f>HYPERLINK("https://www.airitibooks.com/Detail/Detail?PublicationID=P20170929395", "https://www.airitibooks.com/Detail/Detail?PublicationID=P20170929395")</f>
        <v>https://www.airitibooks.com/Detail/Detail?PublicationID=P20170929395</v>
      </c>
      <c r="K2583" s="13" t="str">
        <f>HYPERLINK("https://ntsu.idm.oclc.org/login?url=https://www.airitibooks.com/Detail/Detail?PublicationID=P20170929395", "https://ntsu.idm.oclc.org/login?url=https://www.airitibooks.com/Detail/Detail?PublicationID=P20170929395")</f>
        <v>https://ntsu.idm.oclc.org/login?url=https://www.airitibooks.com/Detail/Detail?PublicationID=P20170929395</v>
      </c>
    </row>
    <row r="2584" spans="1:11" ht="51" x14ac:dyDescent="0.4">
      <c r="A2584" s="10" t="s">
        <v>7286</v>
      </c>
      <c r="B2584" s="10" t="s">
        <v>7287</v>
      </c>
      <c r="C2584" s="10" t="s">
        <v>568</v>
      </c>
      <c r="D2584" s="10" t="s">
        <v>7288</v>
      </c>
      <c r="E2584" s="10" t="s">
        <v>6182</v>
      </c>
      <c r="F2584" s="10" t="s">
        <v>4226</v>
      </c>
      <c r="G2584" s="10" t="s">
        <v>32</v>
      </c>
      <c r="H2584" s="7" t="s">
        <v>24</v>
      </c>
      <c r="I2584" s="7" t="s">
        <v>25</v>
      </c>
      <c r="J2584" s="13" t="str">
        <f>HYPERLINK("https://www.airitibooks.com/Detail/Detail?PublicationID=P20170929410", "https://www.airitibooks.com/Detail/Detail?PublicationID=P20170929410")</f>
        <v>https://www.airitibooks.com/Detail/Detail?PublicationID=P20170929410</v>
      </c>
      <c r="K2584" s="13" t="str">
        <f>HYPERLINK("https://ntsu.idm.oclc.org/login?url=https://www.airitibooks.com/Detail/Detail?PublicationID=P20170929410", "https://ntsu.idm.oclc.org/login?url=https://www.airitibooks.com/Detail/Detail?PublicationID=P20170929410")</f>
        <v>https://ntsu.idm.oclc.org/login?url=https://www.airitibooks.com/Detail/Detail?PublicationID=P20170929410</v>
      </c>
    </row>
    <row r="2585" spans="1:11" ht="51" x14ac:dyDescent="0.4">
      <c r="A2585" s="10" t="s">
        <v>7324</v>
      </c>
      <c r="B2585" s="10" t="s">
        <v>7325</v>
      </c>
      <c r="C2585" s="10" t="s">
        <v>7326</v>
      </c>
      <c r="D2585" s="10" t="s">
        <v>7327</v>
      </c>
      <c r="E2585" s="10" t="s">
        <v>6182</v>
      </c>
      <c r="F2585" s="10" t="s">
        <v>2628</v>
      </c>
      <c r="G2585" s="10" t="s">
        <v>32</v>
      </c>
      <c r="H2585" s="7" t="s">
        <v>24</v>
      </c>
      <c r="I2585" s="7" t="s">
        <v>25</v>
      </c>
      <c r="J2585" s="13" t="str">
        <f>HYPERLINK("https://www.airitibooks.com/Detail/Detail?PublicationID=P20171103103", "https://www.airitibooks.com/Detail/Detail?PublicationID=P20171103103")</f>
        <v>https://www.airitibooks.com/Detail/Detail?PublicationID=P20171103103</v>
      </c>
      <c r="K2585" s="13" t="str">
        <f>HYPERLINK("https://ntsu.idm.oclc.org/login?url=https://www.airitibooks.com/Detail/Detail?PublicationID=P20171103103", "https://ntsu.idm.oclc.org/login?url=https://www.airitibooks.com/Detail/Detail?PublicationID=P20171103103")</f>
        <v>https://ntsu.idm.oclc.org/login?url=https://www.airitibooks.com/Detail/Detail?PublicationID=P20171103103</v>
      </c>
    </row>
    <row r="2586" spans="1:11" ht="51" x14ac:dyDescent="0.4">
      <c r="A2586" s="10" t="s">
        <v>7332</v>
      </c>
      <c r="B2586" s="10" t="s">
        <v>7333</v>
      </c>
      <c r="C2586" s="10" t="s">
        <v>7326</v>
      </c>
      <c r="D2586" s="10" t="s">
        <v>7334</v>
      </c>
      <c r="E2586" s="10" t="s">
        <v>6182</v>
      </c>
      <c r="F2586" s="10" t="s">
        <v>2628</v>
      </c>
      <c r="G2586" s="10" t="s">
        <v>32</v>
      </c>
      <c r="H2586" s="7" t="s">
        <v>24</v>
      </c>
      <c r="I2586" s="7" t="s">
        <v>25</v>
      </c>
      <c r="J2586" s="13" t="str">
        <f>HYPERLINK("https://www.airitibooks.com/Detail/Detail?PublicationID=P20171103108", "https://www.airitibooks.com/Detail/Detail?PublicationID=P20171103108")</f>
        <v>https://www.airitibooks.com/Detail/Detail?PublicationID=P20171103108</v>
      </c>
      <c r="K2586" s="13" t="str">
        <f>HYPERLINK("https://ntsu.idm.oclc.org/login?url=https://www.airitibooks.com/Detail/Detail?PublicationID=P20171103108", "https://ntsu.idm.oclc.org/login?url=https://www.airitibooks.com/Detail/Detail?PublicationID=P20171103108")</f>
        <v>https://ntsu.idm.oclc.org/login?url=https://www.airitibooks.com/Detail/Detail?PublicationID=P20171103108</v>
      </c>
    </row>
    <row r="2587" spans="1:11" ht="51" x14ac:dyDescent="0.4">
      <c r="A2587" s="10" t="s">
        <v>7335</v>
      </c>
      <c r="B2587" s="10" t="s">
        <v>7336</v>
      </c>
      <c r="C2587" s="10" t="s">
        <v>7164</v>
      </c>
      <c r="D2587" s="10" t="s">
        <v>7337</v>
      </c>
      <c r="E2587" s="10" t="s">
        <v>6182</v>
      </c>
      <c r="F2587" s="10" t="s">
        <v>2628</v>
      </c>
      <c r="G2587" s="10" t="s">
        <v>32</v>
      </c>
      <c r="H2587" s="7" t="s">
        <v>24</v>
      </c>
      <c r="I2587" s="7" t="s">
        <v>25</v>
      </c>
      <c r="J2587" s="13" t="str">
        <f>HYPERLINK("https://www.airitibooks.com/Detail/Detail?PublicationID=P20171103109", "https://www.airitibooks.com/Detail/Detail?PublicationID=P20171103109")</f>
        <v>https://www.airitibooks.com/Detail/Detail?PublicationID=P20171103109</v>
      </c>
      <c r="K2587" s="13" t="str">
        <f>HYPERLINK("https://ntsu.idm.oclc.org/login?url=https://www.airitibooks.com/Detail/Detail?PublicationID=P20171103109", "https://ntsu.idm.oclc.org/login?url=https://www.airitibooks.com/Detail/Detail?PublicationID=P20171103109")</f>
        <v>https://ntsu.idm.oclc.org/login?url=https://www.airitibooks.com/Detail/Detail?PublicationID=P20171103109</v>
      </c>
    </row>
    <row r="2588" spans="1:11" ht="51" x14ac:dyDescent="0.4">
      <c r="A2588" s="10" t="s">
        <v>7338</v>
      </c>
      <c r="B2588" s="10" t="s">
        <v>7339</v>
      </c>
      <c r="C2588" s="10" t="s">
        <v>7326</v>
      </c>
      <c r="D2588" s="10" t="s">
        <v>7340</v>
      </c>
      <c r="E2588" s="10" t="s">
        <v>6182</v>
      </c>
      <c r="F2588" s="10" t="s">
        <v>2628</v>
      </c>
      <c r="G2588" s="10" t="s">
        <v>32</v>
      </c>
      <c r="H2588" s="7" t="s">
        <v>24</v>
      </c>
      <c r="I2588" s="7" t="s">
        <v>25</v>
      </c>
      <c r="J2588" s="13" t="str">
        <f>HYPERLINK("https://www.airitibooks.com/Detail/Detail?PublicationID=P20171103116", "https://www.airitibooks.com/Detail/Detail?PublicationID=P20171103116")</f>
        <v>https://www.airitibooks.com/Detail/Detail?PublicationID=P20171103116</v>
      </c>
      <c r="K2588" s="13" t="str">
        <f>HYPERLINK("https://ntsu.idm.oclc.org/login?url=https://www.airitibooks.com/Detail/Detail?PublicationID=P20171103116", "https://ntsu.idm.oclc.org/login?url=https://www.airitibooks.com/Detail/Detail?PublicationID=P20171103116")</f>
        <v>https://ntsu.idm.oclc.org/login?url=https://www.airitibooks.com/Detail/Detail?PublicationID=P20171103116</v>
      </c>
    </row>
    <row r="2589" spans="1:11" ht="51" x14ac:dyDescent="0.4">
      <c r="A2589" s="10" t="s">
        <v>7344</v>
      </c>
      <c r="B2589" s="10" t="s">
        <v>7345</v>
      </c>
      <c r="C2589" s="10" t="s">
        <v>7326</v>
      </c>
      <c r="D2589" s="10" t="s">
        <v>7346</v>
      </c>
      <c r="E2589" s="10" t="s">
        <v>6182</v>
      </c>
      <c r="F2589" s="10" t="s">
        <v>2628</v>
      </c>
      <c r="G2589" s="10" t="s">
        <v>32</v>
      </c>
      <c r="H2589" s="7" t="s">
        <v>24</v>
      </c>
      <c r="I2589" s="7" t="s">
        <v>25</v>
      </c>
      <c r="J2589" s="13" t="str">
        <f>HYPERLINK("https://www.airitibooks.com/Detail/Detail?PublicationID=P20171103118", "https://www.airitibooks.com/Detail/Detail?PublicationID=P20171103118")</f>
        <v>https://www.airitibooks.com/Detail/Detail?PublicationID=P20171103118</v>
      </c>
      <c r="K2589" s="13" t="str">
        <f>HYPERLINK("https://ntsu.idm.oclc.org/login?url=https://www.airitibooks.com/Detail/Detail?PublicationID=P20171103118", "https://ntsu.idm.oclc.org/login?url=https://www.airitibooks.com/Detail/Detail?PublicationID=P20171103118")</f>
        <v>https://ntsu.idm.oclc.org/login?url=https://www.airitibooks.com/Detail/Detail?PublicationID=P20171103118</v>
      </c>
    </row>
    <row r="2590" spans="1:11" ht="51" x14ac:dyDescent="0.4">
      <c r="A2590" s="10" t="s">
        <v>7347</v>
      </c>
      <c r="B2590" s="10" t="s">
        <v>7348</v>
      </c>
      <c r="C2590" s="10" t="s">
        <v>7164</v>
      </c>
      <c r="D2590" s="10" t="s">
        <v>7349</v>
      </c>
      <c r="E2590" s="10" t="s">
        <v>6182</v>
      </c>
      <c r="F2590" s="10" t="s">
        <v>2628</v>
      </c>
      <c r="G2590" s="10" t="s">
        <v>32</v>
      </c>
      <c r="H2590" s="7" t="s">
        <v>24</v>
      </c>
      <c r="I2590" s="7" t="s">
        <v>25</v>
      </c>
      <c r="J2590" s="13" t="str">
        <f>HYPERLINK("https://www.airitibooks.com/Detail/Detail?PublicationID=P20171103121", "https://www.airitibooks.com/Detail/Detail?PublicationID=P20171103121")</f>
        <v>https://www.airitibooks.com/Detail/Detail?PublicationID=P20171103121</v>
      </c>
      <c r="K2590" s="13" t="str">
        <f>HYPERLINK("https://ntsu.idm.oclc.org/login?url=https://www.airitibooks.com/Detail/Detail?PublicationID=P20171103121", "https://ntsu.idm.oclc.org/login?url=https://www.airitibooks.com/Detail/Detail?PublicationID=P20171103121")</f>
        <v>https://ntsu.idm.oclc.org/login?url=https://www.airitibooks.com/Detail/Detail?PublicationID=P20171103121</v>
      </c>
    </row>
    <row r="2591" spans="1:11" ht="51" x14ac:dyDescent="0.4">
      <c r="A2591" s="10" t="s">
        <v>7350</v>
      </c>
      <c r="B2591" s="10" t="s">
        <v>7351</v>
      </c>
      <c r="C2591" s="10" t="s">
        <v>7164</v>
      </c>
      <c r="D2591" s="10" t="s">
        <v>7352</v>
      </c>
      <c r="E2591" s="10" t="s">
        <v>6182</v>
      </c>
      <c r="F2591" s="10" t="s">
        <v>1457</v>
      </c>
      <c r="G2591" s="10" t="s">
        <v>32</v>
      </c>
      <c r="H2591" s="7" t="s">
        <v>24</v>
      </c>
      <c r="I2591" s="7" t="s">
        <v>25</v>
      </c>
      <c r="J2591" s="13" t="str">
        <f>HYPERLINK("https://www.airitibooks.com/Detail/Detail?PublicationID=P20171103123", "https://www.airitibooks.com/Detail/Detail?PublicationID=P20171103123")</f>
        <v>https://www.airitibooks.com/Detail/Detail?PublicationID=P20171103123</v>
      </c>
      <c r="K2591" s="13" t="str">
        <f>HYPERLINK("https://ntsu.idm.oclc.org/login?url=https://www.airitibooks.com/Detail/Detail?PublicationID=P20171103123", "https://ntsu.idm.oclc.org/login?url=https://www.airitibooks.com/Detail/Detail?PublicationID=P20171103123")</f>
        <v>https://ntsu.idm.oclc.org/login?url=https://www.airitibooks.com/Detail/Detail?PublicationID=P20171103123</v>
      </c>
    </row>
    <row r="2592" spans="1:11" ht="68" x14ac:dyDescent="0.4">
      <c r="A2592" s="10" t="s">
        <v>7356</v>
      </c>
      <c r="B2592" s="10" t="s">
        <v>7357</v>
      </c>
      <c r="C2592" s="10" t="s">
        <v>7326</v>
      </c>
      <c r="D2592" s="10" t="s">
        <v>7358</v>
      </c>
      <c r="E2592" s="10" t="s">
        <v>6182</v>
      </c>
      <c r="F2592" s="10" t="s">
        <v>2628</v>
      </c>
      <c r="G2592" s="10" t="s">
        <v>32</v>
      </c>
      <c r="H2592" s="7" t="s">
        <v>24</v>
      </c>
      <c r="I2592" s="7" t="s">
        <v>25</v>
      </c>
      <c r="J2592" s="13" t="str">
        <f>HYPERLINK("https://www.airitibooks.com/Detail/Detail?PublicationID=P20171103129", "https://www.airitibooks.com/Detail/Detail?PublicationID=P20171103129")</f>
        <v>https://www.airitibooks.com/Detail/Detail?PublicationID=P20171103129</v>
      </c>
      <c r="K2592" s="13" t="str">
        <f>HYPERLINK("https://ntsu.idm.oclc.org/login?url=https://www.airitibooks.com/Detail/Detail?PublicationID=P20171103129", "https://ntsu.idm.oclc.org/login?url=https://www.airitibooks.com/Detail/Detail?PublicationID=P20171103129")</f>
        <v>https://ntsu.idm.oclc.org/login?url=https://www.airitibooks.com/Detail/Detail?PublicationID=P20171103129</v>
      </c>
    </row>
    <row r="2593" spans="1:11" ht="51" x14ac:dyDescent="0.4">
      <c r="A2593" s="10" t="s">
        <v>7359</v>
      </c>
      <c r="B2593" s="10" t="s">
        <v>7360</v>
      </c>
      <c r="C2593" s="10" t="s">
        <v>7164</v>
      </c>
      <c r="D2593" s="10" t="s">
        <v>7361</v>
      </c>
      <c r="E2593" s="10" t="s">
        <v>6182</v>
      </c>
      <c r="F2593" s="10" t="s">
        <v>2628</v>
      </c>
      <c r="G2593" s="10" t="s">
        <v>32</v>
      </c>
      <c r="H2593" s="7" t="s">
        <v>24</v>
      </c>
      <c r="I2593" s="7" t="s">
        <v>25</v>
      </c>
      <c r="J2593" s="13" t="str">
        <f>HYPERLINK("https://www.airitibooks.com/Detail/Detail?PublicationID=P20171103130", "https://www.airitibooks.com/Detail/Detail?PublicationID=P20171103130")</f>
        <v>https://www.airitibooks.com/Detail/Detail?PublicationID=P20171103130</v>
      </c>
      <c r="K2593" s="13" t="str">
        <f>HYPERLINK("https://ntsu.idm.oclc.org/login?url=https://www.airitibooks.com/Detail/Detail?PublicationID=P20171103130", "https://ntsu.idm.oclc.org/login?url=https://www.airitibooks.com/Detail/Detail?PublicationID=P20171103130")</f>
        <v>https://ntsu.idm.oclc.org/login?url=https://www.airitibooks.com/Detail/Detail?PublicationID=P20171103130</v>
      </c>
    </row>
    <row r="2594" spans="1:11" ht="51" x14ac:dyDescent="0.4">
      <c r="A2594" s="10" t="s">
        <v>7365</v>
      </c>
      <c r="B2594" s="10" t="s">
        <v>7366</v>
      </c>
      <c r="C2594" s="10" t="s">
        <v>7164</v>
      </c>
      <c r="D2594" s="10" t="s">
        <v>7367</v>
      </c>
      <c r="E2594" s="10" t="s">
        <v>6182</v>
      </c>
      <c r="F2594" s="10" t="s">
        <v>7368</v>
      </c>
      <c r="G2594" s="10" t="s">
        <v>32</v>
      </c>
      <c r="H2594" s="7" t="s">
        <v>24</v>
      </c>
      <c r="I2594" s="7" t="s">
        <v>25</v>
      </c>
      <c r="J2594" s="13" t="str">
        <f>HYPERLINK("https://www.airitibooks.com/Detail/Detail?PublicationID=P20171103142", "https://www.airitibooks.com/Detail/Detail?PublicationID=P20171103142")</f>
        <v>https://www.airitibooks.com/Detail/Detail?PublicationID=P20171103142</v>
      </c>
      <c r="K2594" s="13" t="str">
        <f>HYPERLINK("https://ntsu.idm.oclc.org/login?url=https://www.airitibooks.com/Detail/Detail?PublicationID=P20171103142", "https://ntsu.idm.oclc.org/login?url=https://www.airitibooks.com/Detail/Detail?PublicationID=P20171103142")</f>
        <v>https://ntsu.idm.oclc.org/login?url=https://www.airitibooks.com/Detail/Detail?PublicationID=P20171103142</v>
      </c>
    </row>
    <row r="2595" spans="1:11" ht="51" x14ac:dyDescent="0.4">
      <c r="A2595" s="10" t="s">
        <v>7374</v>
      </c>
      <c r="B2595" s="10" t="s">
        <v>7375</v>
      </c>
      <c r="C2595" s="10" t="s">
        <v>7164</v>
      </c>
      <c r="D2595" s="10" t="s">
        <v>7376</v>
      </c>
      <c r="E2595" s="10" t="s">
        <v>6182</v>
      </c>
      <c r="F2595" s="10" t="s">
        <v>181</v>
      </c>
      <c r="G2595" s="10" t="s">
        <v>32</v>
      </c>
      <c r="H2595" s="7" t="s">
        <v>24</v>
      </c>
      <c r="I2595" s="7" t="s">
        <v>25</v>
      </c>
      <c r="J2595" s="13" t="str">
        <f>HYPERLINK("https://www.airitibooks.com/Detail/Detail?PublicationID=P20171103160", "https://www.airitibooks.com/Detail/Detail?PublicationID=P20171103160")</f>
        <v>https://www.airitibooks.com/Detail/Detail?PublicationID=P20171103160</v>
      </c>
      <c r="K2595" s="13" t="str">
        <f>HYPERLINK("https://ntsu.idm.oclc.org/login?url=https://www.airitibooks.com/Detail/Detail?PublicationID=P20171103160", "https://ntsu.idm.oclc.org/login?url=https://www.airitibooks.com/Detail/Detail?PublicationID=P20171103160")</f>
        <v>https://ntsu.idm.oclc.org/login?url=https://www.airitibooks.com/Detail/Detail?PublicationID=P20171103160</v>
      </c>
    </row>
    <row r="2596" spans="1:11" ht="51" x14ac:dyDescent="0.4">
      <c r="A2596" s="10" t="s">
        <v>7384</v>
      </c>
      <c r="B2596" s="10" t="s">
        <v>7385</v>
      </c>
      <c r="C2596" s="10" t="s">
        <v>7164</v>
      </c>
      <c r="D2596" s="10" t="s">
        <v>7386</v>
      </c>
      <c r="E2596" s="10" t="s">
        <v>6182</v>
      </c>
      <c r="F2596" s="10" t="s">
        <v>7387</v>
      </c>
      <c r="G2596" s="10" t="s">
        <v>32</v>
      </c>
      <c r="H2596" s="7" t="s">
        <v>24</v>
      </c>
      <c r="I2596" s="7" t="s">
        <v>25</v>
      </c>
      <c r="J2596" s="13" t="str">
        <f>HYPERLINK("https://www.airitibooks.com/Detail/Detail?PublicationID=P20171103170", "https://www.airitibooks.com/Detail/Detail?PublicationID=P20171103170")</f>
        <v>https://www.airitibooks.com/Detail/Detail?PublicationID=P20171103170</v>
      </c>
      <c r="K2596" s="13" t="str">
        <f>HYPERLINK("https://ntsu.idm.oclc.org/login?url=https://www.airitibooks.com/Detail/Detail?PublicationID=P20171103170", "https://ntsu.idm.oclc.org/login?url=https://www.airitibooks.com/Detail/Detail?PublicationID=P20171103170")</f>
        <v>https://ntsu.idm.oclc.org/login?url=https://www.airitibooks.com/Detail/Detail?PublicationID=P20171103170</v>
      </c>
    </row>
    <row r="2597" spans="1:11" ht="51" x14ac:dyDescent="0.4">
      <c r="A2597" s="10" t="s">
        <v>7396</v>
      </c>
      <c r="B2597" s="10" t="s">
        <v>7397</v>
      </c>
      <c r="C2597" s="10" t="s">
        <v>7164</v>
      </c>
      <c r="D2597" s="10" t="s">
        <v>7398</v>
      </c>
      <c r="E2597" s="10" t="s">
        <v>6182</v>
      </c>
      <c r="F2597" s="10" t="s">
        <v>7399</v>
      </c>
      <c r="G2597" s="10" t="s">
        <v>32</v>
      </c>
      <c r="H2597" s="7" t="s">
        <v>24</v>
      </c>
      <c r="I2597" s="7" t="s">
        <v>25</v>
      </c>
      <c r="J2597" s="13" t="str">
        <f>HYPERLINK("https://www.airitibooks.com/Detail/Detail?PublicationID=P20171103173", "https://www.airitibooks.com/Detail/Detail?PublicationID=P20171103173")</f>
        <v>https://www.airitibooks.com/Detail/Detail?PublicationID=P20171103173</v>
      </c>
      <c r="K2597" s="13" t="str">
        <f>HYPERLINK("https://ntsu.idm.oclc.org/login?url=https://www.airitibooks.com/Detail/Detail?PublicationID=P20171103173", "https://ntsu.idm.oclc.org/login?url=https://www.airitibooks.com/Detail/Detail?PublicationID=P20171103173")</f>
        <v>https://ntsu.idm.oclc.org/login?url=https://www.airitibooks.com/Detail/Detail?PublicationID=P20171103173</v>
      </c>
    </row>
    <row r="2598" spans="1:11" ht="51" x14ac:dyDescent="0.4">
      <c r="A2598" s="10" t="s">
        <v>7414</v>
      </c>
      <c r="B2598" s="10" t="s">
        <v>7415</v>
      </c>
      <c r="C2598" s="10" t="s">
        <v>7164</v>
      </c>
      <c r="D2598" s="10" t="s">
        <v>7416</v>
      </c>
      <c r="E2598" s="10" t="s">
        <v>6182</v>
      </c>
      <c r="F2598" s="10" t="s">
        <v>181</v>
      </c>
      <c r="G2598" s="10" t="s">
        <v>32</v>
      </c>
      <c r="H2598" s="7" t="s">
        <v>24</v>
      </c>
      <c r="I2598" s="7" t="s">
        <v>25</v>
      </c>
      <c r="J2598" s="13" t="str">
        <f>HYPERLINK("https://www.airitibooks.com/Detail/Detail?PublicationID=P20171103179", "https://www.airitibooks.com/Detail/Detail?PublicationID=P20171103179")</f>
        <v>https://www.airitibooks.com/Detail/Detail?PublicationID=P20171103179</v>
      </c>
      <c r="K2598" s="13" t="str">
        <f>HYPERLINK("https://ntsu.idm.oclc.org/login?url=https://www.airitibooks.com/Detail/Detail?PublicationID=P20171103179", "https://ntsu.idm.oclc.org/login?url=https://www.airitibooks.com/Detail/Detail?PublicationID=P20171103179")</f>
        <v>https://ntsu.idm.oclc.org/login?url=https://www.airitibooks.com/Detail/Detail?PublicationID=P20171103179</v>
      </c>
    </row>
    <row r="2599" spans="1:11" ht="68" x14ac:dyDescent="0.4">
      <c r="A2599" s="10" t="s">
        <v>7426</v>
      </c>
      <c r="B2599" s="10" t="s">
        <v>7427</v>
      </c>
      <c r="C2599" s="10" t="s">
        <v>7428</v>
      </c>
      <c r="D2599" s="10" t="s">
        <v>7429</v>
      </c>
      <c r="E2599" s="10" t="s">
        <v>6182</v>
      </c>
      <c r="F2599" s="10" t="s">
        <v>7430</v>
      </c>
      <c r="G2599" s="10" t="s">
        <v>32</v>
      </c>
      <c r="H2599" s="7" t="s">
        <v>24</v>
      </c>
      <c r="I2599" s="7" t="s">
        <v>25</v>
      </c>
      <c r="J2599" s="13" t="str">
        <f>HYPERLINK("https://www.airitibooks.com/Detail/Detail?PublicationID=P20171103198", "https://www.airitibooks.com/Detail/Detail?PublicationID=P20171103198")</f>
        <v>https://www.airitibooks.com/Detail/Detail?PublicationID=P20171103198</v>
      </c>
      <c r="K2599" s="13" t="str">
        <f>HYPERLINK("https://ntsu.idm.oclc.org/login?url=https://www.airitibooks.com/Detail/Detail?PublicationID=P20171103198", "https://ntsu.idm.oclc.org/login?url=https://www.airitibooks.com/Detail/Detail?PublicationID=P20171103198")</f>
        <v>https://ntsu.idm.oclc.org/login?url=https://www.airitibooks.com/Detail/Detail?PublicationID=P20171103198</v>
      </c>
    </row>
    <row r="2600" spans="1:11" ht="51" x14ac:dyDescent="0.4">
      <c r="A2600" s="10" t="s">
        <v>7434</v>
      </c>
      <c r="B2600" s="10" t="s">
        <v>7435</v>
      </c>
      <c r="C2600" s="10" t="s">
        <v>7164</v>
      </c>
      <c r="D2600" s="10" t="s">
        <v>7436</v>
      </c>
      <c r="E2600" s="10" t="s">
        <v>6182</v>
      </c>
      <c r="F2600" s="10" t="s">
        <v>575</v>
      </c>
      <c r="G2600" s="10" t="s">
        <v>32</v>
      </c>
      <c r="H2600" s="7" t="s">
        <v>24</v>
      </c>
      <c r="I2600" s="7" t="s">
        <v>25</v>
      </c>
      <c r="J2600" s="13" t="str">
        <f>HYPERLINK("https://www.airitibooks.com/Detail/Detail?PublicationID=P20171103239", "https://www.airitibooks.com/Detail/Detail?PublicationID=P20171103239")</f>
        <v>https://www.airitibooks.com/Detail/Detail?PublicationID=P20171103239</v>
      </c>
      <c r="K2600" s="13" t="str">
        <f>HYPERLINK("https://ntsu.idm.oclc.org/login?url=https://www.airitibooks.com/Detail/Detail?PublicationID=P20171103239", "https://ntsu.idm.oclc.org/login?url=https://www.airitibooks.com/Detail/Detail?PublicationID=P20171103239")</f>
        <v>https://ntsu.idm.oclc.org/login?url=https://www.airitibooks.com/Detail/Detail?PublicationID=P20171103239</v>
      </c>
    </row>
    <row r="2601" spans="1:11" ht="68" x14ac:dyDescent="0.4">
      <c r="A2601" s="10" t="s">
        <v>7440</v>
      </c>
      <c r="B2601" s="10" t="s">
        <v>7441</v>
      </c>
      <c r="C2601" s="10" t="s">
        <v>7164</v>
      </c>
      <c r="D2601" s="10" t="s">
        <v>7442</v>
      </c>
      <c r="E2601" s="10" t="s">
        <v>6182</v>
      </c>
      <c r="F2601" s="10" t="s">
        <v>1774</v>
      </c>
      <c r="G2601" s="10" t="s">
        <v>32</v>
      </c>
      <c r="H2601" s="7" t="s">
        <v>24</v>
      </c>
      <c r="I2601" s="7" t="s">
        <v>25</v>
      </c>
      <c r="J2601" s="13" t="str">
        <f>HYPERLINK("https://www.airitibooks.com/Detail/Detail?PublicationID=P20171103243", "https://www.airitibooks.com/Detail/Detail?PublicationID=P20171103243")</f>
        <v>https://www.airitibooks.com/Detail/Detail?PublicationID=P20171103243</v>
      </c>
      <c r="K2601" s="13" t="str">
        <f>HYPERLINK("https://ntsu.idm.oclc.org/login?url=https://www.airitibooks.com/Detail/Detail?PublicationID=P20171103243", "https://ntsu.idm.oclc.org/login?url=https://www.airitibooks.com/Detail/Detail?PublicationID=P20171103243")</f>
        <v>https://ntsu.idm.oclc.org/login?url=https://www.airitibooks.com/Detail/Detail?PublicationID=P20171103243</v>
      </c>
    </row>
    <row r="2602" spans="1:11" ht="51" x14ac:dyDescent="0.4">
      <c r="A2602" s="10" t="s">
        <v>7448</v>
      </c>
      <c r="B2602" s="10" t="s">
        <v>7449</v>
      </c>
      <c r="C2602" s="10" t="s">
        <v>7164</v>
      </c>
      <c r="D2602" s="10" t="s">
        <v>7450</v>
      </c>
      <c r="E2602" s="10" t="s">
        <v>6182</v>
      </c>
      <c r="F2602" s="10" t="s">
        <v>7399</v>
      </c>
      <c r="G2602" s="10" t="s">
        <v>32</v>
      </c>
      <c r="H2602" s="7" t="s">
        <v>24</v>
      </c>
      <c r="I2602" s="7" t="s">
        <v>25</v>
      </c>
      <c r="J2602" s="13" t="str">
        <f>HYPERLINK("https://www.airitibooks.com/Detail/Detail?PublicationID=P20171103249", "https://www.airitibooks.com/Detail/Detail?PublicationID=P20171103249")</f>
        <v>https://www.airitibooks.com/Detail/Detail?PublicationID=P20171103249</v>
      </c>
      <c r="K2602" s="13" t="str">
        <f>HYPERLINK("https://ntsu.idm.oclc.org/login?url=https://www.airitibooks.com/Detail/Detail?PublicationID=P20171103249", "https://ntsu.idm.oclc.org/login?url=https://www.airitibooks.com/Detail/Detail?PublicationID=P20171103249")</f>
        <v>https://ntsu.idm.oclc.org/login?url=https://www.airitibooks.com/Detail/Detail?PublicationID=P20171103249</v>
      </c>
    </row>
    <row r="2603" spans="1:11" ht="51" x14ac:dyDescent="0.4">
      <c r="A2603" s="10" t="s">
        <v>7454</v>
      </c>
      <c r="B2603" s="10" t="s">
        <v>7455</v>
      </c>
      <c r="C2603" s="10" t="s">
        <v>7164</v>
      </c>
      <c r="D2603" s="10" t="s">
        <v>7456</v>
      </c>
      <c r="E2603" s="10" t="s">
        <v>6182</v>
      </c>
      <c r="F2603" s="10" t="s">
        <v>575</v>
      </c>
      <c r="G2603" s="10" t="s">
        <v>32</v>
      </c>
      <c r="H2603" s="7" t="s">
        <v>24</v>
      </c>
      <c r="I2603" s="7" t="s">
        <v>25</v>
      </c>
      <c r="J2603" s="13" t="str">
        <f>HYPERLINK("https://www.airitibooks.com/Detail/Detail?PublicationID=P20171103275", "https://www.airitibooks.com/Detail/Detail?PublicationID=P20171103275")</f>
        <v>https://www.airitibooks.com/Detail/Detail?PublicationID=P20171103275</v>
      </c>
      <c r="K2603" s="13" t="str">
        <f>HYPERLINK("https://ntsu.idm.oclc.org/login?url=https://www.airitibooks.com/Detail/Detail?PublicationID=P20171103275", "https://ntsu.idm.oclc.org/login?url=https://www.airitibooks.com/Detail/Detail?PublicationID=P20171103275")</f>
        <v>https://ntsu.idm.oclc.org/login?url=https://www.airitibooks.com/Detail/Detail?PublicationID=P20171103275</v>
      </c>
    </row>
    <row r="2604" spans="1:11" ht="51" x14ac:dyDescent="0.4">
      <c r="A2604" s="10" t="s">
        <v>7457</v>
      </c>
      <c r="B2604" s="10" t="s">
        <v>7458</v>
      </c>
      <c r="C2604" s="10" t="s">
        <v>7164</v>
      </c>
      <c r="D2604" s="10" t="s">
        <v>7459</v>
      </c>
      <c r="E2604" s="10" t="s">
        <v>6182</v>
      </c>
      <c r="F2604" s="10" t="s">
        <v>274</v>
      </c>
      <c r="G2604" s="10" t="s">
        <v>32</v>
      </c>
      <c r="H2604" s="7" t="s">
        <v>24</v>
      </c>
      <c r="I2604" s="7" t="s">
        <v>25</v>
      </c>
      <c r="J2604" s="13" t="str">
        <f>HYPERLINK("https://www.airitibooks.com/Detail/Detail?PublicationID=P20171103286", "https://www.airitibooks.com/Detail/Detail?PublicationID=P20171103286")</f>
        <v>https://www.airitibooks.com/Detail/Detail?PublicationID=P20171103286</v>
      </c>
      <c r="K2604" s="13" t="str">
        <f>HYPERLINK("https://ntsu.idm.oclc.org/login?url=https://www.airitibooks.com/Detail/Detail?PublicationID=P20171103286", "https://ntsu.idm.oclc.org/login?url=https://www.airitibooks.com/Detail/Detail?PublicationID=P20171103286")</f>
        <v>https://ntsu.idm.oclc.org/login?url=https://www.airitibooks.com/Detail/Detail?PublicationID=P20171103286</v>
      </c>
    </row>
    <row r="2605" spans="1:11" ht="51" x14ac:dyDescent="0.4">
      <c r="A2605" s="10" t="s">
        <v>7460</v>
      </c>
      <c r="B2605" s="10" t="s">
        <v>7461</v>
      </c>
      <c r="C2605" s="10" t="s">
        <v>7164</v>
      </c>
      <c r="D2605" s="10" t="s">
        <v>7462</v>
      </c>
      <c r="E2605" s="10" t="s">
        <v>6182</v>
      </c>
      <c r="F2605" s="10" t="s">
        <v>181</v>
      </c>
      <c r="G2605" s="10" t="s">
        <v>32</v>
      </c>
      <c r="H2605" s="7" t="s">
        <v>24</v>
      </c>
      <c r="I2605" s="7" t="s">
        <v>25</v>
      </c>
      <c r="J2605" s="13" t="str">
        <f>HYPERLINK("https://www.airitibooks.com/Detail/Detail?PublicationID=P20171103294", "https://www.airitibooks.com/Detail/Detail?PublicationID=P20171103294")</f>
        <v>https://www.airitibooks.com/Detail/Detail?PublicationID=P20171103294</v>
      </c>
      <c r="K2605" s="13" t="str">
        <f>HYPERLINK("https://ntsu.idm.oclc.org/login?url=https://www.airitibooks.com/Detail/Detail?PublicationID=P20171103294", "https://ntsu.idm.oclc.org/login?url=https://www.airitibooks.com/Detail/Detail?PublicationID=P20171103294")</f>
        <v>https://ntsu.idm.oclc.org/login?url=https://www.airitibooks.com/Detail/Detail?PublicationID=P20171103294</v>
      </c>
    </row>
    <row r="2606" spans="1:11" ht="51" x14ac:dyDescent="0.4">
      <c r="A2606" s="10" t="s">
        <v>7473</v>
      </c>
      <c r="B2606" s="10" t="s">
        <v>7474</v>
      </c>
      <c r="C2606" s="10" t="s">
        <v>7164</v>
      </c>
      <c r="D2606" s="10" t="s">
        <v>7475</v>
      </c>
      <c r="E2606" s="10" t="s">
        <v>6182</v>
      </c>
      <c r="F2606" s="10" t="s">
        <v>1774</v>
      </c>
      <c r="G2606" s="10" t="s">
        <v>32</v>
      </c>
      <c r="H2606" s="7" t="s">
        <v>24</v>
      </c>
      <c r="I2606" s="7" t="s">
        <v>25</v>
      </c>
      <c r="J2606" s="13" t="str">
        <f>HYPERLINK("https://www.airitibooks.com/Detail/Detail?PublicationID=P20171103338", "https://www.airitibooks.com/Detail/Detail?PublicationID=P20171103338")</f>
        <v>https://www.airitibooks.com/Detail/Detail?PublicationID=P20171103338</v>
      </c>
      <c r="K2606" s="13" t="str">
        <f>HYPERLINK("https://ntsu.idm.oclc.org/login?url=https://www.airitibooks.com/Detail/Detail?PublicationID=P20171103338", "https://ntsu.idm.oclc.org/login?url=https://www.airitibooks.com/Detail/Detail?PublicationID=P20171103338")</f>
        <v>https://ntsu.idm.oclc.org/login?url=https://www.airitibooks.com/Detail/Detail?PublicationID=P20171103338</v>
      </c>
    </row>
    <row r="2607" spans="1:11" ht="51" x14ac:dyDescent="0.4">
      <c r="A2607" s="10" t="s">
        <v>7476</v>
      </c>
      <c r="B2607" s="10" t="s">
        <v>7477</v>
      </c>
      <c r="C2607" s="10" t="s">
        <v>7164</v>
      </c>
      <c r="D2607" s="10" t="s">
        <v>7478</v>
      </c>
      <c r="E2607" s="10" t="s">
        <v>6182</v>
      </c>
      <c r="F2607" s="10" t="s">
        <v>181</v>
      </c>
      <c r="G2607" s="10" t="s">
        <v>32</v>
      </c>
      <c r="H2607" s="7" t="s">
        <v>24</v>
      </c>
      <c r="I2607" s="7" t="s">
        <v>25</v>
      </c>
      <c r="J2607" s="13" t="str">
        <f>HYPERLINK("https://www.airitibooks.com/Detail/Detail?PublicationID=P20171103340", "https://www.airitibooks.com/Detail/Detail?PublicationID=P20171103340")</f>
        <v>https://www.airitibooks.com/Detail/Detail?PublicationID=P20171103340</v>
      </c>
      <c r="K2607" s="13" t="str">
        <f>HYPERLINK("https://ntsu.idm.oclc.org/login?url=https://www.airitibooks.com/Detail/Detail?PublicationID=P20171103340", "https://ntsu.idm.oclc.org/login?url=https://www.airitibooks.com/Detail/Detail?PublicationID=P20171103340")</f>
        <v>https://ntsu.idm.oclc.org/login?url=https://www.airitibooks.com/Detail/Detail?PublicationID=P20171103340</v>
      </c>
    </row>
    <row r="2608" spans="1:11" ht="51" x14ac:dyDescent="0.4">
      <c r="A2608" s="10" t="s">
        <v>7483</v>
      </c>
      <c r="B2608" s="10" t="s">
        <v>7484</v>
      </c>
      <c r="C2608" s="10" t="s">
        <v>7164</v>
      </c>
      <c r="D2608" s="10" t="s">
        <v>7459</v>
      </c>
      <c r="E2608" s="10" t="s">
        <v>6182</v>
      </c>
      <c r="F2608" s="10" t="s">
        <v>181</v>
      </c>
      <c r="G2608" s="10" t="s">
        <v>32</v>
      </c>
      <c r="H2608" s="7" t="s">
        <v>24</v>
      </c>
      <c r="I2608" s="7" t="s">
        <v>25</v>
      </c>
      <c r="J2608" s="13" t="str">
        <f>HYPERLINK("https://www.airitibooks.com/Detail/Detail?PublicationID=P20171103377", "https://www.airitibooks.com/Detail/Detail?PublicationID=P20171103377")</f>
        <v>https://www.airitibooks.com/Detail/Detail?PublicationID=P20171103377</v>
      </c>
      <c r="K2608" s="13" t="str">
        <f>HYPERLINK("https://ntsu.idm.oclc.org/login?url=https://www.airitibooks.com/Detail/Detail?PublicationID=P20171103377", "https://ntsu.idm.oclc.org/login?url=https://www.airitibooks.com/Detail/Detail?PublicationID=P20171103377")</f>
        <v>https://ntsu.idm.oclc.org/login?url=https://www.airitibooks.com/Detail/Detail?PublicationID=P20171103377</v>
      </c>
    </row>
    <row r="2609" spans="1:11" ht="51" x14ac:dyDescent="0.4">
      <c r="A2609" s="10" t="s">
        <v>7508</v>
      </c>
      <c r="B2609" s="10" t="s">
        <v>7509</v>
      </c>
      <c r="C2609" s="10" t="s">
        <v>7164</v>
      </c>
      <c r="D2609" s="10" t="s">
        <v>7510</v>
      </c>
      <c r="E2609" s="10" t="s">
        <v>6182</v>
      </c>
      <c r="F2609" s="10" t="s">
        <v>3953</v>
      </c>
      <c r="G2609" s="10" t="s">
        <v>32</v>
      </c>
      <c r="H2609" s="7" t="s">
        <v>24</v>
      </c>
      <c r="I2609" s="7" t="s">
        <v>25</v>
      </c>
      <c r="J2609" s="13" t="str">
        <f>HYPERLINK("https://www.airitibooks.com/Detail/Detail?PublicationID=P20171103403", "https://www.airitibooks.com/Detail/Detail?PublicationID=P20171103403")</f>
        <v>https://www.airitibooks.com/Detail/Detail?PublicationID=P20171103403</v>
      </c>
      <c r="K2609" s="13" t="str">
        <f>HYPERLINK("https://ntsu.idm.oclc.org/login?url=https://www.airitibooks.com/Detail/Detail?PublicationID=P20171103403", "https://ntsu.idm.oclc.org/login?url=https://www.airitibooks.com/Detail/Detail?PublicationID=P20171103403")</f>
        <v>https://ntsu.idm.oclc.org/login?url=https://www.airitibooks.com/Detail/Detail?PublicationID=P20171103403</v>
      </c>
    </row>
    <row r="2610" spans="1:11" ht="51" x14ac:dyDescent="0.4">
      <c r="A2610" s="10" t="s">
        <v>7517</v>
      </c>
      <c r="B2610" s="10" t="s">
        <v>7518</v>
      </c>
      <c r="C2610" s="10" t="s">
        <v>7164</v>
      </c>
      <c r="D2610" s="10" t="s">
        <v>7519</v>
      </c>
      <c r="E2610" s="10" t="s">
        <v>6182</v>
      </c>
      <c r="F2610" s="10" t="s">
        <v>7520</v>
      </c>
      <c r="G2610" s="10" t="s">
        <v>32</v>
      </c>
      <c r="H2610" s="7" t="s">
        <v>24</v>
      </c>
      <c r="I2610" s="7" t="s">
        <v>25</v>
      </c>
      <c r="J2610" s="13" t="str">
        <f>HYPERLINK("https://www.airitibooks.com/Detail/Detail?PublicationID=P20171103422", "https://www.airitibooks.com/Detail/Detail?PublicationID=P20171103422")</f>
        <v>https://www.airitibooks.com/Detail/Detail?PublicationID=P20171103422</v>
      </c>
      <c r="K2610" s="13" t="str">
        <f>HYPERLINK("https://ntsu.idm.oclc.org/login?url=https://www.airitibooks.com/Detail/Detail?PublicationID=P20171103422", "https://ntsu.idm.oclc.org/login?url=https://www.airitibooks.com/Detail/Detail?PublicationID=P20171103422")</f>
        <v>https://ntsu.idm.oclc.org/login?url=https://www.airitibooks.com/Detail/Detail?PublicationID=P20171103422</v>
      </c>
    </row>
    <row r="2611" spans="1:11" ht="51" x14ac:dyDescent="0.4">
      <c r="A2611" s="10" t="s">
        <v>7521</v>
      </c>
      <c r="B2611" s="10" t="s">
        <v>7522</v>
      </c>
      <c r="C2611" s="10" t="s">
        <v>7164</v>
      </c>
      <c r="D2611" s="10" t="s">
        <v>7519</v>
      </c>
      <c r="E2611" s="10" t="s">
        <v>6182</v>
      </c>
      <c r="F2611" s="10" t="s">
        <v>7520</v>
      </c>
      <c r="G2611" s="10" t="s">
        <v>32</v>
      </c>
      <c r="H2611" s="7" t="s">
        <v>24</v>
      </c>
      <c r="I2611" s="7" t="s">
        <v>25</v>
      </c>
      <c r="J2611" s="13" t="str">
        <f>HYPERLINK("https://www.airitibooks.com/Detail/Detail?PublicationID=P20171103423", "https://www.airitibooks.com/Detail/Detail?PublicationID=P20171103423")</f>
        <v>https://www.airitibooks.com/Detail/Detail?PublicationID=P20171103423</v>
      </c>
      <c r="K2611" s="13" t="str">
        <f>HYPERLINK("https://ntsu.idm.oclc.org/login?url=https://www.airitibooks.com/Detail/Detail?PublicationID=P20171103423", "https://ntsu.idm.oclc.org/login?url=https://www.airitibooks.com/Detail/Detail?PublicationID=P20171103423")</f>
        <v>https://ntsu.idm.oclc.org/login?url=https://www.airitibooks.com/Detail/Detail?PublicationID=P20171103423</v>
      </c>
    </row>
    <row r="2612" spans="1:11" ht="51" x14ac:dyDescent="0.4">
      <c r="A2612" s="10" t="s">
        <v>7533</v>
      </c>
      <c r="B2612" s="10" t="s">
        <v>7534</v>
      </c>
      <c r="C2612" s="10" t="s">
        <v>7164</v>
      </c>
      <c r="D2612" s="10" t="s">
        <v>7516</v>
      </c>
      <c r="E2612" s="10" t="s">
        <v>6182</v>
      </c>
      <c r="F2612" s="10" t="s">
        <v>181</v>
      </c>
      <c r="G2612" s="10" t="s">
        <v>32</v>
      </c>
      <c r="H2612" s="7" t="s">
        <v>24</v>
      </c>
      <c r="I2612" s="7" t="s">
        <v>25</v>
      </c>
      <c r="J2612" s="13" t="str">
        <f>HYPERLINK("https://www.airitibooks.com/Detail/Detail?PublicationID=P20171103444", "https://www.airitibooks.com/Detail/Detail?PublicationID=P20171103444")</f>
        <v>https://www.airitibooks.com/Detail/Detail?PublicationID=P20171103444</v>
      </c>
      <c r="K2612" s="13" t="str">
        <f>HYPERLINK("https://ntsu.idm.oclc.org/login?url=https://www.airitibooks.com/Detail/Detail?PublicationID=P20171103444", "https://ntsu.idm.oclc.org/login?url=https://www.airitibooks.com/Detail/Detail?PublicationID=P20171103444")</f>
        <v>https://ntsu.idm.oclc.org/login?url=https://www.airitibooks.com/Detail/Detail?PublicationID=P20171103444</v>
      </c>
    </row>
    <row r="2613" spans="1:11" ht="68" x14ac:dyDescent="0.4">
      <c r="A2613" s="10" t="s">
        <v>7579</v>
      </c>
      <c r="B2613" s="10" t="s">
        <v>7580</v>
      </c>
      <c r="C2613" s="10" t="s">
        <v>7164</v>
      </c>
      <c r="D2613" s="10" t="s">
        <v>7581</v>
      </c>
      <c r="E2613" s="10" t="s">
        <v>6182</v>
      </c>
      <c r="F2613" s="10" t="s">
        <v>7582</v>
      </c>
      <c r="G2613" s="10" t="s">
        <v>32</v>
      </c>
      <c r="H2613" s="7" t="s">
        <v>24</v>
      </c>
      <c r="I2613" s="7" t="s">
        <v>25</v>
      </c>
      <c r="J2613" s="13" t="str">
        <f>HYPERLINK("https://www.airitibooks.com/Detail/Detail?PublicationID=P20171103548", "https://www.airitibooks.com/Detail/Detail?PublicationID=P20171103548")</f>
        <v>https://www.airitibooks.com/Detail/Detail?PublicationID=P20171103548</v>
      </c>
      <c r="K2613" s="13" t="str">
        <f>HYPERLINK("https://ntsu.idm.oclc.org/login?url=https://www.airitibooks.com/Detail/Detail?PublicationID=P20171103548", "https://ntsu.idm.oclc.org/login?url=https://www.airitibooks.com/Detail/Detail?PublicationID=P20171103548")</f>
        <v>https://ntsu.idm.oclc.org/login?url=https://www.airitibooks.com/Detail/Detail?PublicationID=P20171103548</v>
      </c>
    </row>
    <row r="2614" spans="1:11" ht="51" x14ac:dyDescent="0.4">
      <c r="A2614" s="10" t="s">
        <v>7593</v>
      </c>
      <c r="B2614" s="10" t="s">
        <v>7594</v>
      </c>
      <c r="C2614" s="10" t="s">
        <v>7164</v>
      </c>
      <c r="D2614" s="10" t="s">
        <v>7588</v>
      </c>
      <c r="E2614" s="10" t="s">
        <v>6182</v>
      </c>
      <c r="F2614" s="10" t="s">
        <v>1774</v>
      </c>
      <c r="G2614" s="10" t="s">
        <v>32</v>
      </c>
      <c r="H2614" s="7" t="s">
        <v>24</v>
      </c>
      <c r="I2614" s="7" t="s">
        <v>25</v>
      </c>
      <c r="J2614" s="13" t="str">
        <f>HYPERLINK("https://www.airitibooks.com/Detail/Detail?PublicationID=P20171103614", "https://www.airitibooks.com/Detail/Detail?PublicationID=P20171103614")</f>
        <v>https://www.airitibooks.com/Detail/Detail?PublicationID=P20171103614</v>
      </c>
      <c r="K2614" s="13" t="str">
        <f>HYPERLINK("https://ntsu.idm.oclc.org/login?url=https://www.airitibooks.com/Detail/Detail?PublicationID=P20171103614", "https://ntsu.idm.oclc.org/login?url=https://www.airitibooks.com/Detail/Detail?PublicationID=P20171103614")</f>
        <v>https://ntsu.idm.oclc.org/login?url=https://www.airitibooks.com/Detail/Detail?PublicationID=P20171103614</v>
      </c>
    </row>
    <row r="2615" spans="1:11" ht="51" x14ac:dyDescent="0.4">
      <c r="A2615" s="10" t="s">
        <v>7595</v>
      </c>
      <c r="B2615" s="10" t="s">
        <v>7596</v>
      </c>
      <c r="C2615" s="10" t="s">
        <v>7164</v>
      </c>
      <c r="D2615" s="10" t="s">
        <v>7588</v>
      </c>
      <c r="E2615" s="10" t="s">
        <v>6182</v>
      </c>
      <c r="F2615" s="10" t="s">
        <v>181</v>
      </c>
      <c r="G2615" s="10" t="s">
        <v>32</v>
      </c>
      <c r="H2615" s="7" t="s">
        <v>24</v>
      </c>
      <c r="I2615" s="7" t="s">
        <v>25</v>
      </c>
      <c r="J2615" s="13" t="str">
        <f>HYPERLINK("https://www.airitibooks.com/Detail/Detail?PublicationID=P20171103648", "https://www.airitibooks.com/Detail/Detail?PublicationID=P20171103648")</f>
        <v>https://www.airitibooks.com/Detail/Detail?PublicationID=P20171103648</v>
      </c>
      <c r="K2615" s="13" t="str">
        <f>HYPERLINK("https://ntsu.idm.oclc.org/login?url=https://www.airitibooks.com/Detail/Detail?PublicationID=P20171103648", "https://ntsu.idm.oclc.org/login?url=https://www.airitibooks.com/Detail/Detail?PublicationID=P20171103648")</f>
        <v>https://ntsu.idm.oclc.org/login?url=https://www.airitibooks.com/Detail/Detail?PublicationID=P20171103648</v>
      </c>
    </row>
    <row r="2616" spans="1:11" ht="51" x14ac:dyDescent="0.4">
      <c r="A2616" s="10" t="s">
        <v>7597</v>
      </c>
      <c r="B2616" s="10" t="s">
        <v>7598</v>
      </c>
      <c r="C2616" s="10" t="s">
        <v>7164</v>
      </c>
      <c r="D2616" s="10" t="s">
        <v>7588</v>
      </c>
      <c r="E2616" s="10" t="s">
        <v>6182</v>
      </c>
      <c r="F2616" s="10" t="s">
        <v>181</v>
      </c>
      <c r="G2616" s="10" t="s">
        <v>32</v>
      </c>
      <c r="H2616" s="7" t="s">
        <v>24</v>
      </c>
      <c r="I2616" s="7" t="s">
        <v>25</v>
      </c>
      <c r="J2616" s="13" t="str">
        <f>HYPERLINK("https://www.airitibooks.com/Detail/Detail?PublicationID=P20171103663", "https://www.airitibooks.com/Detail/Detail?PublicationID=P20171103663")</f>
        <v>https://www.airitibooks.com/Detail/Detail?PublicationID=P20171103663</v>
      </c>
      <c r="K2616" s="13" t="str">
        <f>HYPERLINK("https://ntsu.idm.oclc.org/login?url=https://www.airitibooks.com/Detail/Detail?PublicationID=P20171103663", "https://ntsu.idm.oclc.org/login?url=https://www.airitibooks.com/Detail/Detail?PublicationID=P20171103663")</f>
        <v>https://ntsu.idm.oclc.org/login?url=https://www.airitibooks.com/Detail/Detail?PublicationID=P20171103663</v>
      </c>
    </row>
    <row r="2617" spans="1:11" ht="51" x14ac:dyDescent="0.4">
      <c r="A2617" s="10" t="s">
        <v>7599</v>
      </c>
      <c r="B2617" s="10" t="s">
        <v>7600</v>
      </c>
      <c r="C2617" s="10" t="s">
        <v>7164</v>
      </c>
      <c r="D2617" s="10" t="s">
        <v>7588</v>
      </c>
      <c r="E2617" s="10" t="s">
        <v>6182</v>
      </c>
      <c r="F2617" s="10" t="s">
        <v>181</v>
      </c>
      <c r="G2617" s="10" t="s">
        <v>32</v>
      </c>
      <c r="H2617" s="7" t="s">
        <v>24</v>
      </c>
      <c r="I2617" s="7" t="s">
        <v>25</v>
      </c>
      <c r="J2617" s="13" t="str">
        <f>HYPERLINK("https://www.airitibooks.com/Detail/Detail?PublicationID=P20171103687", "https://www.airitibooks.com/Detail/Detail?PublicationID=P20171103687")</f>
        <v>https://www.airitibooks.com/Detail/Detail?PublicationID=P20171103687</v>
      </c>
      <c r="K2617" s="13" t="str">
        <f>HYPERLINK("https://ntsu.idm.oclc.org/login?url=https://www.airitibooks.com/Detail/Detail?PublicationID=P20171103687", "https://ntsu.idm.oclc.org/login?url=https://www.airitibooks.com/Detail/Detail?PublicationID=P20171103687")</f>
        <v>https://ntsu.idm.oclc.org/login?url=https://www.airitibooks.com/Detail/Detail?PublicationID=P20171103687</v>
      </c>
    </row>
    <row r="2618" spans="1:11" ht="51" x14ac:dyDescent="0.4">
      <c r="A2618" s="10" t="s">
        <v>7609</v>
      </c>
      <c r="B2618" s="10" t="s">
        <v>7610</v>
      </c>
      <c r="C2618" s="10" t="s">
        <v>7164</v>
      </c>
      <c r="D2618" s="10" t="s">
        <v>7588</v>
      </c>
      <c r="E2618" s="10" t="s">
        <v>6182</v>
      </c>
      <c r="F2618" s="10" t="s">
        <v>181</v>
      </c>
      <c r="G2618" s="10" t="s">
        <v>32</v>
      </c>
      <c r="H2618" s="7" t="s">
        <v>24</v>
      </c>
      <c r="I2618" s="7" t="s">
        <v>25</v>
      </c>
      <c r="J2618" s="13" t="str">
        <f>HYPERLINK("https://www.airitibooks.com/Detail/Detail?PublicationID=P20171103734", "https://www.airitibooks.com/Detail/Detail?PublicationID=P20171103734")</f>
        <v>https://www.airitibooks.com/Detail/Detail?PublicationID=P20171103734</v>
      </c>
      <c r="K2618" s="13" t="str">
        <f>HYPERLINK("https://ntsu.idm.oclc.org/login?url=https://www.airitibooks.com/Detail/Detail?PublicationID=P20171103734", "https://ntsu.idm.oclc.org/login?url=https://www.airitibooks.com/Detail/Detail?PublicationID=P20171103734")</f>
        <v>https://ntsu.idm.oclc.org/login?url=https://www.airitibooks.com/Detail/Detail?PublicationID=P20171103734</v>
      </c>
    </row>
    <row r="2619" spans="1:11" ht="51" x14ac:dyDescent="0.4">
      <c r="A2619" s="10" t="s">
        <v>7611</v>
      </c>
      <c r="B2619" s="10" t="s">
        <v>7612</v>
      </c>
      <c r="C2619" s="10" t="s">
        <v>7164</v>
      </c>
      <c r="D2619" s="10" t="s">
        <v>7588</v>
      </c>
      <c r="E2619" s="10" t="s">
        <v>6182</v>
      </c>
      <c r="F2619" s="10" t="s">
        <v>2937</v>
      </c>
      <c r="G2619" s="10" t="s">
        <v>32</v>
      </c>
      <c r="H2619" s="7" t="s">
        <v>24</v>
      </c>
      <c r="I2619" s="7" t="s">
        <v>25</v>
      </c>
      <c r="J2619" s="13" t="str">
        <f>HYPERLINK("https://www.airitibooks.com/Detail/Detail?PublicationID=P20171103737", "https://www.airitibooks.com/Detail/Detail?PublicationID=P20171103737")</f>
        <v>https://www.airitibooks.com/Detail/Detail?PublicationID=P20171103737</v>
      </c>
      <c r="K2619" s="13" t="str">
        <f>HYPERLINK("https://ntsu.idm.oclc.org/login?url=https://www.airitibooks.com/Detail/Detail?PublicationID=P20171103737", "https://ntsu.idm.oclc.org/login?url=https://www.airitibooks.com/Detail/Detail?PublicationID=P20171103737")</f>
        <v>https://ntsu.idm.oclc.org/login?url=https://www.airitibooks.com/Detail/Detail?PublicationID=P20171103737</v>
      </c>
    </row>
    <row r="2620" spans="1:11" ht="51" x14ac:dyDescent="0.4">
      <c r="A2620" s="10" t="s">
        <v>7613</v>
      </c>
      <c r="B2620" s="10" t="s">
        <v>7614</v>
      </c>
      <c r="C2620" s="10" t="s">
        <v>7164</v>
      </c>
      <c r="D2620" s="10" t="s">
        <v>7588</v>
      </c>
      <c r="E2620" s="10" t="s">
        <v>6182</v>
      </c>
      <c r="F2620" s="10" t="s">
        <v>181</v>
      </c>
      <c r="G2620" s="10" t="s">
        <v>32</v>
      </c>
      <c r="H2620" s="7" t="s">
        <v>24</v>
      </c>
      <c r="I2620" s="7" t="s">
        <v>25</v>
      </c>
      <c r="J2620" s="13" t="str">
        <f>HYPERLINK("https://www.airitibooks.com/Detail/Detail?PublicationID=P20171103741", "https://www.airitibooks.com/Detail/Detail?PublicationID=P20171103741")</f>
        <v>https://www.airitibooks.com/Detail/Detail?PublicationID=P20171103741</v>
      </c>
      <c r="K2620" s="13" t="str">
        <f>HYPERLINK("https://ntsu.idm.oclc.org/login?url=https://www.airitibooks.com/Detail/Detail?PublicationID=P20171103741", "https://ntsu.idm.oclc.org/login?url=https://www.airitibooks.com/Detail/Detail?PublicationID=P20171103741")</f>
        <v>https://ntsu.idm.oclc.org/login?url=https://www.airitibooks.com/Detail/Detail?PublicationID=P20171103741</v>
      </c>
    </row>
    <row r="2621" spans="1:11" ht="51" x14ac:dyDescent="0.4">
      <c r="A2621" s="10" t="s">
        <v>7615</v>
      </c>
      <c r="B2621" s="10" t="s">
        <v>7616</v>
      </c>
      <c r="C2621" s="10" t="s">
        <v>7164</v>
      </c>
      <c r="D2621" s="10" t="s">
        <v>7588</v>
      </c>
      <c r="E2621" s="10" t="s">
        <v>6182</v>
      </c>
      <c r="F2621" s="10" t="s">
        <v>181</v>
      </c>
      <c r="G2621" s="10" t="s">
        <v>32</v>
      </c>
      <c r="H2621" s="7" t="s">
        <v>24</v>
      </c>
      <c r="I2621" s="7" t="s">
        <v>25</v>
      </c>
      <c r="J2621" s="13" t="str">
        <f>HYPERLINK("https://www.airitibooks.com/Detail/Detail?PublicationID=P20171103742", "https://www.airitibooks.com/Detail/Detail?PublicationID=P20171103742")</f>
        <v>https://www.airitibooks.com/Detail/Detail?PublicationID=P20171103742</v>
      </c>
      <c r="K2621" s="13" t="str">
        <f>HYPERLINK("https://ntsu.idm.oclc.org/login?url=https://www.airitibooks.com/Detail/Detail?PublicationID=P20171103742", "https://ntsu.idm.oclc.org/login?url=https://www.airitibooks.com/Detail/Detail?PublicationID=P20171103742")</f>
        <v>https://ntsu.idm.oclc.org/login?url=https://www.airitibooks.com/Detail/Detail?PublicationID=P20171103742</v>
      </c>
    </row>
    <row r="2622" spans="1:11" ht="51" x14ac:dyDescent="0.4">
      <c r="A2622" s="10" t="s">
        <v>7617</v>
      </c>
      <c r="B2622" s="10" t="s">
        <v>7618</v>
      </c>
      <c r="C2622" s="10" t="s">
        <v>7164</v>
      </c>
      <c r="D2622" s="10" t="s">
        <v>7588</v>
      </c>
      <c r="E2622" s="10" t="s">
        <v>6182</v>
      </c>
      <c r="F2622" s="10" t="s">
        <v>181</v>
      </c>
      <c r="G2622" s="10" t="s">
        <v>32</v>
      </c>
      <c r="H2622" s="7" t="s">
        <v>24</v>
      </c>
      <c r="I2622" s="7" t="s">
        <v>25</v>
      </c>
      <c r="J2622" s="13" t="str">
        <f>HYPERLINK("https://www.airitibooks.com/Detail/Detail?PublicationID=P20171103743", "https://www.airitibooks.com/Detail/Detail?PublicationID=P20171103743")</f>
        <v>https://www.airitibooks.com/Detail/Detail?PublicationID=P20171103743</v>
      </c>
      <c r="K2622" s="13" t="str">
        <f>HYPERLINK("https://ntsu.idm.oclc.org/login?url=https://www.airitibooks.com/Detail/Detail?PublicationID=P20171103743", "https://ntsu.idm.oclc.org/login?url=https://www.airitibooks.com/Detail/Detail?PublicationID=P20171103743")</f>
        <v>https://ntsu.idm.oclc.org/login?url=https://www.airitibooks.com/Detail/Detail?PublicationID=P20171103743</v>
      </c>
    </row>
    <row r="2623" spans="1:11" ht="51" x14ac:dyDescent="0.4">
      <c r="A2623" s="10" t="s">
        <v>7619</v>
      </c>
      <c r="B2623" s="10" t="s">
        <v>7620</v>
      </c>
      <c r="C2623" s="10" t="s">
        <v>7164</v>
      </c>
      <c r="D2623" s="10" t="s">
        <v>7588</v>
      </c>
      <c r="E2623" s="10" t="s">
        <v>6182</v>
      </c>
      <c r="F2623" s="10" t="s">
        <v>181</v>
      </c>
      <c r="G2623" s="10" t="s">
        <v>32</v>
      </c>
      <c r="H2623" s="7" t="s">
        <v>24</v>
      </c>
      <c r="I2623" s="7" t="s">
        <v>25</v>
      </c>
      <c r="J2623" s="13" t="str">
        <f>HYPERLINK("https://www.airitibooks.com/Detail/Detail?PublicationID=P20171103744", "https://www.airitibooks.com/Detail/Detail?PublicationID=P20171103744")</f>
        <v>https://www.airitibooks.com/Detail/Detail?PublicationID=P20171103744</v>
      </c>
      <c r="K2623" s="13" t="str">
        <f>HYPERLINK("https://ntsu.idm.oclc.org/login?url=https://www.airitibooks.com/Detail/Detail?PublicationID=P20171103744", "https://ntsu.idm.oclc.org/login?url=https://www.airitibooks.com/Detail/Detail?PublicationID=P20171103744")</f>
        <v>https://ntsu.idm.oclc.org/login?url=https://www.airitibooks.com/Detail/Detail?PublicationID=P20171103744</v>
      </c>
    </row>
    <row r="2624" spans="1:11" ht="51" x14ac:dyDescent="0.4">
      <c r="A2624" s="10" t="s">
        <v>7632</v>
      </c>
      <c r="B2624" s="10" t="s">
        <v>7633</v>
      </c>
      <c r="C2624" s="10" t="s">
        <v>7164</v>
      </c>
      <c r="D2624" s="10" t="s">
        <v>7634</v>
      </c>
      <c r="E2624" s="10" t="s">
        <v>6182</v>
      </c>
      <c r="F2624" s="10" t="s">
        <v>5742</v>
      </c>
      <c r="G2624" s="10" t="s">
        <v>32</v>
      </c>
      <c r="H2624" s="7" t="s">
        <v>24</v>
      </c>
      <c r="I2624" s="7" t="s">
        <v>25</v>
      </c>
      <c r="J2624" s="13" t="str">
        <f>HYPERLINK("https://www.airitibooks.com/Detail/Detail?PublicationID=P20171103779", "https://www.airitibooks.com/Detail/Detail?PublicationID=P20171103779")</f>
        <v>https://www.airitibooks.com/Detail/Detail?PublicationID=P20171103779</v>
      </c>
      <c r="K2624" s="13" t="str">
        <f>HYPERLINK("https://ntsu.idm.oclc.org/login?url=https://www.airitibooks.com/Detail/Detail?PublicationID=P20171103779", "https://ntsu.idm.oclc.org/login?url=https://www.airitibooks.com/Detail/Detail?PublicationID=P20171103779")</f>
        <v>https://ntsu.idm.oclc.org/login?url=https://www.airitibooks.com/Detail/Detail?PublicationID=P20171103779</v>
      </c>
    </row>
    <row r="2625" spans="1:11" ht="51" x14ac:dyDescent="0.4">
      <c r="A2625" s="10" t="s">
        <v>7635</v>
      </c>
      <c r="B2625" s="10" t="s">
        <v>7636</v>
      </c>
      <c r="C2625" s="10" t="s">
        <v>7164</v>
      </c>
      <c r="D2625" s="10" t="s">
        <v>7554</v>
      </c>
      <c r="E2625" s="10" t="s">
        <v>6182</v>
      </c>
      <c r="F2625" s="10" t="s">
        <v>1535</v>
      </c>
      <c r="G2625" s="10" t="s">
        <v>32</v>
      </c>
      <c r="H2625" s="7" t="s">
        <v>24</v>
      </c>
      <c r="I2625" s="7" t="s">
        <v>25</v>
      </c>
      <c r="J2625" s="13" t="str">
        <f>HYPERLINK("https://www.airitibooks.com/Detail/Detail?PublicationID=P20171103791", "https://www.airitibooks.com/Detail/Detail?PublicationID=P20171103791")</f>
        <v>https://www.airitibooks.com/Detail/Detail?PublicationID=P20171103791</v>
      </c>
      <c r="K2625" s="13" t="str">
        <f>HYPERLINK("https://ntsu.idm.oclc.org/login?url=https://www.airitibooks.com/Detail/Detail?PublicationID=P20171103791", "https://ntsu.idm.oclc.org/login?url=https://www.airitibooks.com/Detail/Detail?PublicationID=P20171103791")</f>
        <v>https://ntsu.idm.oclc.org/login?url=https://www.airitibooks.com/Detail/Detail?PublicationID=P20171103791</v>
      </c>
    </row>
    <row r="2626" spans="1:11" ht="51" x14ac:dyDescent="0.4">
      <c r="A2626" s="10" t="s">
        <v>7643</v>
      </c>
      <c r="B2626" s="10" t="s">
        <v>7644</v>
      </c>
      <c r="C2626" s="10" t="s">
        <v>7164</v>
      </c>
      <c r="D2626" s="10" t="s">
        <v>7573</v>
      </c>
      <c r="E2626" s="10" t="s">
        <v>6182</v>
      </c>
      <c r="F2626" s="10" t="s">
        <v>181</v>
      </c>
      <c r="G2626" s="10" t="s">
        <v>32</v>
      </c>
      <c r="H2626" s="7" t="s">
        <v>24</v>
      </c>
      <c r="I2626" s="7" t="s">
        <v>25</v>
      </c>
      <c r="J2626" s="13" t="str">
        <f>HYPERLINK("https://www.airitibooks.com/Detail/Detail?PublicationID=P20171103801", "https://www.airitibooks.com/Detail/Detail?PublicationID=P20171103801")</f>
        <v>https://www.airitibooks.com/Detail/Detail?PublicationID=P20171103801</v>
      </c>
      <c r="K2626" s="13" t="str">
        <f>HYPERLINK("https://ntsu.idm.oclc.org/login?url=https://www.airitibooks.com/Detail/Detail?PublicationID=P20171103801", "https://ntsu.idm.oclc.org/login?url=https://www.airitibooks.com/Detail/Detail?PublicationID=P20171103801")</f>
        <v>https://ntsu.idm.oclc.org/login?url=https://www.airitibooks.com/Detail/Detail?PublicationID=P20171103801</v>
      </c>
    </row>
    <row r="2627" spans="1:11" ht="51" x14ac:dyDescent="0.4">
      <c r="A2627" s="10" t="s">
        <v>7651</v>
      </c>
      <c r="B2627" s="10" t="s">
        <v>7652</v>
      </c>
      <c r="C2627" s="10" t="s">
        <v>7164</v>
      </c>
      <c r="D2627" s="10" t="s">
        <v>7653</v>
      </c>
      <c r="E2627" s="10" t="s">
        <v>6182</v>
      </c>
      <c r="F2627" s="10" t="s">
        <v>181</v>
      </c>
      <c r="G2627" s="10" t="s">
        <v>32</v>
      </c>
      <c r="H2627" s="7" t="s">
        <v>24</v>
      </c>
      <c r="I2627" s="7" t="s">
        <v>25</v>
      </c>
      <c r="J2627" s="13" t="str">
        <f>HYPERLINK("https://www.airitibooks.com/Detail/Detail?PublicationID=P20171103805", "https://www.airitibooks.com/Detail/Detail?PublicationID=P20171103805")</f>
        <v>https://www.airitibooks.com/Detail/Detail?PublicationID=P20171103805</v>
      </c>
      <c r="K2627" s="13" t="str">
        <f>HYPERLINK("https://ntsu.idm.oclc.org/login?url=https://www.airitibooks.com/Detail/Detail?PublicationID=P20171103805", "https://ntsu.idm.oclc.org/login?url=https://www.airitibooks.com/Detail/Detail?PublicationID=P20171103805")</f>
        <v>https://ntsu.idm.oclc.org/login?url=https://www.airitibooks.com/Detail/Detail?PublicationID=P20171103805</v>
      </c>
    </row>
    <row r="2628" spans="1:11" ht="51" x14ac:dyDescent="0.4">
      <c r="A2628" s="10" t="s">
        <v>7672</v>
      </c>
      <c r="B2628" s="10" t="s">
        <v>7673</v>
      </c>
      <c r="C2628" s="10" t="s">
        <v>7164</v>
      </c>
      <c r="D2628" s="10" t="s">
        <v>7661</v>
      </c>
      <c r="E2628" s="10" t="s">
        <v>6182</v>
      </c>
      <c r="F2628" s="10" t="s">
        <v>181</v>
      </c>
      <c r="G2628" s="10" t="s">
        <v>32</v>
      </c>
      <c r="H2628" s="7" t="s">
        <v>24</v>
      </c>
      <c r="I2628" s="7" t="s">
        <v>25</v>
      </c>
      <c r="J2628" s="13" t="str">
        <f>HYPERLINK("https://www.airitibooks.com/Detail/Detail?PublicationID=P20171103841", "https://www.airitibooks.com/Detail/Detail?PublicationID=P20171103841")</f>
        <v>https://www.airitibooks.com/Detail/Detail?PublicationID=P20171103841</v>
      </c>
      <c r="K2628" s="13" t="str">
        <f>HYPERLINK("https://ntsu.idm.oclc.org/login?url=https://www.airitibooks.com/Detail/Detail?PublicationID=P20171103841", "https://ntsu.idm.oclc.org/login?url=https://www.airitibooks.com/Detail/Detail?PublicationID=P20171103841")</f>
        <v>https://ntsu.idm.oclc.org/login?url=https://www.airitibooks.com/Detail/Detail?PublicationID=P20171103841</v>
      </c>
    </row>
    <row r="2629" spans="1:11" ht="51" x14ac:dyDescent="0.4">
      <c r="A2629" s="10" t="s">
        <v>7684</v>
      </c>
      <c r="B2629" s="10" t="s">
        <v>7685</v>
      </c>
      <c r="C2629" s="10" t="s">
        <v>7164</v>
      </c>
      <c r="D2629" s="10" t="s">
        <v>7661</v>
      </c>
      <c r="E2629" s="10" t="s">
        <v>6182</v>
      </c>
      <c r="F2629" s="10" t="s">
        <v>575</v>
      </c>
      <c r="G2629" s="10" t="s">
        <v>32</v>
      </c>
      <c r="H2629" s="7" t="s">
        <v>24</v>
      </c>
      <c r="I2629" s="7" t="s">
        <v>25</v>
      </c>
      <c r="J2629" s="13" t="str">
        <f>HYPERLINK("https://www.airitibooks.com/Detail/Detail?PublicationID=P20171103859", "https://www.airitibooks.com/Detail/Detail?PublicationID=P20171103859")</f>
        <v>https://www.airitibooks.com/Detail/Detail?PublicationID=P20171103859</v>
      </c>
      <c r="K2629" s="13" t="str">
        <f>HYPERLINK("https://ntsu.idm.oclc.org/login?url=https://www.airitibooks.com/Detail/Detail?PublicationID=P20171103859", "https://ntsu.idm.oclc.org/login?url=https://www.airitibooks.com/Detail/Detail?PublicationID=P20171103859")</f>
        <v>https://ntsu.idm.oclc.org/login?url=https://www.airitibooks.com/Detail/Detail?PublicationID=P20171103859</v>
      </c>
    </row>
    <row r="2630" spans="1:11" ht="51" x14ac:dyDescent="0.4">
      <c r="A2630" s="10" t="s">
        <v>7707</v>
      </c>
      <c r="B2630" s="10" t="s">
        <v>7708</v>
      </c>
      <c r="C2630" s="10" t="s">
        <v>7164</v>
      </c>
      <c r="D2630" s="10" t="s">
        <v>7709</v>
      </c>
      <c r="E2630" s="10" t="s">
        <v>6182</v>
      </c>
      <c r="F2630" s="10" t="s">
        <v>469</v>
      </c>
      <c r="G2630" s="10" t="s">
        <v>32</v>
      </c>
      <c r="H2630" s="7" t="s">
        <v>24</v>
      </c>
      <c r="I2630" s="7" t="s">
        <v>25</v>
      </c>
      <c r="J2630" s="13" t="str">
        <f>HYPERLINK("https://www.airitibooks.com/Detail/Detail?PublicationID=P20171103885", "https://www.airitibooks.com/Detail/Detail?PublicationID=P20171103885")</f>
        <v>https://www.airitibooks.com/Detail/Detail?PublicationID=P20171103885</v>
      </c>
      <c r="K2630" s="13" t="str">
        <f>HYPERLINK("https://ntsu.idm.oclc.org/login?url=https://www.airitibooks.com/Detail/Detail?PublicationID=P20171103885", "https://ntsu.idm.oclc.org/login?url=https://www.airitibooks.com/Detail/Detail?PublicationID=P20171103885")</f>
        <v>https://ntsu.idm.oclc.org/login?url=https://www.airitibooks.com/Detail/Detail?PublicationID=P20171103885</v>
      </c>
    </row>
    <row r="2631" spans="1:11" ht="51" x14ac:dyDescent="0.4">
      <c r="A2631" s="10" t="s">
        <v>7713</v>
      </c>
      <c r="B2631" s="10" t="s">
        <v>7714</v>
      </c>
      <c r="C2631" s="10" t="s">
        <v>7164</v>
      </c>
      <c r="D2631" s="10" t="s">
        <v>7709</v>
      </c>
      <c r="E2631" s="10" t="s">
        <v>6182</v>
      </c>
      <c r="F2631" s="10" t="s">
        <v>469</v>
      </c>
      <c r="G2631" s="10" t="s">
        <v>32</v>
      </c>
      <c r="H2631" s="7" t="s">
        <v>24</v>
      </c>
      <c r="I2631" s="7" t="s">
        <v>25</v>
      </c>
      <c r="J2631" s="13" t="str">
        <f>HYPERLINK("https://www.airitibooks.com/Detail/Detail?PublicationID=P20171103889", "https://www.airitibooks.com/Detail/Detail?PublicationID=P20171103889")</f>
        <v>https://www.airitibooks.com/Detail/Detail?PublicationID=P20171103889</v>
      </c>
      <c r="K2631" s="13" t="str">
        <f>HYPERLINK("https://ntsu.idm.oclc.org/login?url=https://www.airitibooks.com/Detail/Detail?PublicationID=P20171103889", "https://ntsu.idm.oclc.org/login?url=https://www.airitibooks.com/Detail/Detail?PublicationID=P20171103889")</f>
        <v>https://ntsu.idm.oclc.org/login?url=https://www.airitibooks.com/Detail/Detail?PublicationID=P20171103889</v>
      </c>
    </row>
    <row r="2632" spans="1:11" ht="68" x14ac:dyDescent="0.4">
      <c r="A2632" s="10" t="s">
        <v>7738</v>
      </c>
      <c r="B2632" s="10" t="s">
        <v>7739</v>
      </c>
      <c r="C2632" s="10" t="s">
        <v>6298</v>
      </c>
      <c r="D2632" s="10" t="s">
        <v>7740</v>
      </c>
      <c r="E2632" s="10" t="s">
        <v>6182</v>
      </c>
      <c r="F2632" s="10" t="s">
        <v>1135</v>
      </c>
      <c r="G2632" s="10" t="s">
        <v>32</v>
      </c>
      <c r="H2632" s="7" t="s">
        <v>24</v>
      </c>
      <c r="I2632" s="7" t="s">
        <v>25</v>
      </c>
      <c r="J2632" s="13" t="str">
        <f>HYPERLINK("https://www.airitibooks.com/Detail/Detail?PublicationID=P20171118141", "https://www.airitibooks.com/Detail/Detail?PublicationID=P20171118141")</f>
        <v>https://www.airitibooks.com/Detail/Detail?PublicationID=P20171118141</v>
      </c>
      <c r="K2632" s="13" t="str">
        <f>HYPERLINK("https://ntsu.idm.oclc.org/login?url=https://www.airitibooks.com/Detail/Detail?PublicationID=P20171118141", "https://ntsu.idm.oclc.org/login?url=https://www.airitibooks.com/Detail/Detail?PublicationID=P20171118141")</f>
        <v>https://ntsu.idm.oclc.org/login?url=https://www.airitibooks.com/Detail/Detail?PublicationID=P20171118141</v>
      </c>
    </row>
    <row r="2633" spans="1:11" ht="51" x14ac:dyDescent="0.4">
      <c r="A2633" s="10" t="s">
        <v>7786</v>
      </c>
      <c r="B2633" s="10" t="s">
        <v>7787</v>
      </c>
      <c r="C2633" s="10" t="s">
        <v>297</v>
      </c>
      <c r="D2633" s="10" t="s">
        <v>7788</v>
      </c>
      <c r="E2633" s="10" t="s">
        <v>6182</v>
      </c>
      <c r="F2633" s="10" t="s">
        <v>274</v>
      </c>
      <c r="G2633" s="10" t="s">
        <v>32</v>
      </c>
      <c r="H2633" s="7" t="s">
        <v>24</v>
      </c>
      <c r="I2633" s="7" t="s">
        <v>25</v>
      </c>
      <c r="J2633" s="13" t="str">
        <f>HYPERLINK("https://www.airitibooks.com/Detail/Detail?PublicationID=P20171127057", "https://www.airitibooks.com/Detail/Detail?PublicationID=P20171127057")</f>
        <v>https://www.airitibooks.com/Detail/Detail?PublicationID=P20171127057</v>
      </c>
      <c r="K2633" s="13" t="str">
        <f>HYPERLINK("https://ntsu.idm.oclc.org/login?url=https://www.airitibooks.com/Detail/Detail?PublicationID=P20171127057", "https://ntsu.idm.oclc.org/login?url=https://www.airitibooks.com/Detail/Detail?PublicationID=P20171127057")</f>
        <v>https://ntsu.idm.oclc.org/login?url=https://www.airitibooks.com/Detail/Detail?PublicationID=P20171127057</v>
      </c>
    </row>
    <row r="2634" spans="1:11" ht="51" x14ac:dyDescent="0.4">
      <c r="A2634" s="10" t="s">
        <v>7789</v>
      </c>
      <c r="B2634" s="10" t="s">
        <v>7790</v>
      </c>
      <c r="C2634" s="10" t="s">
        <v>297</v>
      </c>
      <c r="D2634" s="10" t="s">
        <v>7791</v>
      </c>
      <c r="E2634" s="10" t="s">
        <v>6182</v>
      </c>
      <c r="F2634" s="10" t="s">
        <v>274</v>
      </c>
      <c r="G2634" s="10" t="s">
        <v>32</v>
      </c>
      <c r="H2634" s="7" t="s">
        <v>24</v>
      </c>
      <c r="I2634" s="7" t="s">
        <v>25</v>
      </c>
      <c r="J2634" s="13" t="str">
        <f>HYPERLINK("https://www.airitibooks.com/Detail/Detail?PublicationID=P20171127058", "https://www.airitibooks.com/Detail/Detail?PublicationID=P20171127058")</f>
        <v>https://www.airitibooks.com/Detail/Detail?PublicationID=P20171127058</v>
      </c>
      <c r="K2634" s="13" t="str">
        <f>HYPERLINK("https://ntsu.idm.oclc.org/login?url=https://www.airitibooks.com/Detail/Detail?PublicationID=P20171127058", "https://ntsu.idm.oclc.org/login?url=https://www.airitibooks.com/Detail/Detail?PublicationID=P20171127058")</f>
        <v>https://ntsu.idm.oclc.org/login?url=https://www.airitibooks.com/Detail/Detail?PublicationID=P20171127058</v>
      </c>
    </row>
    <row r="2635" spans="1:11" ht="51" x14ac:dyDescent="0.4">
      <c r="A2635" s="10" t="s">
        <v>7792</v>
      </c>
      <c r="B2635" s="10" t="s">
        <v>7793</v>
      </c>
      <c r="C2635" s="10" t="s">
        <v>297</v>
      </c>
      <c r="D2635" s="10" t="s">
        <v>7794</v>
      </c>
      <c r="E2635" s="10" t="s">
        <v>6182</v>
      </c>
      <c r="F2635" s="10" t="s">
        <v>158</v>
      </c>
      <c r="G2635" s="10" t="s">
        <v>32</v>
      </c>
      <c r="H2635" s="7" t="s">
        <v>24</v>
      </c>
      <c r="I2635" s="7" t="s">
        <v>25</v>
      </c>
      <c r="J2635" s="13" t="str">
        <f>HYPERLINK("https://www.airitibooks.com/Detail/Detail?PublicationID=P20171127059", "https://www.airitibooks.com/Detail/Detail?PublicationID=P20171127059")</f>
        <v>https://www.airitibooks.com/Detail/Detail?PublicationID=P20171127059</v>
      </c>
      <c r="K2635" s="13" t="str">
        <f>HYPERLINK("https://ntsu.idm.oclc.org/login?url=https://www.airitibooks.com/Detail/Detail?PublicationID=P20171127059", "https://ntsu.idm.oclc.org/login?url=https://www.airitibooks.com/Detail/Detail?PublicationID=P20171127059")</f>
        <v>https://ntsu.idm.oclc.org/login?url=https://www.airitibooks.com/Detail/Detail?PublicationID=P20171127059</v>
      </c>
    </row>
    <row r="2636" spans="1:11" ht="85" x14ac:dyDescent="0.4">
      <c r="A2636" s="10" t="s">
        <v>8007</v>
      </c>
      <c r="B2636" s="10" t="s">
        <v>8008</v>
      </c>
      <c r="C2636" s="10" t="s">
        <v>791</v>
      </c>
      <c r="D2636" s="10" t="s">
        <v>8009</v>
      </c>
      <c r="E2636" s="10" t="s">
        <v>6182</v>
      </c>
      <c r="F2636" s="10" t="s">
        <v>1005</v>
      </c>
      <c r="G2636" s="10" t="s">
        <v>32</v>
      </c>
      <c r="H2636" s="7" t="s">
        <v>24</v>
      </c>
      <c r="I2636" s="7" t="s">
        <v>25</v>
      </c>
      <c r="J2636" s="13" t="str">
        <f>HYPERLINK("https://www.airitibooks.com/Detail/Detail?PublicationID=P20171130032", "https://www.airitibooks.com/Detail/Detail?PublicationID=P20171130032")</f>
        <v>https://www.airitibooks.com/Detail/Detail?PublicationID=P20171130032</v>
      </c>
      <c r="K2636" s="13" t="str">
        <f>HYPERLINK("https://ntsu.idm.oclc.org/login?url=https://www.airitibooks.com/Detail/Detail?PublicationID=P20171130032", "https://ntsu.idm.oclc.org/login?url=https://www.airitibooks.com/Detail/Detail?PublicationID=P20171130032")</f>
        <v>https://ntsu.idm.oclc.org/login?url=https://www.airitibooks.com/Detail/Detail?PublicationID=P20171130032</v>
      </c>
    </row>
    <row r="2637" spans="1:11" ht="51" x14ac:dyDescent="0.4">
      <c r="A2637" s="10" t="s">
        <v>8018</v>
      </c>
      <c r="B2637" s="10" t="s">
        <v>8019</v>
      </c>
      <c r="C2637" s="10" t="s">
        <v>746</v>
      </c>
      <c r="D2637" s="10" t="s">
        <v>6509</v>
      </c>
      <c r="E2637" s="10" t="s">
        <v>6182</v>
      </c>
      <c r="F2637" s="10" t="s">
        <v>8020</v>
      </c>
      <c r="G2637" s="10" t="s">
        <v>32</v>
      </c>
      <c r="H2637" s="7" t="s">
        <v>24</v>
      </c>
      <c r="I2637" s="7" t="s">
        <v>25</v>
      </c>
      <c r="J2637" s="13" t="str">
        <f>HYPERLINK("https://www.airitibooks.com/Detail/Detail?PublicationID=P20171130043", "https://www.airitibooks.com/Detail/Detail?PublicationID=P20171130043")</f>
        <v>https://www.airitibooks.com/Detail/Detail?PublicationID=P20171130043</v>
      </c>
      <c r="K2637" s="13" t="str">
        <f>HYPERLINK("https://ntsu.idm.oclc.org/login?url=https://www.airitibooks.com/Detail/Detail?PublicationID=P20171130043", "https://ntsu.idm.oclc.org/login?url=https://www.airitibooks.com/Detail/Detail?PublicationID=P20171130043")</f>
        <v>https://ntsu.idm.oclc.org/login?url=https://www.airitibooks.com/Detail/Detail?PublicationID=P20171130043</v>
      </c>
    </row>
    <row r="2638" spans="1:11" ht="68" x14ac:dyDescent="0.4">
      <c r="A2638" s="10" t="s">
        <v>8034</v>
      </c>
      <c r="B2638" s="10" t="s">
        <v>8035</v>
      </c>
      <c r="C2638" s="10" t="s">
        <v>4616</v>
      </c>
      <c r="D2638" s="10" t="s">
        <v>8036</v>
      </c>
      <c r="E2638" s="10" t="s">
        <v>6182</v>
      </c>
      <c r="F2638" s="10" t="s">
        <v>1135</v>
      </c>
      <c r="G2638" s="10" t="s">
        <v>32</v>
      </c>
      <c r="H2638" s="7" t="s">
        <v>24</v>
      </c>
      <c r="I2638" s="7" t="s">
        <v>25</v>
      </c>
      <c r="J2638" s="13" t="str">
        <f>HYPERLINK("https://www.airitibooks.com/Detail/Detail?PublicationID=P20171130109", "https://www.airitibooks.com/Detail/Detail?PublicationID=P20171130109")</f>
        <v>https://www.airitibooks.com/Detail/Detail?PublicationID=P20171130109</v>
      </c>
      <c r="K2638" s="13" t="str">
        <f>HYPERLINK("https://ntsu.idm.oclc.org/login?url=https://www.airitibooks.com/Detail/Detail?PublicationID=P20171130109", "https://ntsu.idm.oclc.org/login?url=https://www.airitibooks.com/Detail/Detail?PublicationID=P20171130109")</f>
        <v>https://ntsu.idm.oclc.org/login?url=https://www.airitibooks.com/Detail/Detail?PublicationID=P20171130109</v>
      </c>
    </row>
    <row r="2639" spans="1:11" ht="85" x14ac:dyDescent="0.4">
      <c r="A2639" s="10" t="s">
        <v>8055</v>
      </c>
      <c r="B2639" s="10" t="s">
        <v>8056</v>
      </c>
      <c r="C2639" s="10" t="s">
        <v>791</v>
      </c>
      <c r="D2639" s="10" t="s">
        <v>8057</v>
      </c>
      <c r="E2639" s="10" t="s">
        <v>6182</v>
      </c>
      <c r="F2639" s="10" t="s">
        <v>8058</v>
      </c>
      <c r="G2639" s="10" t="s">
        <v>32</v>
      </c>
      <c r="H2639" s="7" t="s">
        <v>24</v>
      </c>
      <c r="I2639" s="7" t="s">
        <v>25</v>
      </c>
      <c r="J2639" s="13" t="str">
        <f>HYPERLINK("https://www.airitibooks.com/Detail/Detail?PublicationID=P20171130149", "https://www.airitibooks.com/Detail/Detail?PublicationID=P20171130149")</f>
        <v>https://www.airitibooks.com/Detail/Detail?PublicationID=P20171130149</v>
      </c>
      <c r="K2639" s="13" t="str">
        <f>HYPERLINK("https://ntsu.idm.oclc.org/login?url=https://www.airitibooks.com/Detail/Detail?PublicationID=P20171130149", "https://ntsu.idm.oclc.org/login?url=https://www.airitibooks.com/Detail/Detail?PublicationID=P20171130149")</f>
        <v>https://ntsu.idm.oclc.org/login?url=https://www.airitibooks.com/Detail/Detail?PublicationID=P20171130149</v>
      </c>
    </row>
    <row r="2640" spans="1:11" ht="51" x14ac:dyDescent="0.4">
      <c r="A2640" s="10" t="s">
        <v>8066</v>
      </c>
      <c r="B2640" s="10" t="s">
        <v>8067</v>
      </c>
      <c r="C2640" s="10" t="s">
        <v>7051</v>
      </c>
      <c r="D2640" s="10" t="s">
        <v>8068</v>
      </c>
      <c r="E2640" s="10" t="s">
        <v>6182</v>
      </c>
      <c r="F2640" s="10" t="s">
        <v>7028</v>
      </c>
      <c r="G2640" s="10" t="s">
        <v>32</v>
      </c>
      <c r="H2640" s="7" t="s">
        <v>24</v>
      </c>
      <c r="I2640" s="7" t="s">
        <v>25</v>
      </c>
      <c r="J2640" s="13" t="str">
        <f>HYPERLINK("https://www.airitibooks.com/Detail/Detail?PublicationID=P20171213013", "https://www.airitibooks.com/Detail/Detail?PublicationID=P20171213013")</f>
        <v>https://www.airitibooks.com/Detail/Detail?PublicationID=P20171213013</v>
      </c>
      <c r="K2640" s="13" t="str">
        <f>HYPERLINK("https://ntsu.idm.oclc.org/login?url=https://www.airitibooks.com/Detail/Detail?PublicationID=P20171213013", "https://ntsu.idm.oclc.org/login?url=https://www.airitibooks.com/Detail/Detail?PublicationID=P20171213013")</f>
        <v>https://ntsu.idm.oclc.org/login?url=https://www.airitibooks.com/Detail/Detail?PublicationID=P20171213013</v>
      </c>
    </row>
    <row r="2641" spans="1:11" ht="51" x14ac:dyDescent="0.4">
      <c r="A2641" s="10" t="s">
        <v>8069</v>
      </c>
      <c r="B2641" s="10" t="s">
        <v>8070</v>
      </c>
      <c r="C2641" s="10" t="s">
        <v>2367</v>
      </c>
      <c r="D2641" s="10" t="s">
        <v>6135</v>
      </c>
      <c r="E2641" s="10" t="s">
        <v>6182</v>
      </c>
      <c r="F2641" s="10" t="s">
        <v>1535</v>
      </c>
      <c r="G2641" s="10" t="s">
        <v>32</v>
      </c>
      <c r="H2641" s="7" t="s">
        <v>24</v>
      </c>
      <c r="I2641" s="7" t="s">
        <v>25</v>
      </c>
      <c r="J2641" s="13" t="str">
        <f>HYPERLINK("https://www.airitibooks.com/Detail/Detail?PublicationID=P20171213015", "https://www.airitibooks.com/Detail/Detail?PublicationID=P20171213015")</f>
        <v>https://www.airitibooks.com/Detail/Detail?PublicationID=P20171213015</v>
      </c>
      <c r="K2641" s="13" t="str">
        <f>HYPERLINK("https://ntsu.idm.oclc.org/login?url=https://www.airitibooks.com/Detail/Detail?PublicationID=P20171213015", "https://ntsu.idm.oclc.org/login?url=https://www.airitibooks.com/Detail/Detail?PublicationID=P20171213015")</f>
        <v>https://ntsu.idm.oclc.org/login?url=https://www.airitibooks.com/Detail/Detail?PublicationID=P20171213015</v>
      </c>
    </row>
    <row r="2642" spans="1:11" ht="51" x14ac:dyDescent="0.4">
      <c r="A2642" s="10" t="s">
        <v>8071</v>
      </c>
      <c r="B2642" s="10" t="s">
        <v>8072</v>
      </c>
      <c r="C2642" s="10" t="s">
        <v>2367</v>
      </c>
      <c r="D2642" s="10" t="s">
        <v>2368</v>
      </c>
      <c r="E2642" s="10" t="s">
        <v>6182</v>
      </c>
      <c r="F2642" s="10" t="s">
        <v>2628</v>
      </c>
      <c r="G2642" s="10" t="s">
        <v>32</v>
      </c>
      <c r="H2642" s="7" t="s">
        <v>24</v>
      </c>
      <c r="I2642" s="7" t="s">
        <v>25</v>
      </c>
      <c r="J2642" s="13" t="str">
        <f>HYPERLINK("https://www.airitibooks.com/Detail/Detail?PublicationID=P20171213020", "https://www.airitibooks.com/Detail/Detail?PublicationID=P20171213020")</f>
        <v>https://www.airitibooks.com/Detail/Detail?PublicationID=P20171213020</v>
      </c>
      <c r="K2642" s="13" t="str">
        <f>HYPERLINK("https://ntsu.idm.oclc.org/login?url=https://www.airitibooks.com/Detail/Detail?PublicationID=P20171213020", "https://ntsu.idm.oclc.org/login?url=https://www.airitibooks.com/Detail/Detail?PublicationID=P20171213020")</f>
        <v>https://ntsu.idm.oclc.org/login?url=https://www.airitibooks.com/Detail/Detail?PublicationID=P20171213020</v>
      </c>
    </row>
    <row r="2643" spans="1:11" ht="51" x14ac:dyDescent="0.4">
      <c r="A2643" s="10" t="s">
        <v>8073</v>
      </c>
      <c r="B2643" s="10" t="s">
        <v>8074</v>
      </c>
      <c r="C2643" s="10" t="s">
        <v>7051</v>
      </c>
      <c r="D2643" s="10" t="s">
        <v>3635</v>
      </c>
      <c r="E2643" s="10" t="s">
        <v>6182</v>
      </c>
      <c r="F2643" s="10" t="s">
        <v>2628</v>
      </c>
      <c r="G2643" s="10" t="s">
        <v>32</v>
      </c>
      <c r="H2643" s="7" t="s">
        <v>24</v>
      </c>
      <c r="I2643" s="7" t="s">
        <v>25</v>
      </c>
      <c r="J2643" s="13" t="str">
        <f>HYPERLINK("https://www.airitibooks.com/Detail/Detail?PublicationID=P20171213022", "https://www.airitibooks.com/Detail/Detail?PublicationID=P20171213022")</f>
        <v>https://www.airitibooks.com/Detail/Detail?PublicationID=P20171213022</v>
      </c>
      <c r="K2643" s="13" t="str">
        <f>HYPERLINK("https://ntsu.idm.oclc.org/login?url=https://www.airitibooks.com/Detail/Detail?PublicationID=P20171213022", "https://ntsu.idm.oclc.org/login?url=https://www.airitibooks.com/Detail/Detail?PublicationID=P20171213022")</f>
        <v>https://ntsu.idm.oclc.org/login?url=https://www.airitibooks.com/Detail/Detail?PublicationID=P20171213022</v>
      </c>
    </row>
    <row r="2644" spans="1:11" ht="85" x14ac:dyDescent="0.4">
      <c r="A2644" s="10" t="s">
        <v>8107</v>
      </c>
      <c r="B2644" s="10" t="s">
        <v>8108</v>
      </c>
      <c r="C2644" s="10" t="s">
        <v>108</v>
      </c>
      <c r="D2644" s="10" t="s">
        <v>8109</v>
      </c>
      <c r="E2644" s="10" t="s">
        <v>6182</v>
      </c>
      <c r="F2644" s="10" t="s">
        <v>2121</v>
      </c>
      <c r="G2644" s="10" t="s">
        <v>32</v>
      </c>
      <c r="H2644" s="7" t="s">
        <v>24</v>
      </c>
      <c r="I2644" s="7" t="s">
        <v>25</v>
      </c>
      <c r="J2644" s="13" t="str">
        <f>HYPERLINK("https://www.airitibooks.com/Detail/Detail?PublicationID=P20171221005", "https://www.airitibooks.com/Detail/Detail?PublicationID=P20171221005")</f>
        <v>https://www.airitibooks.com/Detail/Detail?PublicationID=P20171221005</v>
      </c>
      <c r="K2644" s="13" t="str">
        <f>HYPERLINK("https://ntsu.idm.oclc.org/login?url=https://www.airitibooks.com/Detail/Detail?PublicationID=P20171221005", "https://ntsu.idm.oclc.org/login?url=https://www.airitibooks.com/Detail/Detail?PublicationID=P20171221005")</f>
        <v>https://ntsu.idm.oclc.org/login?url=https://www.airitibooks.com/Detail/Detail?PublicationID=P20171221005</v>
      </c>
    </row>
    <row r="2645" spans="1:11" ht="51" x14ac:dyDescent="0.4">
      <c r="A2645" s="10" t="s">
        <v>8129</v>
      </c>
      <c r="B2645" s="10" t="s">
        <v>8130</v>
      </c>
      <c r="C2645" s="10" t="s">
        <v>1484</v>
      </c>
      <c r="D2645" s="10" t="s">
        <v>8131</v>
      </c>
      <c r="E2645" s="10" t="s">
        <v>6182</v>
      </c>
      <c r="F2645" s="10" t="s">
        <v>8132</v>
      </c>
      <c r="G2645" s="10" t="s">
        <v>32</v>
      </c>
      <c r="H2645" s="7" t="s">
        <v>24</v>
      </c>
      <c r="I2645" s="7" t="s">
        <v>25</v>
      </c>
      <c r="J2645" s="13" t="str">
        <f>HYPERLINK("https://www.airitibooks.com/Detail/Detail?PublicationID=P20171225001", "https://www.airitibooks.com/Detail/Detail?PublicationID=P20171225001")</f>
        <v>https://www.airitibooks.com/Detail/Detail?PublicationID=P20171225001</v>
      </c>
      <c r="K2645" s="13" t="str">
        <f>HYPERLINK("https://ntsu.idm.oclc.org/login?url=https://www.airitibooks.com/Detail/Detail?PublicationID=P20171225001", "https://ntsu.idm.oclc.org/login?url=https://www.airitibooks.com/Detail/Detail?PublicationID=P20171225001")</f>
        <v>https://ntsu.idm.oclc.org/login?url=https://www.airitibooks.com/Detail/Detail?PublicationID=P20171225001</v>
      </c>
    </row>
    <row r="2646" spans="1:11" ht="85" x14ac:dyDescent="0.4">
      <c r="A2646" s="10" t="s">
        <v>8141</v>
      </c>
      <c r="B2646" s="10" t="s">
        <v>8142</v>
      </c>
      <c r="C2646" s="10" t="s">
        <v>791</v>
      </c>
      <c r="D2646" s="10" t="s">
        <v>8143</v>
      </c>
      <c r="E2646" s="10" t="s">
        <v>6182</v>
      </c>
      <c r="F2646" s="10" t="s">
        <v>149</v>
      </c>
      <c r="G2646" s="10" t="s">
        <v>32</v>
      </c>
      <c r="H2646" s="7" t="s">
        <v>24</v>
      </c>
      <c r="I2646" s="7" t="s">
        <v>25</v>
      </c>
      <c r="J2646" s="13" t="str">
        <f>HYPERLINK("https://www.airitibooks.com/Detail/Detail?PublicationID=P20171228006", "https://www.airitibooks.com/Detail/Detail?PublicationID=P20171228006")</f>
        <v>https://www.airitibooks.com/Detail/Detail?PublicationID=P20171228006</v>
      </c>
      <c r="K2646" s="13" t="str">
        <f>HYPERLINK("https://ntsu.idm.oclc.org/login?url=https://www.airitibooks.com/Detail/Detail?PublicationID=P20171228006", "https://ntsu.idm.oclc.org/login?url=https://www.airitibooks.com/Detail/Detail?PublicationID=P20171228006")</f>
        <v>https://ntsu.idm.oclc.org/login?url=https://www.airitibooks.com/Detail/Detail?PublicationID=P20171228006</v>
      </c>
    </row>
    <row r="2647" spans="1:11" ht="85" x14ac:dyDescent="0.4">
      <c r="A2647" s="10" t="s">
        <v>8150</v>
      </c>
      <c r="B2647" s="10" t="s">
        <v>8151</v>
      </c>
      <c r="C2647" s="10" t="s">
        <v>791</v>
      </c>
      <c r="D2647" s="10" t="s">
        <v>8152</v>
      </c>
      <c r="E2647" s="10" t="s">
        <v>6182</v>
      </c>
      <c r="F2647" s="10" t="s">
        <v>3188</v>
      </c>
      <c r="G2647" s="10" t="s">
        <v>32</v>
      </c>
      <c r="H2647" s="7" t="s">
        <v>24</v>
      </c>
      <c r="I2647" s="7" t="s">
        <v>25</v>
      </c>
      <c r="J2647" s="13" t="str">
        <f>HYPERLINK("https://www.airitibooks.com/Detail/Detail?PublicationID=P20171228011", "https://www.airitibooks.com/Detail/Detail?PublicationID=P20171228011")</f>
        <v>https://www.airitibooks.com/Detail/Detail?PublicationID=P20171228011</v>
      </c>
      <c r="K2647" s="13" t="str">
        <f>HYPERLINK("https://ntsu.idm.oclc.org/login?url=https://www.airitibooks.com/Detail/Detail?PublicationID=P20171228011", "https://ntsu.idm.oclc.org/login?url=https://www.airitibooks.com/Detail/Detail?PublicationID=P20171228011")</f>
        <v>https://ntsu.idm.oclc.org/login?url=https://www.airitibooks.com/Detail/Detail?PublicationID=P20171228011</v>
      </c>
    </row>
    <row r="2648" spans="1:11" ht="102" x14ac:dyDescent="0.4">
      <c r="A2648" s="10" t="s">
        <v>8153</v>
      </c>
      <c r="B2648" s="10" t="s">
        <v>8154</v>
      </c>
      <c r="C2648" s="10" t="s">
        <v>791</v>
      </c>
      <c r="D2648" s="10" t="s">
        <v>8155</v>
      </c>
      <c r="E2648" s="10" t="s">
        <v>6182</v>
      </c>
      <c r="F2648" s="10" t="s">
        <v>3188</v>
      </c>
      <c r="G2648" s="10" t="s">
        <v>32</v>
      </c>
      <c r="H2648" s="7" t="s">
        <v>24</v>
      </c>
      <c r="I2648" s="7" t="s">
        <v>25</v>
      </c>
      <c r="J2648" s="13" t="str">
        <f>HYPERLINK("https://www.airitibooks.com/Detail/Detail?PublicationID=P20171228012", "https://www.airitibooks.com/Detail/Detail?PublicationID=P20171228012")</f>
        <v>https://www.airitibooks.com/Detail/Detail?PublicationID=P20171228012</v>
      </c>
      <c r="K2648" s="13" t="str">
        <f>HYPERLINK("https://ntsu.idm.oclc.org/login?url=https://www.airitibooks.com/Detail/Detail?PublicationID=P20171228012", "https://ntsu.idm.oclc.org/login?url=https://www.airitibooks.com/Detail/Detail?PublicationID=P20171228012")</f>
        <v>https://ntsu.idm.oclc.org/login?url=https://www.airitibooks.com/Detail/Detail?PublicationID=P20171228012</v>
      </c>
    </row>
    <row r="2649" spans="1:11" ht="102" x14ac:dyDescent="0.4">
      <c r="A2649" s="10" t="s">
        <v>8156</v>
      </c>
      <c r="B2649" s="10" t="s">
        <v>8157</v>
      </c>
      <c r="C2649" s="10" t="s">
        <v>791</v>
      </c>
      <c r="D2649" s="10" t="s">
        <v>8158</v>
      </c>
      <c r="E2649" s="10" t="s">
        <v>6182</v>
      </c>
      <c r="F2649" s="10" t="s">
        <v>3188</v>
      </c>
      <c r="G2649" s="10" t="s">
        <v>32</v>
      </c>
      <c r="H2649" s="7" t="s">
        <v>24</v>
      </c>
      <c r="I2649" s="7" t="s">
        <v>25</v>
      </c>
      <c r="J2649" s="13" t="str">
        <f>HYPERLINK("https://www.airitibooks.com/Detail/Detail?PublicationID=P20171228013", "https://www.airitibooks.com/Detail/Detail?PublicationID=P20171228013")</f>
        <v>https://www.airitibooks.com/Detail/Detail?PublicationID=P20171228013</v>
      </c>
      <c r="K2649" s="13" t="str">
        <f>HYPERLINK("https://ntsu.idm.oclc.org/login?url=https://www.airitibooks.com/Detail/Detail?PublicationID=P20171228013", "https://ntsu.idm.oclc.org/login?url=https://www.airitibooks.com/Detail/Detail?PublicationID=P20171228013")</f>
        <v>https://ntsu.idm.oclc.org/login?url=https://www.airitibooks.com/Detail/Detail?PublicationID=P20171228013</v>
      </c>
    </row>
    <row r="2650" spans="1:11" ht="51" x14ac:dyDescent="0.4">
      <c r="A2650" s="10" t="s">
        <v>8176</v>
      </c>
      <c r="B2650" s="10" t="s">
        <v>8177</v>
      </c>
      <c r="C2650" s="10" t="s">
        <v>746</v>
      </c>
      <c r="D2650" s="10" t="s">
        <v>8178</v>
      </c>
      <c r="E2650" s="10" t="s">
        <v>6182</v>
      </c>
      <c r="F2650" s="10" t="s">
        <v>8179</v>
      </c>
      <c r="G2650" s="10" t="s">
        <v>32</v>
      </c>
      <c r="H2650" s="7" t="s">
        <v>24</v>
      </c>
      <c r="I2650" s="7" t="s">
        <v>25</v>
      </c>
      <c r="J2650" s="13" t="str">
        <f>HYPERLINK("https://www.airitibooks.com/Detail/Detail?PublicationID=P20180112005", "https://www.airitibooks.com/Detail/Detail?PublicationID=P20180112005")</f>
        <v>https://www.airitibooks.com/Detail/Detail?PublicationID=P20180112005</v>
      </c>
      <c r="K2650" s="13" t="str">
        <f>HYPERLINK("https://ntsu.idm.oclc.org/login?url=https://www.airitibooks.com/Detail/Detail?PublicationID=P20180112005", "https://ntsu.idm.oclc.org/login?url=https://www.airitibooks.com/Detail/Detail?PublicationID=P20180112005")</f>
        <v>https://ntsu.idm.oclc.org/login?url=https://www.airitibooks.com/Detail/Detail?PublicationID=P20180112005</v>
      </c>
    </row>
    <row r="2651" spans="1:11" ht="51" x14ac:dyDescent="0.4">
      <c r="A2651" s="10" t="s">
        <v>8270</v>
      </c>
      <c r="B2651" s="10" t="s">
        <v>8271</v>
      </c>
      <c r="C2651" s="10" t="s">
        <v>7164</v>
      </c>
      <c r="D2651" s="10" t="s">
        <v>8272</v>
      </c>
      <c r="E2651" s="10" t="s">
        <v>6182</v>
      </c>
      <c r="F2651" s="10" t="s">
        <v>8273</v>
      </c>
      <c r="G2651" s="10" t="s">
        <v>32</v>
      </c>
      <c r="H2651" s="7" t="s">
        <v>24</v>
      </c>
      <c r="I2651" s="7" t="s">
        <v>25</v>
      </c>
      <c r="J2651" s="13" t="str">
        <f>HYPERLINK("https://www.airitibooks.com/Detail/Detail?PublicationID=P20180119115", "https://www.airitibooks.com/Detail/Detail?PublicationID=P20180119115")</f>
        <v>https://www.airitibooks.com/Detail/Detail?PublicationID=P20180119115</v>
      </c>
      <c r="K2651" s="13" t="str">
        <f>HYPERLINK("https://ntsu.idm.oclc.org/login?url=https://www.airitibooks.com/Detail/Detail?PublicationID=P20180119115", "https://ntsu.idm.oclc.org/login?url=https://www.airitibooks.com/Detail/Detail?PublicationID=P20180119115")</f>
        <v>https://ntsu.idm.oclc.org/login?url=https://www.airitibooks.com/Detail/Detail?PublicationID=P20180119115</v>
      </c>
    </row>
    <row r="2652" spans="1:11" ht="51" x14ac:dyDescent="0.4">
      <c r="A2652" s="10" t="s">
        <v>8274</v>
      </c>
      <c r="B2652" s="10" t="s">
        <v>8275</v>
      </c>
      <c r="C2652" s="10" t="s">
        <v>7164</v>
      </c>
      <c r="D2652" s="10" t="s">
        <v>8276</v>
      </c>
      <c r="E2652" s="10" t="s">
        <v>6182</v>
      </c>
      <c r="F2652" s="10" t="s">
        <v>1457</v>
      </c>
      <c r="G2652" s="10" t="s">
        <v>32</v>
      </c>
      <c r="H2652" s="7" t="s">
        <v>24</v>
      </c>
      <c r="I2652" s="7" t="s">
        <v>25</v>
      </c>
      <c r="J2652" s="13" t="str">
        <f>HYPERLINK("https://www.airitibooks.com/Detail/Detail?PublicationID=P20180119116", "https://www.airitibooks.com/Detail/Detail?PublicationID=P20180119116")</f>
        <v>https://www.airitibooks.com/Detail/Detail?PublicationID=P20180119116</v>
      </c>
      <c r="K2652" s="13" t="str">
        <f>HYPERLINK("https://ntsu.idm.oclc.org/login?url=https://www.airitibooks.com/Detail/Detail?PublicationID=P20180119116", "https://ntsu.idm.oclc.org/login?url=https://www.airitibooks.com/Detail/Detail?PublicationID=P20180119116")</f>
        <v>https://ntsu.idm.oclc.org/login?url=https://www.airitibooks.com/Detail/Detail?PublicationID=P20180119116</v>
      </c>
    </row>
    <row r="2653" spans="1:11" ht="51" x14ac:dyDescent="0.4">
      <c r="A2653" s="10" t="s">
        <v>8299</v>
      </c>
      <c r="B2653" s="10" t="s">
        <v>8300</v>
      </c>
      <c r="C2653" s="10" t="s">
        <v>7164</v>
      </c>
      <c r="D2653" s="10" t="s">
        <v>8301</v>
      </c>
      <c r="E2653" s="10" t="s">
        <v>6182</v>
      </c>
      <c r="F2653" s="10" t="s">
        <v>464</v>
      </c>
      <c r="G2653" s="10" t="s">
        <v>32</v>
      </c>
      <c r="H2653" s="7" t="s">
        <v>24</v>
      </c>
      <c r="I2653" s="7" t="s">
        <v>25</v>
      </c>
      <c r="J2653" s="13" t="str">
        <f>HYPERLINK("https://www.airitibooks.com/Detail/Detail?PublicationID=P20180119137", "https://www.airitibooks.com/Detail/Detail?PublicationID=P20180119137")</f>
        <v>https://www.airitibooks.com/Detail/Detail?PublicationID=P20180119137</v>
      </c>
      <c r="K2653" s="13" t="str">
        <f>HYPERLINK("https://ntsu.idm.oclc.org/login?url=https://www.airitibooks.com/Detail/Detail?PublicationID=P20180119137", "https://ntsu.idm.oclc.org/login?url=https://www.airitibooks.com/Detail/Detail?PublicationID=P20180119137")</f>
        <v>https://ntsu.idm.oclc.org/login?url=https://www.airitibooks.com/Detail/Detail?PublicationID=P20180119137</v>
      </c>
    </row>
    <row r="2654" spans="1:11" ht="51" x14ac:dyDescent="0.4">
      <c r="A2654" s="10" t="s">
        <v>8308</v>
      </c>
      <c r="B2654" s="10" t="s">
        <v>8309</v>
      </c>
      <c r="C2654" s="10" t="s">
        <v>7164</v>
      </c>
      <c r="D2654" s="10" t="s">
        <v>8310</v>
      </c>
      <c r="E2654" s="10" t="s">
        <v>6182</v>
      </c>
      <c r="F2654" s="10" t="s">
        <v>8311</v>
      </c>
      <c r="G2654" s="10" t="s">
        <v>32</v>
      </c>
      <c r="H2654" s="7" t="s">
        <v>24</v>
      </c>
      <c r="I2654" s="7" t="s">
        <v>25</v>
      </c>
      <c r="J2654" s="13" t="str">
        <f>HYPERLINK("https://www.airitibooks.com/Detail/Detail?PublicationID=P20180119148", "https://www.airitibooks.com/Detail/Detail?PublicationID=P20180119148")</f>
        <v>https://www.airitibooks.com/Detail/Detail?PublicationID=P20180119148</v>
      </c>
      <c r="K2654" s="13" t="str">
        <f>HYPERLINK("https://ntsu.idm.oclc.org/login?url=https://www.airitibooks.com/Detail/Detail?PublicationID=P20180119148", "https://ntsu.idm.oclc.org/login?url=https://www.airitibooks.com/Detail/Detail?PublicationID=P20180119148")</f>
        <v>https://ntsu.idm.oclc.org/login?url=https://www.airitibooks.com/Detail/Detail?PublicationID=P20180119148</v>
      </c>
    </row>
    <row r="2655" spans="1:11" ht="51" x14ac:dyDescent="0.4">
      <c r="A2655" s="10" t="s">
        <v>8315</v>
      </c>
      <c r="B2655" s="10" t="s">
        <v>8316</v>
      </c>
      <c r="C2655" s="10" t="s">
        <v>7164</v>
      </c>
      <c r="D2655" s="10" t="s">
        <v>8317</v>
      </c>
      <c r="E2655" s="10" t="s">
        <v>6182</v>
      </c>
      <c r="F2655" s="10" t="s">
        <v>2628</v>
      </c>
      <c r="G2655" s="10" t="s">
        <v>32</v>
      </c>
      <c r="H2655" s="7" t="s">
        <v>24</v>
      </c>
      <c r="I2655" s="7" t="s">
        <v>25</v>
      </c>
      <c r="J2655" s="13" t="str">
        <f>HYPERLINK("https://www.airitibooks.com/Detail/Detail?PublicationID=P20180119150", "https://www.airitibooks.com/Detail/Detail?PublicationID=P20180119150")</f>
        <v>https://www.airitibooks.com/Detail/Detail?PublicationID=P20180119150</v>
      </c>
      <c r="K2655" s="13" t="str">
        <f>HYPERLINK("https://ntsu.idm.oclc.org/login?url=https://www.airitibooks.com/Detail/Detail?PublicationID=P20180119150", "https://ntsu.idm.oclc.org/login?url=https://www.airitibooks.com/Detail/Detail?PublicationID=P20180119150")</f>
        <v>https://ntsu.idm.oclc.org/login?url=https://www.airitibooks.com/Detail/Detail?PublicationID=P20180119150</v>
      </c>
    </row>
    <row r="2656" spans="1:11" ht="51" x14ac:dyDescent="0.4">
      <c r="A2656" s="10" t="s">
        <v>8331</v>
      </c>
      <c r="B2656" s="10" t="s">
        <v>8332</v>
      </c>
      <c r="C2656" s="10" t="s">
        <v>7164</v>
      </c>
      <c r="D2656" s="10" t="s">
        <v>8330</v>
      </c>
      <c r="E2656" s="10" t="s">
        <v>6182</v>
      </c>
      <c r="F2656" s="10" t="s">
        <v>8273</v>
      </c>
      <c r="G2656" s="10" t="s">
        <v>32</v>
      </c>
      <c r="H2656" s="7" t="s">
        <v>24</v>
      </c>
      <c r="I2656" s="7" t="s">
        <v>25</v>
      </c>
      <c r="J2656" s="13" t="str">
        <f>HYPERLINK("https://www.airitibooks.com/Detail/Detail?PublicationID=P20180119167", "https://www.airitibooks.com/Detail/Detail?PublicationID=P20180119167")</f>
        <v>https://www.airitibooks.com/Detail/Detail?PublicationID=P20180119167</v>
      </c>
      <c r="K2656" s="13" t="str">
        <f>HYPERLINK("https://ntsu.idm.oclc.org/login?url=https://www.airitibooks.com/Detail/Detail?PublicationID=P20180119167", "https://ntsu.idm.oclc.org/login?url=https://www.airitibooks.com/Detail/Detail?PublicationID=P20180119167")</f>
        <v>https://ntsu.idm.oclc.org/login?url=https://www.airitibooks.com/Detail/Detail?PublicationID=P20180119167</v>
      </c>
    </row>
    <row r="2657" spans="1:11" ht="51" x14ac:dyDescent="0.4">
      <c r="A2657" s="10" t="s">
        <v>8333</v>
      </c>
      <c r="B2657" s="10" t="s">
        <v>8334</v>
      </c>
      <c r="C2657" s="10" t="s">
        <v>7164</v>
      </c>
      <c r="D2657" s="10" t="s">
        <v>8330</v>
      </c>
      <c r="E2657" s="10" t="s">
        <v>6182</v>
      </c>
      <c r="F2657" s="10" t="s">
        <v>8273</v>
      </c>
      <c r="G2657" s="10" t="s">
        <v>32</v>
      </c>
      <c r="H2657" s="7" t="s">
        <v>24</v>
      </c>
      <c r="I2657" s="7" t="s">
        <v>25</v>
      </c>
      <c r="J2657" s="13" t="str">
        <f>HYPERLINK("https://www.airitibooks.com/Detail/Detail?PublicationID=P20180119168", "https://www.airitibooks.com/Detail/Detail?PublicationID=P20180119168")</f>
        <v>https://www.airitibooks.com/Detail/Detail?PublicationID=P20180119168</v>
      </c>
      <c r="K2657" s="13" t="str">
        <f>HYPERLINK("https://ntsu.idm.oclc.org/login?url=https://www.airitibooks.com/Detail/Detail?PublicationID=P20180119168", "https://ntsu.idm.oclc.org/login?url=https://www.airitibooks.com/Detail/Detail?PublicationID=P20180119168")</f>
        <v>https://ntsu.idm.oclc.org/login?url=https://www.airitibooks.com/Detail/Detail?PublicationID=P20180119168</v>
      </c>
    </row>
    <row r="2658" spans="1:11" ht="68" x14ac:dyDescent="0.4">
      <c r="A2658" s="10" t="s">
        <v>8335</v>
      </c>
      <c r="B2658" s="10" t="s">
        <v>8336</v>
      </c>
      <c r="C2658" s="10" t="s">
        <v>7164</v>
      </c>
      <c r="D2658" s="10" t="s">
        <v>8337</v>
      </c>
      <c r="E2658" s="10" t="s">
        <v>6182</v>
      </c>
      <c r="F2658" s="10" t="s">
        <v>8273</v>
      </c>
      <c r="G2658" s="10" t="s">
        <v>32</v>
      </c>
      <c r="H2658" s="7" t="s">
        <v>24</v>
      </c>
      <c r="I2658" s="7" t="s">
        <v>25</v>
      </c>
      <c r="J2658" s="13" t="str">
        <f>HYPERLINK("https://www.airitibooks.com/Detail/Detail?PublicationID=P20180119169", "https://www.airitibooks.com/Detail/Detail?PublicationID=P20180119169")</f>
        <v>https://www.airitibooks.com/Detail/Detail?PublicationID=P20180119169</v>
      </c>
      <c r="K2658" s="13" t="str">
        <f>HYPERLINK("https://ntsu.idm.oclc.org/login?url=https://www.airitibooks.com/Detail/Detail?PublicationID=P20180119169", "https://ntsu.idm.oclc.org/login?url=https://www.airitibooks.com/Detail/Detail?PublicationID=P20180119169")</f>
        <v>https://ntsu.idm.oclc.org/login?url=https://www.airitibooks.com/Detail/Detail?PublicationID=P20180119169</v>
      </c>
    </row>
    <row r="2659" spans="1:11" ht="51" x14ac:dyDescent="0.4">
      <c r="A2659" s="10" t="s">
        <v>8338</v>
      </c>
      <c r="B2659" s="10" t="s">
        <v>8339</v>
      </c>
      <c r="C2659" s="10" t="s">
        <v>7164</v>
      </c>
      <c r="D2659" s="10" t="s">
        <v>7346</v>
      </c>
      <c r="E2659" s="10" t="s">
        <v>6182</v>
      </c>
      <c r="F2659" s="10" t="s">
        <v>2628</v>
      </c>
      <c r="G2659" s="10" t="s">
        <v>32</v>
      </c>
      <c r="H2659" s="7" t="s">
        <v>24</v>
      </c>
      <c r="I2659" s="7" t="s">
        <v>25</v>
      </c>
      <c r="J2659" s="13" t="str">
        <f>HYPERLINK("https://www.airitibooks.com/Detail/Detail?PublicationID=P20180119170", "https://www.airitibooks.com/Detail/Detail?PublicationID=P20180119170")</f>
        <v>https://www.airitibooks.com/Detail/Detail?PublicationID=P20180119170</v>
      </c>
      <c r="K2659" s="13" t="str">
        <f>HYPERLINK("https://ntsu.idm.oclc.org/login?url=https://www.airitibooks.com/Detail/Detail?PublicationID=P20180119170", "https://ntsu.idm.oclc.org/login?url=https://www.airitibooks.com/Detail/Detail?PublicationID=P20180119170")</f>
        <v>https://ntsu.idm.oclc.org/login?url=https://www.airitibooks.com/Detail/Detail?PublicationID=P20180119170</v>
      </c>
    </row>
    <row r="2660" spans="1:11" ht="51" x14ac:dyDescent="0.4">
      <c r="A2660" s="10" t="s">
        <v>8353</v>
      </c>
      <c r="B2660" s="10" t="s">
        <v>8354</v>
      </c>
      <c r="C2660" s="10" t="s">
        <v>7164</v>
      </c>
      <c r="D2660" s="10" t="s">
        <v>8355</v>
      </c>
      <c r="E2660" s="10" t="s">
        <v>6182</v>
      </c>
      <c r="F2660" s="10" t="s">
        <v>8356</v>
      </c>
      <c r="G2660" s="10" t="s">
        <v>32</v>
      </c>
      <c r="H2660" s="7" t="s">
        <v>7839</v>
      </c>
      <c r="I2660" s="7" t="s">
        <v>25</v>
      </c>
      <c r="J2660" s="13" t="str">
        <f>HYPERLINK("https://www.airitibooks.com/Detail/Detail?PublicationID=P20180119763", "https://www.airitibooks.com/Detail/Detail?PublicationID=P20180119763")</f>
        <v>https://www.airitibooks.com/Detail/Detail?PublicationID=P20180119763</v>
      </c>
      <c r="K2660" s="13" t="str">
        <f>HYPERLINK("https://ntsu.idm.oclc.org/login?url=https://www.airitibooks.com/Detail/Detail?PublicationID=P20180119763", "https://ntsu.idm.oclc.org/login?url=https://www.airitibooks.com/Detail/Detail?PublicationID=P20180119763")</f>
        <v>https://ntsu.idm.oclc.org/login?url=https://www.airitibooks.com/Detail/Detail?PublicationID=P20180119763</v>
      </c>
    </row>
    <row r="2661" spans="1:11" ht="51" x14ac:dyDescent="0.4">
      <c r="A2661" s="10" t="s">
        <v>8357</v>
      </c>
      <c r="B2661" s="10" t="s">
        <v>8358</v>
      </c>
      <c r="C2661" s="10" t="s">
        <v>8359</v>
      </c>
      <c r="D2661" s="10" t="s">
        <v>8360</v>
      </c>
      <c r="E2661" s="10" t="s">
        <v>6182</v>
      </c>
      <c r="F2661" s="10" t="s">
        <v>1552</v>
      </c>
      <c r="G2661" s="10" t="s">
        <v>32</v>
      </c>
      <c r="H2661" s="7" t="s">
        <v>24</v>
      </c>
      <c r="I2661" s="7" t="s">
        <v>25</v>
      </c>
      <c r="J2661" s="13" t="str">
        <f>HYPERLINK("https://www.airitibooks.com/Detail/Detail?PublicationID=P20180119780", "https://www.airitibooks.com/Detail/Detail?PublicationID=P20180119780")</f>
        <v>https://www.airitibooks.com/Detail/Detail?PublicationID=P20180119780</v>
      </c>
      <c r="K2661" s="13" t="str">
        <f>HYPERLINK("https://ntsu.idm.oclc.org/login?url=https://www.airitibooks.com/Detail/Detail?PublicationID=P20180119780", "https://ntsu.idm.oclc.org/login?url=https://www.airitibooks.com/Detail/Detail?PublicationID=P20180119780")</f>
        <v>https://ntsu.idm.oclc.org/login?url=https://www.airitibooks.com/Detail/Detail?PublicationID=P20180119780</v>
      </c>
    </row>
    <row r="2662" spans="1:11" ht="51" x14ac:dyDescent="0.4">
      <c r="A2662" s="10" t="s">
        <v>8365</v>
      </c>
      <c r="B2662" s="10" t="s">
        <v>8366</v>
      </c>
      <c r="C2662" s="10" t="s">
        <v>2367</v>
      </c>
      <c r="D2662" s="10" t="s">
        <v>8367</v>
      </c>
      <c r="E2662" s="10" t="s">
        <v>6182</v>
      </c>
      <c r="F2662" s="10" t="s">
        <v>5742</v>
      </c>
      <c r="G2662" s="10" t="s">
        <v>32</v>
      </c>
      <c r="H2662" s="7" t="s">
        <v>24</v>
      </c>
      <c r="I2662" s="7" t="s">
        <v>25</v>
      </c>
      <c r="J2662" s="13" t="str">
        <f>HYPERLINK("https://www.airitibooks.com/Detail/Detail?PublicationID=P20180126013", "https://www.airitibooks.com/Detail/Detail?PublicationID=P20180126013")</f>
        <v>https://www.airitibooks.com/Detail/Detail?PublicationID=P20180126013</v>
      </c>
      <c r="K2662" s="13" t="str">
        <f>HYPERLINK("https://ntsu.idm.oclc.org/login?url=https://www.airitibooks.com/Detail/Detail?PublicationID=P20180126013", "https://ntsu.idm.oclc.org/login?url=https://www.airitibooks.com/Detail/Detail?PublicationID=P20180126013")</f>
        <v>https://ntsu.idm.oclc.org/login?url=https://www.airitibooks.com/Detail/Detail?PublicationID=P20180126013</v>
      </c>
    </row>
    <row r="2663" spans="1:11" ht="51" x14ac:dyDescent="0.4">
      <c r="A2663" s="10" t="s">
        <v>8368</v>
      </c>
      <c r="B2663" s="10" t="s">
        <v>8369</v>
      </c>
      <c r="C2663" s="10" t="s">
        <v>2367</v>
      </c>
      <c r="D2663" s="10" t="s">
        <v>8370</v>
      </c>
      <c r="E2663" s="10" t="s">
        <v>6182</v>
      </c>
      <c r="F2663" s="10" t="s">
        <v>4849</v>
      </c>
      <c r="G2663" s="10" t="s">
        <v>32</v>
      </c>
      <c r="H2663" s="7" t="s">
        <v>24</v>
      </c>
      <c r="I2663" s="7" t="s">
        <v>25</v>
      </c>
      <c r="J2663" s="13" t="str">
        <f>HYPERLINK("https://www.airitibooks.com/Detail/Detail?PublicationID=P20180126015", "https://www.airitibooks.com/Detail/Detail?PublicationID=P20180126015")</f>
        <v>https://www.airitibooks.com/Detail/Detail?PublicationID=P20180126015</v>
      </c>
      <c r="K2663" s="13" t="str">
        <f>HYPERLINK("https://ntsu.idm.oclc.org/login?url=https://www.airitibooks.com/Detail/Detail?PublicationID=P20180126015", "https://ntsu.idm.oclc.org/login?url=https://www.airitibooks.com/Detail/Detail?PublicationID=P20180126015")</f>
        <v>https://ntsu.idm.oclc.org/login?url=https://www.airitibooks.com/Detail/Detail?PublicationID=P20180126015</v>
      </c>
    </row>
    <row r="2664" spans="1:11" ht="187" x14ac:dyDescent="0.4">
      <c r="A2664" s="10" t="s">
        <v>8383</v>
      </c>
      <c r="B2664" s="10" t="s">
        <v>8384</v>
      </c>
      <c r="C2664" s="10" t="s">
        <v>791</v>
      </c>
      <c r="D2664" s="10" t="s">
        <v>8385</v>
      </c>
      <c r="E2664" s="10" t="s">
        <v>6182</v>
      </c>
      <c r="F2664" s="10" t="s">
        <v>1135</v>
      </c>
      <c r="G2664" s="10" t="s">
        <v>32</v>
      </c>
      <c r="H2664" s="7" t="s">
        <v>24</v>
      </c>
      <c r="I2664" s="7" t="s">
        <v>25</v>
      </c>
      <c r="J2664" s="13" t="str">
        <f>HYPERLINK("https://www.airitibooks.com/Detail/Detail?PublicationID=P20180126034", "https://www.airitibooks.com/Detail/Detail?PublicationID=P20180126034")</f>
        <v>https://www.airitibooks.com/Detail/Detail?PublicationID=P20180126034</v>
      </c>
      <c r="K2664" s="13" t="str">
        <f>HYPERLINK("https://ntsu.idm.oclc.org/login?url=https://www.airitibooks.com/Detail/Detail?PublicationID=P20180126034", "https://ntsu.idm.oclc.org/login?url=https://www.airitibooks.com/Detail/Detail?PublicationID=P20180126034")</f>
        <v>https://ntsu.idm.oclc.org/login?url=https://www.airitibooks.com/Detail/Detail?PublicationID=P20180126034</v>
      </c>
    </row>
    <row r="2665" spans="1:11" ht="51" x14ac:dyDescent="0.4">
      <c r="A2665" s="10" t="s">
        <v>8389</v>
      </c>
      <c r="B2665" s="10" t="s">
        <v>8390</v>
      </c>
      <c r="C2665" s="10" t="s">
        <v>1114</v>
      </c>
      <c r="D2665" s="10" t="s">
        <v>8391</v>
      </c>
      <c r="E2665" s="10" t="s">
        <v>6182</v>
      </c>
      <c r="F2665" s="10" t="s">
        <v>3463</v>
      </c>
      <c r="G2665" s="10" t="s">
        <v>32</v>
      </c>
      <c r="H2665" s="7" t="s">
        <v>24</v>
      </c>
      <c r="I2665" s="7" t="s">
        <v>25</v>
      </c>
      <c r="J2665" s="13" t="str">
        <f>HYPERLINK("https://www.airitibooks.com/Detail/Detail?PublicationID=P20180205100", "https://www.airitibooks.com/Detail/Detail?PublicationID=P20180205100")</f>
        <v>https://www.airitibooks.com/Detail/Detail?PublicationID=P20180205100</v>
      </c>
      <c r="K2665" s="13" t="str">
        <f>HYPERLINK("https://ntsu.idm.oclc.org/login?url=https://www.airitibooks.com/Detail/Detail?PublicationID=P20180205100", "https://ntsu.idm.oclc.org/login?url=https://www.airitibooks.com/Detail/Detail?PublicationID=P20180205100")</f>
        <v>https://ntsu.idm.oclc.org/login?url=https://www.airitibooks.com/Detail/Detail?PublicationID=P20180205100</v>
      </c>
    </row>
    <row r="2666" spans="1:11" ht="51" x14ac:dyDescent="0.4">
      <c r="A2666" s="10" t="s">
        <v>8416</v>
      </c>
      <c r="B2666" s="10" t="s">
        <v>8417</v>
      </c>
      <c r="C2666" s="10" t="s">
        <v>938</v>
      </c>
      <c r="D2666" s="10" t="s">
        <v>8418</v>
      </c>
      <c r="E2666" s="10" t="s">
        <v>6182</v>
      </c>
      <c r="F2666" s="10" t="s">
        <v>8419</v>
      </c>
      <c r="G2666" s="10" t="s">
        <v>32</v>
      </c>
      <c r="H2666" s="7" t="s">
        <v>24</v>
      </c>
      <c r="I2666" s="7" t="s">
        <v>25</v>
      </c>
      <c r="J2666" s="13" t="str">
        <f>HYPERLINK("https://www.airitibooks.com/Detail/Detail?PublicationID=P20180208058", "https://www.airitibooks.com/Detail/Detail?PublicationID=P20180208058")</f>
        <v>https://www.airitibooks.com/Detail/Detail?PublicationID=P20180208058</v>
      </c>
      <c r="K2666" s="13" t="str">
        <f>HYPERLINK("https://ntsu.idm.oclc.org/login?url=https://www.airitibooks.com/Detail/Detail?PublicationID=P20180208058", "https://ntsu.idm.oclc.org/login?url=https://www.airitibooks.com/Detail/Detail?PublicationID=P20180208058")</f>
        <v>https://ntsu.idm.oclc.org/login?url=https://www.airitibooks.com/Detail/Detail?PublicationID=P20180208058</v>
      </c>
    </row>
    <row r="2667" spans="1:11" ht="51" x14ac:dyDescent="0.4">
      <c r="A2667" s="10" t="s">
        <v>8702</v>
      </c>
      <c r="B2667" s="10" t="s">
        <v>8703</v>
      </c>
      <c r="C2667" s="10" t="s">
        <v>1067</v>
      </c>
      <c r="D2667" s="10" t="s">
        <v>4639</v>
      </c>
      <c r="E2667" s="10" t="s">
        <v>6182</v>
      </c>
      <c r="F2667" s="10" t="s">
        <v>8704</v>
      </c>
      <c r="G2667" s="10" t="s">
        <v>32</v>
      </c>
      <c r="H2667" s="7" t="s">
        <v>24</v>
      </c>
      <c r="I2667" s="7" t="s">
        <v>25</v>
      </c>
      <c r="J2667" s="13" t="str">
        <f>HYPERLINK("https://www.airitibooks.com/Detail/Detail?PublicationID=P20180309002", "https://www.airitibooks.com/Detail/Detail?PublicationID=P20180309002")</f>
        <v>https://www.airitibooks.com/Detail/Detail?PublicationID=P20180309002</v>
      </c>
      <c r="K2667" s="13" t="str">
        <f>HYPERLINK("https://ntsu.idm.oclc.org/login?url=https://www.airitibooks.com/Detail/Detail?PublicationID=P20180309002", "https://ntsu.idm.oclc.org/login?url=https://www.airitibooks.com/Detail/Detail?PublicationID=P20180309002")</f>
        <v>https://ntsu.idm.oclc.org/login?url=https://www.airitibooks.com/Detail/Detail?PublicationID=P20180309002</v>
      </c>
    </row>
    <row r="2668" spans="1:11" ht="51" x14ac:dyDescent="0.4">
      <c r="A2668" s="10" t="s">
        <v>8705</v>
      </c>
      <c r="B2668" s="10" t="s">
        <v>8706</v>
      </c>
      <c r="C2668" s="10" t="s">
        <v>1067</v>
      </c>
      <c r="D2668" s="10" t="s">
        <v>2359</v>
      </c>
      <c r="E2668" s="10" t="s">
        <v>6182</v>
      </c>
      <c r="F2668" s="10" t="s">
        <v>2360</v>
      </c>
      <c r="G2668" s="10" t="s">
        <v>32</v>
      </c>
      <c r="H2668" s="7" t="s">
        <v>24</v>
      </c>
      <c r="I2668" s="7" t="s">
        <v>25</v>
      </c>
      <c r="J2668" s="13" t="str">
        <f>HYPERLINK("https://www.airitibooks.com/Detail/Detail?PublicationID=P20180309005", "https://www.airitibooks.com/Detail/Detail?PublicationID=P20180309005")</f>
        <v>https://www.airitibooks.com/Detail/Detail?PublicationID=P20180309005</v>
      </c>
      <c r="K2668" s="13" t="str">
        <f>HYPERLINK("https://ntsu.idm.oclc.org/login?url=https://www.airitibooks.com/Detail/Detail?PublicationID=P20180309005", "https://ntsu.idm.oclc.org/login?url=https://www.airitibooks.com/Detail/Detail?PublicationID=P20180309005")</f>
        <v>https://ntsu.idm.oclc.org/login?url=https://www.airitibooks.com/Detail/Detail?PublicationID=P20180309005</v>
      </c>
    </row>
    <row r="2669" spans="1:11" ht="85" x14ac:dyDescent="0.4">
      <c r="A2669" s="10" t="s">
        <v>8707</v>
      </c>
      <c r="B2669" s="10" t="s">
        <v>8708</v>
      </c>
      <c r="C2669" s="10" t="s">
        <v>1067</v>
      </c>
      <c r="D2669" s="10" t="s">
        <v>2363</v>
      </c>
      <c r="E2669" s="10" t="s">
        <v>6182</v>
      </c>
      <c r="F2669" s="10" t="s">
        <v>2364</v>
      </c>
      <c r="G2669" s="10" t="s">
        <v>32</v>
      </c>
      <c r="H2669" s="7" t="s">
        <v>24</v>
      </c>
      <c r="I2669" s="7" t="s">
        <v>25</v>
      </c>
      <c r="J2669" s="13" t="str">
        <f>HYPERLINK("https://www.airitibooks.com/Detail/Detail?PublicationID=P20180309006", "https://www.airitibooks.com/Detail/Detail?PublicationID=P20180309006")</f>
        <v>https://www.airitibooks.com/Detail/Detail?PublicationID=P20180309006</v>
      </c>
      <c r="K2669" s="13" t="str">
        <f>HYPERLINK("https://ntsu.idm.oclc.org/login?url=https://www.airitibooks.com/Detail/Detail?PublicationID=P20180309006", "https://ntsu.idm.oclc.org/login?url=https://www.airitibooks.com/Detail/Detail?PublicationID=P20180309006")</f>
        <v>https://ntsu.idm.oclc.org/login?url=https://www.airitibooks.com/Detail/Detail?PublicationID=P20180309006</v>
      </c>
    </row>
    <row r="2670" spans="1:11" ht="85" x14ac:dyDescent="0.4">
      <c r="A2670" s="10" t="s">
        <v>8709</v>
      </c>
      <c r="B2670" s="10" t="s">
        <v>8710</v>
      </c>
      <c r="C2670" s="10" t="s">
        <v>8711</v>
      </c>
      <c r="D2670" s="10" t="s">
        <v>8712</v>
      </c>
      <c r="E2670" s="10" t="s">
        <v>6182</v>
      </c>
      <c r="F2670" s="10" t="s">
        <v>8713</v>
      </c>
      <c r="G2670" s="10" t="s">
        <v>32</v>
      </c>
      <c r="H2670" s="7" t="s">
        <v>24</v>
      </c>
      <c r="I2670" s="7" t="s">
        <v>25</v>
      </c>
      <c r="J2670" s="13" t="str">
        <f>HYPERLINK("https://www.airitibooks.com/Detail/Detail?PublicationID=P20180309007", "https://www.airitibooks.com/Detail/Detail?PublicationID=P20180309007")</f>
        <v>https://www.airitibooks.com/Detail/Detail?PublicationID=P20180309007</v>
      </c>
      <c r="K2670" s="13" t="str">
        <f>HYPERLINK("https://ntsu.idm.oclc.org/login?url=https://www.airitibooks.com/Detail/Detail?PublicationID=P20180309007", "https://ntsu.idm.oclc.org/login?url=https://www.airitibooks.com/Detail/Detail?PublicationID=P20180309007")</f>
        <v>https://ntsu.idm.oclc.org/login?url=https://www.airitibooks.com/Detail/Detail?PublicationID=P20180309007</v>
      </c>
    </row>
    <row r="2671" spans="1:11" ht="51" x14ac:dyDescent="0.4">
      <c r="A2671" s="10" t="s">
        <v>8763</v>
      </c>
      <c r="B2671" s="10" t="s">
        <v>8764</v>
      </c>
      <c r="C2671" s="10" t="s">
        <v>240</v>
      </c>
      <c r="D2671" s="10" t="s">
        <v>8765</v>
      </c>
      <c r="E2671" s="10" t="s">
        <v>6182</v>
      </c>
      <c r="F2671" s="10" t="s">
        <v>4823</v>
      </c>
      <c r="G2671" s="10" t="s">
        <v>32</v>
      </c>
      <c r="H2671" s="7" t="s">
        <v>24</v>
      </c>
      <c r="I2671" s="7" t="s">
        <v>25</v>
      </c>
      <c r="J2671" s="13" t="str">
        <f>HYPERLINK("https://www.airitibooks.com/Detail/Detail?PublicationID=P20180323027", "https://www.airitibooks.com/Detail/Detail?PublicationID=P20180323027")</f>
        <v>https://www.airitibooks.com/Detail/Detail?PublicationID=P20180323027</v>
      </c>
      <c r="K2671" s="13" t="str">
        <f>HYPERLINK("https://ntsu.idm.oclc.org/login?url=https://www.airitibooks.com/Detail/Detail?PublicationID=P20180323027", "https://ntsu.idm.oclc.org/login?url=https://www.airitibooks.com/Detail/Detail?PublicationID=P20180323027")</f>
        <v>https://ntsu.idm.oclc.org/login?url=https://www.airitibooks.com/Detail/Detail?PublicationID=P20180323027</v>
      </c>
    </row>
    <row r="2672" spans="1:11" ht="85" x14ac:dyDescent="0.4">
      <c r="A2672" s="10" t="s">
        <v>8990</v>
      </c>
      <c r="B2672" s="10" t="s">
        <v>8991</v>
      </c>
      <c r="C2672" s="10" t="s">
        <v>791</v>
      </c>
      <c r="D2672" s="10" t="s">
        <v>8992</v>
      </c>
      <c r="E2672" s="10" t="s">
        <v>6182</v>
      </c>
      <c r="F2672" s="10" t="s">
        <v>2856</v>
      </c>
      <c r="G2672" s="10" t="s">
        <v>32</v>
      </c>
      <c r="H2672" s="7" t="s">
        <v>24</v>
      </c>
      <c r="I2672" s="7" t="s">
        <v>25</v>
      </c>
      <c r="J2672" s="13" t="str">
        <f>HYPERLINK("https://www.airitibooks.com/Detail/Detail?PublicationID=P20180413088", "https://www.airitibooks.com/Detail/Detail?PublicationID=P20180413088")</f>
        <v>https://www.airitibooks.com/Detail/Detail?PublicationID=P20180413088</v>
      </c>
      <c r="K2672" s="13" t="str">
        <f>HYPERLINK("https://ntsu.idm.oclc.org/login?url=https://www.airitibooks.com/Detail/Detail?PublicationID=P20180413088", "https://ntsu.idm.oclc.org/login?url=https://www.airitibooks.com/Detail/Detail?PublicationID=P20180413088")</f>
        <v>https://ntsu.idm.oclc.org/login?url=https://www.airitibooks.com/Detail/Detail?PublicationID=P20180413088</v>
      </c>
    </row>
    <row r="2673" spans="1:11" ht="51" x14ac:dyDescent="0.4">
      <c r="A2673" s="10" t="s">
        <v>9226</v>
      </c>
      <c r="B2673" s="10" t="s">
        <v>9227</v>
      </c>
      <c r="C2673" s="10" t="s">
        <v>240</v>
      </c>
      <c r="D2673" s="10" t="s">
        <v>9228</v>
      </c>
      <c r="E2673" s="10" t="s">
        <v>6182</v>
      </c>
      <c r="F2673" s="10" t="s">
        <v>9229</v>
      </c>
      <c r="G2673" s="10" t="s">
        <v>32</v>
      </c>
      <c r="H2673" s="7" t="s">
        <v>24</v>
      </c>
      <c r="I2673" s="7" t="s">
        <v>25</v>
      </c>
      <c r="J2673" s="13" t="str">
        <f>HYPERLINK("https://www.airitibooks.com/Detail/Detail?PublicationID=P20180518018", "https://www.airitibooks.com/Detail/Detail?PublicationID=P20180518018")</f>
        <v>https://www.airitibooks.com/Detail/Detail?PublicationID=P20180518018</v>
      </c>
      <c r="K2673" s="13" t="str">
        <f>HYPERLINK("https://ntsu.idm.oclc.org/login?url=https://www.airitibooks.com/Detail/Detail?PublicationID=P20180518018", "https://ntsu.idm.oclc.org/login?url=https://www.airitibooks.com/Detail/Detail?PublicationID=P20180518018")</f>
        <v>https://ntsu.idm.oclc.org/login?url=https://www.airitibooks.com/Detail/Detail?PublicationID=P20180518018</v>
      </c>
    </row>
    <row r="2674" spans="1:11" ht="51" x14ac:dyDescent="0.4">
      <c r="A2674" s="10" t="s">
        <v>9263</v>
      </c>
      <c r="B2674" s="10" t="s">
        <v>9264</v>
      </c>
      <c r="C2674" s="10" t="s">
        <v>240</v>
      </c>
      <c r="D2674" s="10" t="s">
        <v>9265</v>
      </c>
      <c r="E2674" s="10" t="s">
        <v>6182</v>
      </c>
      <c r="F2674" s="10" t="s">
        <v>3953</v>
      </c>
      <c r="G2674" s="10" t="s">
        <v>32</v>
      </c>
      <c r="H2674" s="7" t="s">
        <v>24</v>
      </c>
      <c r="I2674" s="7" t="s">
        <v>25</v>
      </c>
      <c r="J2674" s="13" t="str">
        <f>HYPERLINK("https://www.airitibooks.com/Detail/Detail?PublicationID=P20180525016", "https://www.airitibooks.com/Detail/Detail?PublicationID=P20180525016")</f>
        <v>https://www.airitibooks.com/Detail/Detail?PublicationID=P20180525016</v>
      </c>
      <c r="K2674" s="13" t="str">
        <f>HYPERLINK("https://ntsu.idm.oclc.org/login?url=https://www.airitibooks.com/Detail/Detail?PublicationID=P20180525016", "https://ntsu.idm.oclc.org/login?url=https://www.airitibooks.com/Detail/Detail?PublicationID=P20180525016")</f>
        <v>https://ntsu.idm.oclc.org/login?url=https://www.airitibooks.com/Detail/Detail?PublicationID=P20180525016</v>
      </c>
    </row>
    <row r="2675" spans="1:11" ht="51" x14ac:dyDescent="0.4">
      <c r="A2675" s="10" t="s">
        <v>9313</v>
      </c>
      <c r="B2675" s="10" t="s">
        <v>9314</v>
      </c>
      <c r="C2675" s="10" t="s">
        <v>3762</v>
      </c>
      <c r="D2675" s="10" t="s">
        <v>9315</v>
      </c>
      <c r="E2675" s="10" t="s">
        <v>6182</v>
      </c>
      <c r="F2675" s="10" t="s">
        <v>181</v>
      </c>
      <c r="G2675" s="10" t="s">
        <v>32</v>
      </c>
      <c r="H2675" s="7" t="s">
        <v>24</v>
      </c>
      <c r="I2675" s="7" t="s">
        <v>25</v>
      </c>
      <c r="J2675" s="13" t="str">
        <f>HYPERLINK("https://www.airitibooks.com/Detail/Detail?PublicationID=P20180529002", "https://www.airitibooks.com/Detail/Detail?PublicationID=P20180529002")</f>
        <v>https://www.airitibooks.com/Detail/Detail?PublicationID=P20180529002</v>
      </c>
      <c r="K2675" s="13" t="str">
        <f>HYPERLINK("https://ntsu.idm.oclc.org/login?url=https://www.airitibooks.com/Detail/Detail?PublicationID=P20180529002", "https://ntsu.idm.oclc.org/login?url=https://www.airitibooks.com/Detail/Detail?PublicationID=P20180529002")</f>
        <v>https://ntsu.idm.oclc.org/login?url=https://www.airitibooks.com/Detail/Detail?PublicationID=P20180529002</v>
      </c>
    </row>
    <row r="2676" spans="1:11" ht="51" x14ac:dyDescent="0.4">
      <c r="A2676" s="10" t="s">
        <v>9382</v>
      </c>
      <c r="B2676" s="10" t="s">
        <v>9383</v>
      </c>
      <c r="C2676" s="10" t="s">
        <v>9384</v>
      </c>
      <c r="D2676" s="10" t="s">
        <v>9385</v>
      </c>
      <c r="E2676" s="10" t="s">
        <v>6182</v>
      </c>
      <c r="F2676" s="10" t="s">
        <v>9386</v>
      </c>
      <c r="G2676" s="10" t="s">
        <v>32</v>
      </c>
      <c r="H2676" s="7" t="s">
        <v>24</v>
      </c>
      <c r="I2676" s="7" t="s">
        <v>25</v>
      </c>
      <c r="J2676" s="13" t="str">
        <f>HYPERLINK("https://www.airitibooks.com/Detail/Detail?PublicationID=P20180613008", "https://www.airitibooks.com/Detail/Detail?PublicationID=P20180613008")</f>
        <v>https://www.airitibooks.com/Detail/Detail?PublicationID=P20180613008</v>
      </c>
      <c r="K2676" s="13" t="str">
        <f>HYPERLINK("https://ntsu.idm.oclc.org/login?url=https://www.airitibooks.com/Detail/Detail?PublicationID=P20180613008", "https://ntsu.idm.oclc.org/login?url=https://www.airitibooks.com/Detail/Detail?PublicationID=P20180613008")</f>
        <v>https://ntsu.idm.oclc.org/login?url=https://www.airitibooks.com/Detail/Detail?PublicationID=P20180613008</v>
      </c>
    </row>
    <row r="2677" spans="1:11" ht="85" x14ac:dyDescent="0.4">
      <c r="A2677" s="10" t="s">
        <v>9521</v>
      </c>
      <c r="B2677" s="10" t="s">
        <v>9522</v>
      </c>
      <c r="C2677" s="10" t="s">
        <v>9514</v>
      </c>
      <c r="D2677" s="10" t="s">
        <v>9523</v>
      </c>
      <c r="E2677" s="10" t="s">
        <v>6182</v>
      </c>
      <c r="F2677" s="10" t="s">
        <v>9524</v>
      </c>
      <c r="G2677" s="10" t="s">
        <v>32</v>
      </c>
      <c r="H2677" s="7" t="s">
        <v>24</v>
      </c>
      <c r="I2677" s="7" t="s">
        <v>25</v>
      </c>
      <c r="J2677" s="13" t="str">
        <f>HYPERLINK("https://www.airitibooks.com/Detail/Detail?PublicationID=P20180628010", "https://www.airitibooks.com/Detail/Detail?PublicationID=P20180628010")</f>
        <v>https://www.airitibooks.com/Detail/Detail?PublicationID=P20180628010</v>
      </c>
      <c r="K2677" s="13" t="str">
        <f>HYPERLINK("https://ntsu.idm.oclc.org/login?url=https://www.airitibooks.com/Detail/Detail?PublicationID=P20180628010", "https://ntsu.idm.oclc.org/login?url=https://www.airitibooks.com/Detail/Detail?PublicationID=P20180628010")</f>
        <v>https://ntsu.idm.oclc.org/login?url=https://www.airitibooks.com/Detail/Detail?PublicationID=P20180628010</v>
      </c>
    </row>
    <row r="2678" spans="1:11" ht="85" x14ac:dyDescent="0.4">
      <c r="A2678" s="10" t="s">
        <v>9525</v>
      </c>
      <c r="B2678" s="10" t="s">
        <v>9526</v>
      </c>
      <c r="C2678" s="10" t="s">
        <v>9514</v>
      </c>
      <c r="D2678" s="10" t="s">
        <v>9527</v>
      </c>
      <c r="E2678" s="10" t="s">
        <v>6182</v>
      </c>
      <c r="F2678" s="10" t="s">
        <v>9528</v>
      </c>
      <c r="G2678" s="10" t="s">
        <v>32</v>
      </c>
      <c r="H2678" s="7" t="s">
        <v>24</v>
      </c>
      <c r="I2678" s="7" t="s">
        <v>25</v>
      </c>
      <c r="J2678" s="13" t="str">
        <f>HYPERLINK("https://www.airitibooks.com/Detail/Detail?PublicationID=P20180628011", "https://www.airitibooks.com/Detail/Detail?PublicationID=P20180628011")</f>
        <v>https://www.airitibooks.com/Detail/Detail?PublicationID=P20180628011</v>
      </c>
      <c r="K2678" s="13" t="str">
        <f>HYPERLINK("https://ntsu.idm.oclc.org/login?url=https://www.airitibooks.com/Detail/Detail?PublicationID=P20180628011", "https://ntsu.idm.oclc.org/login?url=https://www.airitibooks.com/Detail/Detail?PublicationID=P20180628011")</f>
        <v>https://ntsu.idm.oclc.org/login?url=https://www.airitibooks.com/Detail/Detail?PublicationID=P20180628011</v>
      </c>
    </row>
    <row r="2679" spans="1:11" ht="85" x14ac:dyDescent="0.4">
      <c r="A2679" s="10" t="s">
        <v>9537</v>
      </c>
      <c r="B2679" s="10" t="s">
        <v>9538</v>
      </c>
      <c r="C2679" s="10" t="s">
        <v>9514</v>
      </c>
      <c r="D2679" s="10" t="s">
        <v>9539</v>
      </c>
      <c r="E2679" s="10" t="s">
        <v>6182</v>
      </c>
      <c r="F2679" s="10" t="s">
        <v>9540</v>
      </c>
      <c r="G2679" s="10" t="s">
        <v>32</v>
      </c>
      <c r="H2679" s="7" t="s">
        <v>24</v>
      </c>
      <c r="I2679" s="7" t="s">
        <v>25</v>
      </c>
      <c r="J2679" s="13" t="str">
        <f>HYPERLINK("https://www.airitibooks.com/Detail/Detail?PublicationID=P20180628018", "https://www.airitibooks.com/Detail/Detail?PublicationID=P20180628018")</f>
        <v>https://www.airitibooks.com/Detail/Detail?PublicationID=P20180628018</v>
      </c>
      <c r="K2679" s="13" t="str">
        <f>HYPERLINK("https://ntsu.idm.oclc.org/login?url=https://www.airitibooks.com/Detail/Detail?PublicationID=P20180628018", "https://ntsu.idm.oclc.org/login?url=https://www.airitibooks.com/Detail/Detail?PublicationID=P20180628018")</f>
        <v>https://ntsu.idm.oclc.org/login?url=https://www.airitibooks.com/Detail/Detail?PublicationID=P20180628018</v>
      </c>
    </row>
    <row r="2680" spans="1:11" ht="85" x14ac:dyDescent="0.4">
      <c r="A2680" s="10" t="s">
        <v>9549</v>
      </c>
      <c r="B2680" s="10" t="s">
        <v>9550</v>
      </c>
      <c r="C2680" s="10" t="s">
        <v>9514</v>
      </c>
      <c r="D2680" s="10" t="s">
        <v>9551</v>
      </c>
      <c r="E2680" s="10" t="s">
        <v>6182</v>
      </c>
      <c r="F2680" s="10" t="s">
        <v>9552</v>
      </c>
      <c r="G2680" s="10" t="s">
        <v>32</v>
      </c>
      <c r="H2680" s="7" t="s">
        <v>24</v>
      </c>
      <c r="I2680" s="7" t="s">
        <v>25</v>
      </c>
      <c r="J2680" s="13" t="str">
        <f>HYPERLINK("https://www.airitibooks.com/Detail/Detail?PublicationID=P20180628022", "https://www.airitibooks.com/Detail/Detail?PublicationID=P20180628022")</f>
        <v>https://www.airitibooks.com/Detail/Detail?PublicationID=P20180628022</v>
      </c>
      <c r="K2680" s="13" t="str">
        <f>HYPERLINK("https://ntsu.idm.oclc.org/login?url=https://www.airitibooks.com/Detail/Detail?PublicationID=P20180628022", "https://ntsu.idm.oclc.org/login?url=https://www.airitibooks.com/Detail/Detail?PublicationID=P20180628022")</f>
        <v>https://ntsu.idm.oclc.org/login?url=https://www.airitibooks.com/Detail/Detail?PublicationID=P20180628022</v>
      </c>
    </row>
    <row r="2681" spans="1:11" ht="85" x14ac:dyDescent="0.4">
      <c r="A2681" s="10" t="s">
        <v>9741</v>
      </c>
      <c r="B2681" s="10" t="s">
        <v>9742</v>
      </c>
      <c r="C2681" s="10" t="s">
        <v>1296</v>
      </c>
      <c r="D2681" s="10" t="s">
        <v>9743</v>
      </c>
      <c r="E2681" s="10" t="s">
        <v>6182</v>
      </c>
      <c r="F2681" s="10" t="s">
        <v>9744</v>
      </c>
      <c r="G2681" s="10" t="s">
        <v>32</v>
      </c>
      <c r="H2681" s="7" t="s">
        <v>24</v>
      </c>
      <c r="I2681" s="7" t="s">
        <v>25</v>
      </c>
      <c r="J2681" s="13" t="str">
        <f>HYPERLINK("https://www.airitibooks.com/Detail/Detail?PublicationID=P20180822018", "https://www.airitibooks.com/Detail/Detail?PublicationID=P20180822018")</f>
        <v>https://www.airitibooks.com/Detail/Detail?PublicationID=P20180822018</v>
      </c>
      <c r="K2681" s="13" t="str">
        <f>HYPERLINK("https://ntsu.idm.oclc.org/login?url=https://www.airitibooks.com/Detail/Detail?PublicationID=P20180822018", "https://ntsu.idm.oclc.org/login?url=https://www.airitibooks.com/Detail/Detail?PublicationID=P20180822018")</f>
        <v>https://ntsu.idm.oclc.org/login?url=https://www.airitibooks.com/Detail/Detail?PublicationID=P20180822018</v>
      </c>
    </row>
    <row r="2682" spans="1:11" ht="51" x14ac:dyDescent="0.4">
      <c r="A2682" s="10" t="s">
        <v>9749</v>
      </c>
      <c r="B2682" s="10" t="s">
        <v>9750</v>
      </c>
      <c r="C2682" s="10" t="s">
        <v>1296</v>
      </c>
      <c r="D2682" s="10" t="s">
        <v>9751</v>
      </c>
      <c r="E2682" s="10" t="s">
        <v>6182</v>
      </c>
      <c r="F2682" s="10" t="s">
        <v>1317</v>
      </c>
      <c r="G2682" s="10" t="s">
        <v>32</v>
      </c>
      <c r="H2682" s="7" t="s">
        <v>24</v>
      </c>
      <c r="I2682" s="7" t="s">
        <v>25</v>
      </c>
      <c r="J2682" s="13" t="str">
        <f>HYPERLINK("https://www.airitibooks.com/Detail/Detail?PublicationID=P20180822023", "https://www.airitibooks.com/Detail/Detail?PublicationID=P20180822023")</f>
        <v>https://www.airitibooks.com/Detail/Detail?PublicationID=P20180822023</v>
      </c>
      <c r="K2682" s="13" t="str">
        <f>HYPERLINK("https://ntsu.idm.oclc.org/login?url=https://www.airitibooks.com/Detail/Detail?PublicationID=P20180822023", "https://ntsu.idm.oclc.org/login?url=https://www.airitibooks.com/Detail/Detail?PublicationID=P20180822023")</f>
        <v>https://ntsu.idm.oclc.org/login?url=https://www.airitibooks.com/Detail/Detail?PublicationID=P20180822023</v>
      </c>
    </row>
    <row r="2683" spans="1:11" ht="51" x14ac:dyDescent="0.4">
      <c r="A2683" s="10" t="s">
        <v>9796</v>
      </c>
      <c r="B2683" s="10" t="s">
        <v>9797</v>
      </c>
      <c r="C2683" s="10" t="s">
        <v>838</v>
      </c>
      <c r="D2683" s="10" t="s">
        <v>9798</v>
      </c>
      <c r="E2683" s="10" t="s">
        <v>6182</v>
      </c>
      <c r="F2683" s="10" t="s">
        <v>1903</v>
      </c>
      <c r="G2683" s="10" t="s">
        <v>32</v>
      </c>
      <c r="H2683" s="7" t="s">
        <v>24</v>
      </c>
      <c r="I2683" s="7" t="s">
        <v>25</v>
      </c>
      <c r="J2683" s="13" t="str">
        <f>HYPERLINK("https://www.airitibooks.com/Detail/Detail?PublicationID=P20180910005", "https://www.airitibooks.com/Detail/Detail?PublicationID=P20180910005")</f>
        <v>https://www.airitibooks.com/Detail/Detail?PublicationID=P20180910005</v>
      </c>
      <c r="K2683" s="13" t="str">
        <f>HYPERLINK("https://ntsu.idm.oclc.org/login?url=https://www.airitibooks.com/Detail/Detail?PublicationID=P20180910005", "https://ntsu.idm.oclc.org/login?url=https://www.airitibooks.com/Detail/Detail?PublicationID=P20180910005")</f>
        <v>https://ntsu.idm.oclc.org/login?url=https://www.airitibooks.com/Detail/Detail?PublicationID=P20180910005</v>
      </c>
    </row>
    <row r="2684" spans="1:11" ht="51" x14ac:dyDescent="0.4">
      <c r="A2684" s="10" t="s">
        <v>9810</v>
      </c>
      <c r="B2684" s="10" t="s">
        <v>9811</v>
      </c>
      <c r="C2684" s="10" t="s">
        <v>838</v>
      </c>
      <c r="D2684" s="10" t="s">
        <v>9812</v>
      </c>
      <c r="E2684" s="10" t="s">
        <v>6182</v>
      </c>
      <c r="F2684" s="10" t="s">
        <v>9813</v>
      </c>
      <c r="G2684" s="10" t="s">
        <v>32</v>
      </c>
      <c r="H2684" s="7" t="s">
        <v>24</v>
      </c>
      <c r="I2684" s="7" t="s">
        <v>25</v>
      </c>
      <c r="J2684" s="13" t="str">
        <f>HYPERLINK("https://www.airitibooks.com/Detail/Detail?PublicationID=P20180910011", "https://www.airitibooks.com/Detail/Detail?PublicationID=P20180910011")</f>
        <v>https://www.airitibooks.com/Detail/Detail?PublicationID=P20180910011</v>
      </c>
      <c r="K2684" s="13" t="str">
        <f>HYPERLINK("https://ntsu.idm.oclc.org/login?url=https://www.airitibooks.com/Detail/Detail?PublicationID=P20180910011", "https://ntsu.idm.oclc.org/login?url=https://www.airitibooks.com/Detail/Detail?PublicationID=P20180910011")</f>
        <v>https://ntsu.idm.oclc.org/login?url=https://www.airitibooks.com/Detail/Detail?PublicationID=P20180910011</v>
      </c>
    </row>
    <row r="2685" spans="1:11" ht="102" x14ac:dyDescent="0.4">
      <c r="A2685" s="10" t="s">
        <v>9928</v>
      </c>
      <c r="B2685" s="10" t="s">
        <v>9929</v>
      </c>
      <c r="C2685" s="10" t="s">
        <v>147</v>
      </c>
      <c r="D2685" s="10" t="s">
        <v>9930</v>
      </c>
      <c r="E2685" s="10" t="s">
        <v>6182</v>
      </c>
      <c r="F2685" s="10" t="s">
        <v>6820</v>
      </c>
      <c r="G2685" s="10" t="s">
        <v>32</v>
      </c>
      <c r="H2685" s="7" t="s">
        <v>24</v>
      </c>
      <c r="I2685" s="7" t="s">
        <v>25</v>
      </c>
      <c r="J2685" s="13" t="str">
        <f>HYPERLINK("https://www.airitibooks.com/Detail/Detail?PublicationID=P20181023005", "https://www.airitibooks.com/Detail/Detail?PublicationID=P20181023005")</f>
        <v>https://www.airitibooks.com/Detail/Detail?PublicationID=P20181023005</v>
      </c>
      <c r="K2685" s="13" t="str">
        <f>HYPERLINK("https://ntsu.idm.oclc.org/login?url=https://www.airitibooks.com/Detail/Detail?PublicationID=P20181023005", "https://ntsu.idm.oclc.org/login?url=https://www.airitibooks.com/Detail/Detail?PublicationID=P20181023005")</f>
        <v>https://ntsu.idm.oclc.org/login?url=https://www.airitibooks.com/Detail/Detail?PublicationID=P20181023005</v>
      </c>
    </row>
    <row r="2686" spans="1:11" ht="51" x14ac:dyDescent="0.4">
      <c r="A2686" s="10" t="s">
        <v>9931</v>
      </c>
      <c r="B2686" s="10" t="s">
        <v>9932</v>
      </c>
      <c r="C2686" s="10" t="s">
        <v>147</v>
      </c>
      <c r="D2686" s="10" t="s">
        <v>9933</v>
      </c>
      <c r="E2686" s="10" t="s">
        <v>6182</v>
      </c>
      <c r="F2686" s="10" t="s">
        <v>42</v>
      </c>
      <c r="G2686" s="10" t="s">
        <v>32</v>
      </c>
      <c r="H2686" s="7" t="s">
        <v>24</v>
      </c>
      <c r="I2686" s="7" t="s">
        <v>25</v>
      </c>
      <c r="J2686" s="13" t="str">
        <f>HYPERLINK("https://www.airitibooks.com/Detail/Detail?PublicationID=P20181023006", "https://www.airitibooks.com/Detail/Detail?PublicationID=P20181023006")</f>
        <v>https://www.airitibooks.com/Detail/Detail?PublicationID=P20181023006</v>
      </c>
      <c r="K2686" s="13" t="str">
        <f>HYPERLINK("https://ntsu.idm.oclc.org/login?url=https://www.airitibooks.com/Detail/Detail?PublicationID=P20181023006", "https://ntsu.idm.oclc.org/login?url=https://www.airitibooks.com/Detail/Detail?PublicationID=P20181023006")</f>
        <v>https://ntsu.idm.oclc.org/login?url=https://www.airitibooks.com/Detail/Detail?PublicationID=P20181023006</v>
      </c>
    </row>
    <row r="2687" spans="1:11" ht="51" x14ac:dyDescent="0.4">
      <c r="A2687" s="10" t="s">
        <v>9987</v>
      </c>
      <c r="B2687" s="10" t="s">
        <v>9988</v>
      </c>
      <c r="C2687" s="10" t="s">
        <v>147</v>
      </c>
      <c r="D2687" s="10" t="s">
        <v>9989</v>
      </c>
      <c r="E2687" s="10" t="s">
        <v>6182</v>
      </c>
      <c r="F2687" s="10" t="s">
        <v>4823</v>
      </c>
      <c r="G2687" s="10" t="s">
        <v>32</v>
      </c>
      <c r="H2687" s="7" t="s">
        <v>24</v>
      </c>
      <c r="I2687" s="7" t="s">
        <v>25</v>
      </c>
      <c r="J2687" s="13" t="str">
        <f>HYPERLINK("https://www.airitibooks.com/Detail/Detail?PublicationID=P20181107001", "https://www.airitibooks.com/Detail/Detail?PublicationID=P20181107001")</f>
        <v>https://www.airitibooks.com/Detail/Detail?PublicationID=P20181107001</v>
      </c>
      <c r="K2687" s="13" t="str">
        <f>HYPERLINK("https://ntsu.idm.oclc.org/login?url=https://www.airitibooks.com/Detail/Detail?PublicationID=P20181107001", "https://ntsu.idm.oclc.org/login?url=https://www.airitibooks.com/Detail/Detail?PublicationID=P20181107001")</f>
        <v>https://ntsu.idm.oclc.org/login?url=https://www.airitibooks.com/Detail/Detail?PublicationID=P20181107001</v>
      </c>
    </row>
    <row r="2688" spans="1:11" ht="51" x14ac:dyDescent="0.4">
      <c r="A2688" s="10" t="s">
        <v>10139</v>
      </c>
      <c r="B2688" s="10" t="s">
        <v>10140</v>
      </c>
      <c r="C2688" s="10" t="s">
        <v>9828</v>
      </c>
      <c r="D2688" s="10" t="s">
        <v>10141</v>
      </c>
      <c r="E2688" s="10" t="s">
        <v>6182</v>
      </c>
      <c r="F2688" s="10" t="s">
        <v>5742</v>
      </c>
      <c r="G2688" s="10" t="s">
        <v>32</v>
      </c>
      <c r="H2688" s="7" t="s">
        <v>1031</v>
      </c>
      <c r="I2688" s="7" t="s">
        <v>25</v>
      </c>
      <c r="J2688" s="13" t="str">
        <f>HYPERLINK("https://www.airitibooks.com/Detail/Detail?PublicationID=P20181121050", "https://www.airitibooks.com/Detail/Detail?PublicationID=P20181121050")</f>
        <v>https://www.airitibooks.com/Detail/Detail?PublicationID=P20181121050</v>
      </c>
      <c r="K2688" s="13" t="str">
        <f>HYPERLINK("https://ntsu.idm.oclc.org/login?url=https://www.airitibooks.com/Detail/Detail?PublicationID=P20181121050", "https://ntsu.idm.oclc.org/login?url=https://www.airitibooks.com/Detail/Detail?PublicationID=P20181121050")</f>
        <v>https://ntsu.idm.oclc.org/login?url=https://www.airitibooks.com/Detail/Detail?PublicationID=P20181121050</v>
      </c>
    </row>
    <row r="2689" spans="1:11" ht="51" x14ac:dyDescent="0.4">
      <c r="A2689" s="10" t="s">
        <v>10163</v>
      </c>
      <c r="B2689" s="10" t="s">
        <v>10164</v>
      </c>
      <c r="C2689" s="10" t="s">
        <v>10156</v>
      </c>
      <c r="D2689" s="10" t="s">
        <v>10165</v>
      </c>
      <c r="E2689" s="10" t="s">
        <v>6182</v>
      </c>
      <c r="F2689" s="10" t="s">
        <v>972</v>
      </c>
      <c r="G2689" s="10" t="s">
        <v>32</v>
      </c>
      <c r="H2689" s="7" t="s">
        <v>24</v>
      </c>
      <c r="I2689" s="7" t="s">
        <v>25</v>
      </c>
      <c r="J2689" s="13" t="str">
        <f>HYPERLINK("https://www.airitibooks.com/Detail/Detail?PublicationID=P20181123017", "https://www.airitibooks.com/Detail/Detail?PublicationID=P20181123017")</f>
        <v>https://www.airitibooks.com/Detail/Detail?PublicationID=P20181123017</v>
      </c>
      <c r="K2689" s="13" t="str">
        <f>HYPERLINK("https://ntsu.idm.oclc.org/login?url=https://www.airitibooks.com/Detail/Detail?PublicationID=P20181123017", "https://ntsu.idm.oclc.org/login?url=https://www.airitibooks.com/Detail/Detail?PublicationID=P20181123017")</f>
        <v>https://ntsu.idm.oclc.org/login?url=https://www.airitibooks.com/Detail/Detail?PublicationID=P20181123017</v>
      </c>
    </row>
    <row r="2690" spans="1:11" ht="51" x14ac:dyDescent="0.4">
      <c r="A2690" s="10" t="s">
        <v>10250</v>
      </c>
      <c r="B2690" s="10" t="s">
        <v>10251</v>
      </c>
      <c r="C2690" s="10" t="s">
        <v>9828</v>
      </c>
      <c r="D2690" s="10" t="s">
        <v>10252</v>
      </c>
      <c r="E2690" s="10" t="s">
        <v>6182</v>
      </c>
      <c r="F2690" s="10" t="s">
        <v>2937</v>
      </c>
      <c r="G2690" s="10" t="s">
        <v>32</v>
      </c>
      <c r="H2690" s="7" t="s">
        <v>1031</v>
      </c>
      <c r="I2690" s="7" t="s">
        <v>25</v>
      </c>
      <c r="J2690" s="13" t="str">
        <f>HYPERLINK("https://www.airitibooks.com/Detail/Detail?PublicationID=P20181203077", "https://www.airitibooks.com/Detail/Detail?PublicationID=P20181203077")</f>
        <v>https://www.airitibooks.com/Detail/Detail?PublicationID=P20181203077</v>
      </c>
      <c r="K2690" s="13" t="str">
        <f>HYPERLINK("https://ntsu.idm.oclc.org/login?url=https://www.airitibooks.com/Detail/Detail?PublicationID=P20181203077", "https://ntsu.idm.oclc.org/login?url=https://www.airitibooks.com/Detail/Detail?PublicationID=P20181203077")</f>
        <v>https://ntsu.idm.oclc.org/login?url=https://www.airitibooks.com/Detail/Detail?PublicationID=P20181203077</v>
      </c>
    </row>
    <row r="2691" spans="1:11" ht="51" x14ac:dyDescent="0.4">
      <c r="A2691" s="10" t="s">
        <v>10356</v>
      </c>
      <c r="B2691" s="10" t="s">
        <v>10357</v>
      </c>
      <c r="C2691" s="10" t="s">
        <v>5901</v>
      </c>
      <c r="D2691" s="10" t="s">
        <v>5901</v>
      </c>
      <c r="E2691" s="10" t="s">
        <v>6182</v>
      </c>
      <c r="F2691" s="10" t="s">
        <v>4849</v>
      </c>
      <c r="G2691" s="10" t="s">
        <v>32</v>
      </c>
      <c r="H2691" s="7" t="s">
        <v>7839</v>
      </c>
      <c r="I2691" s="7" t="s">
        <v>25</v>
      </c>
      <c r="J2691" s="13" t="str">
        <f>HYPERLINK("https://www.airitibooks.com/Detail/Detail?PublicationID=P20181214040", "https://www.airitibooks.com/Detail/Detail?PublicationID=P20181214040")</f>
        <v>https://www.airitibooks.com/Detail/Detail?PublicationID=P20181214040</v>
      </c>
      <c r="K2691" s="13" t="str">
        <f>HYPERLINK("https://ntsu.idm.oclc.org/login?url=https://www.airitibooks.com/Detail/Detail?PublicationID=P20181214040", "https://ntsu.idm.oclc.org/login?url=https://www.airitibooks.com/Detail/Detail?PublicationID=P20181214040")</f>
        <v>https://ntsu.idm.oclc.org/login?url=https://www.airitibooks.com/Detail/Detail?PublicationID=P20181214040</v>
      </c>
    </row>
    <row r="2692" spans="1:11" ht="51" x14ac:dyDescent="0.4">
      <c r="A2692" s="10" t="s">
        <v>10467</v>
      </c>
      <c r="B2692" s="10" t="s">
        <v>10468</v>
      </c>
      <c r="C2692" s="10" t="s">
        <v>1504</v>
      </c>
      <c r="D2692" s="10" t="s">
        <v>10469</v>
      </c>
      <c r="E2692" s="10" t="s">
        <v>6182</v>
      </c>
      <c r="F2692" s="10" t="s">
        <v>9676</v>
      </c>
      <c r="G2692" s="10" t="s">
        <v>32</v>
      </c>
      <c r="H2692" s="7" t="s">
        <v>24</v>
      </c>
      <c r="I2692" s="7" t="s">
        <v>25</v>
      </c>
      <c r="J2692" s="13" t="str">
        <f>HYPERLINK("https://www.airitibooks.com/Detail/Detail?PublicationID=P20181221106", "https://www.airitibooks.com/Detail/Detail?PublicationID=P20181221106")</f>
        <v>https://www.airitibooks.com/Detail/Detail?PublicationID=P20181221106</v>
      </c>
      <c r="K2692" s="13" t="str">
        <f>HYPERLINK("https://ntsu.idm.oclc.org/login?url=https://www.airitibooks.com/Detail/Detail?PublicationID=P20181221106", "https://ntsu.idm.oclc.org/login?url=https://www.airitibooks.com/Detail/Detail?PublicationID=P20181221106")</f>
        <v>https://ntsu.idm.oclc.org/login?url=https://www.airitibooks.com/Detail/Detail?PublicationID=P20181221106</v>
      </c>
    </row>
    <row r="2693" spans="1:11" ht="51" x14ac:dyDescent="0.4">
      <c r="A2693" s="10" t="s">
        <v>10657</v>
      </c>
      <c r="B2693" s="10" t="s">
        <v>10658</v>
      </c>
      <c r="C2693" s="10" t="s">
        <v>264</v>
      </c>
      <c r="D2693" s="10" t="s">
        <v>3533</v>
      </c>
      <c r="E2693" s="10" t="s">
        <v>6182</v>
      </c>
      <c r="F2693" s="10" t="s">
        <v>3619</v>
      </c>
      <c r="G2693" s="10" t="s">
        <v>32</v>
      </c>
      <c r="H2693" s="7" t="s">
        <v>24</v>
      </c>
      <c r="I2693" s="7" t="s">
        <v>25</v>
      </c>
      <c r="J2693" s="13" t="str">
        <f>HYPERLINK("https://www.airitibooks.com/Detail/Detail?PublicationID=P20190214043", "https://www.airitibooks.com/Detail/Detail?PublicationID=P20190214043")</f>
        <v>https://www.airitibooks.com/Detail/Detail?PublicationID=P20190214043</v>
      </c>
      <c r="K2693" s="13" t="str">
        <f>HYPERLINK("https://ntsu.idm.oclc.org/login?url=https://www.airitibooks.com/Detail/Detail?PublicationID=P20190214043", "https://ntsu.idm.oclc.org/login?url=https://www.airitibooks.com/Detail/Detail?PublicationID=P20190214043")</f>
        <v>https://ntsu.idm.oclc.org/login?url=https://www.airitibooks.com/Detail/Detail?PublicationID=P20190214043</v>
      </c>
    </row>
    <row r="2694" spans="1:11" ht="102" x14ac:dyDescent="0.4">
      <c r="A2694" s="10" t="s">
        <v>10659</v>
      </c>
      <c r="B2694" s="10" t="s">
        <v>10660</v>
      </c>
      <c r="C2694" s="10" t="s">
        <v>264</v>
      </c>
      <c r="D2694" s="10" t="s">
        <v>10661</v>
      </c>
      <c r="E2694" s="10" t="s">
        <v>6182</v>
      </c>
      <c r="F2694" s="10" t="s">
        <v>10662</v>
      </c>
      <c r="G2694" s="10" t="s">
        <v>32</v>
      </c>
      <c r="H2694" s="7" t="s">
        <v>24</v>
      </c>
      <c r="I2694" s="7" t="s">
        <v>25</v>
      </c>
      <c r="J2694" s="13" t="str">
        <f>HYPERLINK("https://www.airitibooks.com/Detail/Detail?PublicationID=P20190214045", "https://www.airitibooks.com/Detail/Detail?PublicationID=P20190214045")</f>
        <v>https://www.airitibooks.com/Detail/Detail?PublicationID=P20190214045</v>
      </c>
      <c r="K2694" s="13" t="str">
        <f>HYPERLINK("https://ntsu.idm.oclc.org/login?url=https://www.airitibooks.com/Detail/Detail?PublicationID=P20190214045", "https://ntsu.idm.oclc.org/login?url=https://www.airitibooks.com/Detail/Detail?PublicationID=P20190214045")</f>
        <v>https://ntsu.idm.oclc.org/login?url=https://www.airitibooks.com/Detail/Detail?PublicationID=P20190214045</v>
      </c>
    </row>
    <row r="2695" spans="1:11" ht="102" x14ac:dyDescent="0.4">
      <c r="A2695" s="10" t="s">
        <v>10681</v>
      </c>
      <c r="B2695" s="10" t="s">
        <v>10682</v>
      </c>
      <c r="C2695" s="10" t="s">
        <v>462</v>
      </c>
      <c r="D2695" s="10" t="s">
        <v>10683</v>
      </c>
      <c r="E2695" s="10" t="s">
        <v>6182</v>
      </c>
      <c r="F2695" s="10" t="s">
        <v>176</v>
      </c>
      <c r="G2695" s="10" t="s">
        <v>32</v>
      </c>
      <c r="H2695" s="7" t="s">
        <v>24</v>
      </c>
      <c r="I2695" s="7" t="s">
        <v>25</v>
      </c>
      <c r="J2695" s="13" t="str">
        <f>HYPERLINK("https://www.airitibooks.com/Detail/Detail?PublicationID=P20190214070", "https://www.airitibooks.com/Detail/Detail?PublicationID=P20190214070")</f>
        <v>https://www.airitibooks.com/Detail/Detail?PublicationID=P20190214070</v>
      </c>
      <c r="K2695" s="13" t="str">
        <f>HYPERLINK("https://ntsu.idm.oclc.org/login?url=https://www.airitibooks.com/Detail/Detail?PublicationID=P20190214070", "https://ntsu.idm.oclc.org/login?url=https://www.airitibooks.com/Detail/Detail?PublicationID=P20190214070")</f>
        <v>https://ntsu.idm.oclc.org/login?url=https://www.airitibooks.com/Detail/Detail?PublicationID=P20190214070</v>
      </c>
    </row>
    <row r="2696" spans="1:11" ht="51" x14ac:dyDescent="0.4">
      <c r="A2696" s="10" t="s">
        <v>10757</v>
      </c>
      <c r="B2696" s="10" t="s">
        <v>10758</v>
      </c>
      <c r="C2696" s="10" t="s">
        <v>152</v>
      </c>
      <c r="D2696" s="10" t="s">
        <v>5729</v>
      </c>
      <c r="E2696" s="10" t="s">
        <v>6182</v>
      </c>
      <c r="F2696" s="10" t="s">
        <v>181</v>
      </c>
      <c r="G2696" s="10" t="s">
        <v>32</v>
      </c>
      <c r="H2696" s="7" t="s">
        <v>24</v>
      </c>
      <c r="I2696" s="7" t="s">
        <v>25</v>
      </c>
      <c r="J2696" s="13" t="str">
        <f>HYPERLINK("https://www.airitibooks.com/Detail/Detail?PublicationID=P20190218038", "https://www.airitibooks.com/Detail/Detail?PublicationID=P20190218038")</f>
        <v>https://www.airitibooks.com/Detail/Detail?PublicationID=P20190218038</v>
      </c>
      <c r="K2696" s="13" t="str">
        <f>HYPERLINK("https://ntsu.idm.oclc.org/login?url=https://www.airitibooks.com/Detail/Detail?PublicationID=P20190218038", "https://ntsu.idm.oclc.org/login?url=https://www.airitibooks.com/Detail/Detail?PublicationID=P20190218038")</f>
        <v>https://ntsu.idm.oclc.org/login?url=https://www.airitibooks.com/Detail/Detail?PublicationID=P20190218038</v>
      </c>
    </row>
    <row r="2697" spans="1:11" ht="51" x14ac:dyDescent="0.4">
      <c r="A2697" s="10" t="s">
        <v>10759</v>
      </c>
      <c r="B2697" s="10" t="s">
        <v>10760</v>
      </c>
      <c r="C2697" s="10" t="s">
        <v>152</v>
      </c>
      <c r="D2697" s="10" t="s">
        <v>10761</v>
      </c>
      <c r="E2697" s="10" t="s">
        <v>6182</v>
      </c>
      <c r="F2697" s="10" t="s">
        <v>181</v>
      </c>
      <c r="G2697" s="10" t="s">
        <v>32</v>
      </c>
      <c r="H2697" s="7" t="s">
        <v>24</v>
      </c>
      <c r="I2697" s="7" t="s">
        <v>25</v>
      </c>
      <c r="J2697" s="13" t="str">
        <f>HYPERLINK("https://www.airitibooks.com/Detail/Detail?PublicationID=P20190218039", "https://www.airitibooks.com/Detail/Detail?PublicationID=P20190218039")</f>
        <v>https://www.airitibooks.com/Detail/Detail?PublicationID=P20190218039</v>
      </c>
      <c r="K2697" s="13" t="str">
        <f>HYPERLINK("https://ntsu.idm.oclc.org/login?url=https://www.airitibooks.com/Detail/Detail?PublicationID=P20190218039", "https://ntsu.idm.oclc.org/login?url=https://www.airitibooks.com/Detail/Detail?PublicationID=P20190218039")</f>
        <v>https://ntsu.idm.oclc.org/login?url=https://www.airitibooks.com/Detail/Detail?PublicationID=P20190218039</v>
      </c>
    </row>
    <row r="2698" spans="1:11" ht="51" x14ac:dyDescent="0.4">
      <c r="A2698" s="10" t="s">
        <v>10880</v>
      </c>
      <c r="B2698" s="10" t="s">
        <v>10881</v>
      </c>
      <c r="C2698" s="10" t="s">
        <v>462</v>
      </c>
      <c r="D2698" s="10" t="s">
        <v>10882</v>
      </c>
      <c r="E2698" s="10" t="s">
        <v>6182</v>
      </c>
      <c r="F2698" s="10" t="s">
        <v>176</v>
      </c>
      <c r="G2698" s="10" t="s">
        <v>32</v>
      </c>
      <c r="H2698" s="7" t="s">
        <v>24</v>
      </c>
      <c r="I2698" s="7" t="s">
        <v>25</v>
      </c>
      <c r="J2698" s="13" t="str">
        <f>HYPERLINK("https://www.airitibooks.com/Detail/Detail?PublicationID=P20190222057", "https://www.airitibooks.com/Detail/Detail?PublicationID=P20190222057")</f>
        <v>https://www.airitibooks.com/Detail/Detail?PublicationID=P20190222057</v>
      </c>
      <c r="K2698" s="13" t="str">
        <f>HYPERLINK("https://ntsu.idm.oclc.org/login?url=https://www.airitibooks.com/Detail/Detail?PublicationID=P20190222057", "https://ntsu.idm.oclc.org/login?url=https://www.airitibooks.com/Detail/Detail?PublicationID=P20190222057")</f>
        <v>https://ntsu.idm.oclc.org/login?url=https://www.airitibooks.com/Detail/Detail?PublicationID=P20190222057</v>
      </c>
    </row>
    <row r="2699" spans="1:11" ht="51" x14ac:dyDescent="0.4">
      <c r="A2699" s="10" t="s">
        <v>10883</v>
      </c>
      <c r="B2699" s="10" t="s">
        <v>10884</v>
      </c>
      <c r="C2699" s="10" t="s">
        <v>462</v>
      </c>
      <c r="D2699" s="10" t="s">
        <v>10885</v>
      </c>
      <c r="E2699" s="10" t="s">
        <v>6182</v>
      </c>
      <c r="F2699" s="10" t="s">
        <v>4823</v>
      </c>
      <c r="G2699" s="10" t="s">
        <v>32</v>
      </c>
      <c r="H2699" s="7" t="s">
        <v>24</v>
      </c>
      <c r="I2699" s="7" t="s">
        <v>25</v>
      </c>
      <c r="J2699" s="13" t="str">
        <f>HYPERLINK("https://www.airitibooks.com/Detail/Detail?PublicationID=P20190222058", "https://www.airitibooks.com/Detail/Detail?PublicationID=P20190222058")</f>
        <v>https://www.airitibooks.com/Detail/Detail?PublicationID=P20190222058</v>
      </c>
      <c r="K2699" s="13" t="str">
        <f>HYPERLINK("https://ntsu.idm.oclc.org/login?url=https://www.airitibooks.com/Detail/Detail?PublicationID=P20190222058", "https://ntsu.idm.oclc.org/login?url=https://www.airitibooks.com/Detail/Detail?PublicationID=P20190222058")</f>
        <v>https://ntsu.idm.oclc.org/login?url=https://www.airitibooks.com/Detail/Detail?PublicationID=P20190222058</v>
      </c>
    </row>
    <row r="2700" spans="1:11" ht="51" x14ac:dyDescent="0.4">
      <c r="A2700" s="10" t="s">
        <v>10972</v>
      </c>
      <c r="B2700" s="10" t="s">
        <v>10973</v>
      </c>
      <c r="C2700" s="10" t="s">
        <v>10921</v>
      </c>
      <c r="D2700" s="10" t="s">
        <v>10974</v>
      </c>
      <c r="E2700" s="10" t="s">
        <v>6182</v>
      </c>
      <c r="F2700" s="10" t="s">
        <v>4948</v>
      </c>
      <c r="G2700" s="10" t="s">
        <v>32</v>
      </c>
      <c r="H2700" s="7" t="s">
        <v>24</v>
      </c>
      <c r="I2700" s="7" t="s">
        <v>25</v>
      </c>
      <c r="J2700" s="13" t="str">
        <f>HYPERLINK("https://www.airitibooks.com/Detail/Detail?PublicationID=P20190322308", "https://www.airitibooks.com/Detail/Detail?PublicationID=P20190322308")</f>
        <v>https://www.airitibooks.com/Detail/Detail?PublicationID=P20190322308</v>
      </c>
      <c r="K2700" s="13" t="str">
        <f>HYPERLINK("https://ntsu.idm.oclc.org/login?url=https://www.airitibooks.com/Detail/Detail?PublicationID=P20190322308", "https://ntsu.idm.oclc.org/login?url=https://www.airitibooks.com/Detail/Detail?PublicationID=P20190322308")</f>
        <v>https://ntsu.idm.oclc.org/login?url=https://www.airitibooks.com/Detail/Detail?PublicationID=P20190322308</v>
      </c>
    </row>
    <row r="2701" spans="1:11" ht="51" x14ac:dyDescent="0.4">
      <c r="A2701" s="10" t="s">
        <v>11074</v>
      </c>
      <c r="B2701" s="10" t="s">
        <v>11075</v>
      </c>
      <c r="C2701" s="10" t="s">
        <v>11037</v>
      </c>
      <c r="D2701" s="10" t="s">
        <v>11076</v>
      </c>
      <c r="E2701" s="10" t="s">
        <v>6182</v>
      </c>
      <c r="F2701" s="10" t="s">
        <v>2937</v>
      </c>
      <c r="G2701" s="10" t="s">
        <v>32</v>
      </c>
      <c r="H2701" s="7" t="s">
        <v>1031</v>
      </c>
      <c r="I2701" s="7" t="s">
        <v>25</v>
      </c>
      <c r="J2701" s="13" t="str">
        <f>HYPERLINK("https://www.airitibooks.com/Detail/Detail?PublicationID=P20190419084", "https://www.airitibooks.com/Detail/Detail?PublicationID=P20190419084")</f>
        <v>https://www.airitibooks.com/Detail/Detail?PublicationID=P20190419084</v>
      </c>
      <c r="K2701" s="13" t="str">
        <f>HYPERLINK("https://ntsu.idm.oclc.org/login?url=https://www.airitibooks.com/Detail/Detail?PublicationID=P20190419084", "https://ntsu.idm.oclc.org/login?url=https://www.airitibooks.com/Detail/Detail?PublicationID=P20190419084")</f>
        <v>https://ntsu.idm.oclc.org/login?url=https://www.airitibooks.com/Detail/Detail?PublicationID=P20190419084</v>
      </c>
    </row>
    <row r="2702" spans="1:11" ht="51" x14ac:dyDescent="0.4">
      <c r="A2702" s="10" t="s">
        <v>11094</v>
      </c>
      <c r="B2702" s="10" t="s">
        <v>11095</v>
      </c>
      <c r="C2702" s="10" t="s">
        <v>11037</v>
      </c>
      <c r="D2702" s="10" t="s">
        <v>11096</v>
      </c>
      <c r="E2702" s="10" t="s">
        <v>6182</v>
      </c>
      <c r="F2702" s="10" t="s">
        <v>2628</v>
      </c>
      <c r="G2702" s="10" t="s">
        <v>32</v>
      </c>
      <c r="H2702" s="7" t="s">
        <v>1031</v>
      </c>
      <c r="I2702" s="7" t="s">
        <v>25</v>
      </c>
      <c r="J2702" s="13" t="str">
        <f>HYPERLINK("https://www.airitibooks.com/Detail/Detail?PublicationID=P20190419135", "https://www.airitibooks.com/Detail/Detail?PublicationID=P20190419135")</f>
        <v>https://www.airitibooks.com/Detail/Detail?PublicationID=P20190419135</v>
      </c>
      <c r="K2702" s="13" t="str">
        <f>HYPERLINK("https://ntsu.idm.oclc.org/login?url=https://www.airitibooks.com/Detail/Detail?PublicationID=P20190419135", "https://ntsu.idm.oclc.org/login?url=https://www.airitibooks.com/Detail/Detail?PublicationID=P20190419135")</f>
        <v>https://ntsu.idm.oclc.org/login?url=https://www.airitibooks.com/Detail/Detail?PublicationID=P20190419135</v>
      </c>
    </row>
    <row r="2703" spans="1:11" ht="85" x14ac:dyDescent="0.4">
      <c r="A2703" s="10" t="s">
        <v>11381</v>
      </c>
      <c r="B2703" s="10" t="s">
        <v>11382</v>
      </c>
      <c r="C2703" s="10" t="s">
        <v>11037</v>
      </c>
      <c r="D2703" s="10" t="s">
        <v>11383</v>
      </c>
      <c r="E2703" s="10" t="s">
        <v>6182</v>
      </c>
      <c r="F2703" s="10" t="s">
        <v>11384</v>
      </c>
      <c r="G2703" s="10" t="s">
        <v>32</v>
      </c>
      <c r="H2703" s="7" t="s">
        <v>1031</v>
      </c>
      <c r="I2703" s="7" t="s">
        <v>25</v>
      </c>
      <c r="J2703" s="13" t="str">
        <f>HYPERLINK("https://www.airitibooks.com/Detail/Detail?PublicationID=P20190517077", "https://www.airitibooks.com/Detail/Detail?PublicationID=P20190517077")</f>
        <v>https://www.airitibooks.com/Detail/Detail?PublicationID=P20190517077</v>
      </c>
      <c r="K2703" s="13" t="str">
        <f>HYPERLINK("https://ntsu.idm.oclc.org/login?url=https://www.airitibooks.com/Detail/Detail?PublicationID=P20190517077", "https://ntsu.idm.oclc.org/login?url=https://www.airitibooks.com/Detail/Detail?PublicationID=P20190517077")</f>
        <v>https://ntsu.idm.oclc.org/login?url=https://www.airitibooks.com/Detail/Detail?PublicationID=P20190517077</v>
      </c>
    </row>
    <row r="2704" spans="1:11" ht="51" x14ac:dyDescent="0.4">
      <c r="A2704" s="10" t="s">
        <v>11388</v>
      </c>
      <c r="B2704" s="10" t="s">
        <v>11389</v>
      </c>
      <c r="C2704" s="10" t="s">
        <v>11037</v>
      </c>
      <c r="D2704" s="10" t="s">
        <v>11390</v>
      </c>
      <c r="E2704" s="10" t="s">
        <v>6182</v>
      </c>
      <c r="F2704" s="10" t="s">
        <v>2937</v>
      </c>
      <c r="G2704" s="10" t="s">
        <v>32</v>
      </c>
      <c r="H2704" s="7" t="s">
        <v>1031</v>
      </c>
      <c r="I2704" s="7" t="s">
        <v>25</v>
      </c>
      <c r="J2704" s="13" t="str">
        <f>HYPERLINK("https://www.airitibooks.com/Detail/Detail?PublicationID=P20190517080", "https://www.airitibooks.com/Detail/Detail?PublicationID=P20190517080")</f>
        <v>https://www.airitibooks.com/Detail/Detail?PublicationID=P20190517080</v>
      </c>
      <c r="K2704" s="13" t="str">
        <f>HYPERLINK("https://ntsu.idm.oclc.org/login?url=https://www.airitibooks.com/Detail/Detail?PublicationID=P20190517080", "https://ntsu.idm.oclc.org/login?url=https://www.airitibooks.com/Detail/Detail?PublicationID=P20190517080")</f>
        <v>https://ntsu.idm.oclc.org/login?url=https://www.airitibooks.com/Detail/Detail?PublicationID=P20190517080</v>
      </c>
    </row>
    <row r="2705" spans="1:11" ht="51" x14ac:dyDescent="0.4">
      <c r="A2705" s="10" t="s">
        <v>11517</v>
      </c>
      <c r="B2705" s="10" t="s">
        <v>11518</v>
      </c>
      <c r="C2705" s="10" t="s">
        <v>9828</v>
      </c>
      <c r="D2705" s="10" t="s">
        <v>11519</v>
      </c>
      <c r="E2705" s="10" t="s">
        <v>6182</v>
      </c>
      <c r="F2705" s="10" t="s">
        <v>1556</v>
      </c>
      <c r="G2705" s="10" t="s">
        <v>32</v>
      </c>
      <c r="H2705" s="7" t="s">
        <v>1031</v>
      </c>
      <c r="I2705" s="7" t="s">
        <v>25</v>
      </c>
      <c r="J2705" s="13" t="str">
        <f>HYPERLINK("https://www.airitibooks.com/Detail/Detail?PublicationID=P20190523135", "https://www.airitibooks.com/Detail/Detail?PublicationID=P20190523135")</f>
        <v>https://www.airitibooks.com/Detail/Detail?PublicationID=P20190523135</v>
      </c>
      <c r="K2705" s="13" t="str">
        <f>HYPERLINK("https://ntsu.idm.oclc.org/login?url=https://www.airitibooks.com/Detail/Detail?PublicationID=P20190523135", "https://ntsu.idm.oclc.org/login?url=https://www.airitibooks.com/Detail/Detail?PublicationID=P20190523135")</f>
        <v>https://ntsu.idm.oclc.org/login?url=https://www.airitibooks.com/Detail/Detail?PublicationID=P20190523135</v>
      </c>
    </row>
    <row r="2706" spans="1:11" ht="68" x14ac:dyDescent="0.4">
      <c r="A2706" s="10" t="s">
        <v>11576</v>
      </c>
      <c r="B2706" s="10" t="s">
        <v>11577</v>
      </c>
      <c r="C2706" s="10" t="s">
        <v>130</v>
      </c>
      <c r="D2706" s="10" t="s">
        <v>11578</v>
      </c>
      <c r="E2706" s="10" t="s">
        <v>6182</v>
      </c>
      <c r="F2706" s="10" t="s">
        <v>3371</v>
      </c>
      <c r="G2706" s="10" t="s">
        <v>32</v>
      </c>
      <c r="H2706" s="7" t="s">
        <v>24</v>
      </c>
      <c r="I2706" s="7" t="s">
        <v>25</v>
      </c>
      <c r="J2706" s="13" t="str">
        <f>HYPERLINK("https://www.airitibooks.com/Detail/Detail?PublicationID=P20190531037", "https://www.airitibooks.com/Detail/Detail?PublicationID=P20190531037")</f>
        <v>https://www.airitibooks.com/Detail/Detail?PublicationID=P20190531037</v>
      </c>
      <c r="K2706" s="13" t="str">
        <f>HYPERLINK("https://ntsu.idm.oclc.org/login?url=https://www.airitibooks.com/Detail/Detail?PublicationID=P20190531037", "https://ntsu.idm.oclc.org/login?url=https://www.airitibooks.com/Detail/Detail?PublicationID=P20190531037")</f>
        <v>https://ntsu.idm.oclc.org/login?url=https://www.airitibooks.com/Detail/Detail?PublicationID=P20190531037</v>
      </c>
    </row>
    <row r="2707" spans="1:11" ht="51" x14ac:dyDescent="0.4">
      <c r="A2707" s="10" t="s">
        <v>11579</v>
      </c>
      <c r="B2707" s="10" t="s">
        <v>11580</v>
      </c>
      <c r="C2707" s="10" t="s">
        <v>130</v>
      </c>
      <c r="D2707" s="10" t="s">
        <v>11581</v>
      </c>
      <c r="E2707" s="10" t="s">
        <v>6182</v>
      </c>
      <c r="F2707" s="10" t="s">
        <v>11582</v>
      </c>
      <c r="G2707" s="10" t="s">
        <v>32</v>
      </c>
      <c r="H2707" s="7" t="s">
        <v>24</v>
      </c>
      <c r="I2707" s="7" t="s">
        <v>25</v>
      </c>
      <c r="J2707" s="13" t="str">
        <f>HYPERLINK("https://www.airitibooks.com/Detail/Detail?PublicationID=P20190531039", "https://www.airitibooks.com/Detail/Detail?PublicationID=P20190531039")</f>
        <v>https://www.airitibooks.com/Detail/Detail?PublicationID=P20190531039</v>
      </c>
      <c r="K2707" s="13" t="str">
        <f>HYPERLINK("https://ntsu.idm.oclc.org/login?url=https://www.airitibooks.com/Detail/Detail?PublicationID=P20190531039", "https://ntsu.idm.oclc.org/login?url=https://www.airitibooks.com/Detail/Detail?PublicationID=P20190531039")</f>
        <v>https://ntsu.idm.oclc.org/login?url=https://www.airitibooks.com/Detail/Detail?PublicationID=P20190531039</v>
      </c>
    </row>
    <row r="2708" spans="1:11" ht="51" x14ac:dyDescent="0.4">
      <c r="A2708" s="10" t="s">
        <v>11671</v>
      </c>
      <c r="B2708" s="10" t="s">
        <v>11672</v>
      </c>
      <c r="C2708" s="10" t="s">
        <v>5050</v>
      </c>
      <c r="D2708" s="10" t="s">
        <v>11673</v>
      </c>
      <c r="E2708" s="10" t="s">
        <v>6182</v>
      </c>
      <c r="F2708" s="10" t="s">
        <v>1135</v>
      </c>
      <c r="G2708" s="10" t="s">
        <v>32</v>
      </c>
      <c r="H2708" s="7" t="s">
        <v>24</v>
      </c>
      <c r="I2708" s="7" t="s">
        <v>25</v>
      </c>
      <c r="J2708" s="13" t="str">
        <f>HYPERLINK("https://www.airitibooks.com/Detail/Detail?PublicationID=P20190614071", "https://www.airitibooks.com/Detail/Detail?PublicationID=P20190614071")</f>
        <v>https://www.airitibooks.com/Detail/Detail?PublicationID=P20190614071</v>
      </c>
      <c r="K2708" s="13" t="str">
        <f>HYPERLINK("https://ntsu.idm.oclc.org/login?url=https://www.airitibooks.com/Detail/Detail?PublicationID=P20190614071", "https://ntsu.idm.oclc.org/login?url=https://www.airitibooks.com/Detail/Detail?PublicationID=P20190614071")</f>
        <v>https://ntsu.idm.oclc.org/login?url=https://www.airitibooks.com/Detail/Detail?PublicationID=P20190614071</v>
      </c>
    </row>
    <row r="2709" spans="1:11" ht="51" x14ac:dyDescent="0.4">
      <c r="A2709" s="10" t="s">
        <v>12530</v>
      </c>
      <c r="B2709" s="10" t="s">
        <v>12531</v>
      </c>
      <c r="C2709" s="10" t="s">
        <v>12510</v>
      </c>
      <c r="D2709" s="10" t="s">
        <v>12532</v>
      </c>
      <c r="E2709" s="10" t="s">
        <v>6182</v>
      </c>
      <c r="F2709" s="10" t="s">
        <v>181</v>
      </c>
      <c r="G2709" s="10" t="s">
        <v>32</v>
      </c>
      <c r="H2709" s="7" t="s">
        <v>1031</v>
      </c>
      <c r="I2709" s="7" t="s">
        <v>25</v>
      </c>
      <c r="J2709" s="13" t="str">
        <f>HYPERLINK("https://www.airitibooks.com/Detail/Detail?PublicationID=P20191005201", "https://www.airitibooks.com/Detail/Detail?PublicationID=P20191005201")</f>
        <v>https://www.airitibooks.com/Detail/Detail?PublicationID=P20191005201</v>
      </c>
      <c r="K2709" s="13" t="str">
        <f>HYPERLINK("https://ntsu.idm.oclc.org/login?url=https://www.airitibooks.com/Detail/Detail?PublicationID=P20191005201", "https://ntsu.idm.oclc.org/login?url=https://www.airitibooks.com/Detail/Detail?PublicationID=P20191005201")</f>
        <v>https://ntsu.idm.oclc.org/login?url=https://www.airitibooks.com/Detail/Detail?PublicationID=P20191005201</v>
      </c>
    </row>
    <row r="2710" spans="1:11" ht="51" x14ac:dyDescent="0.4">
      <c r="A2710" s="10" t="s">
        <v>12743</v>
      </c>
      <c r="B2710" s="10" t="s">
        <v>12744</v>
      </c>
      <c r="C2710" s="10" t="s">
        <v>12491</v>
      </c>
      <c r="D2710" s="10" t="s">
        <v>12745</v>
      </c>
      <c r="E2710" s="10" t="s">
        <v>6182</v>
      </c>
      <c r="F2710" s="10" t="s">
        <v>5375</v>
      </c>
      <c r="G2710" s="10" t="s">
        <v>32</v>
      </c>
      <c r="H2710" s="7" t="s">
        <v>1031</v>
      </c>
      <c r="I2710" s="7" t="s">
        <v>25</v>
      </c>
      <c r="J2710" s="13" t="str">
        <f>HYPERLINK("https://www.airitibooks.com/Detail/Detail?PublicationID=P20191023115", "https://www.airitibooks.com/Detail/Detail?PublicationID=P20191023115")</f>
        <v>https://www.airitibooks.com/Detail/Detail?PublicationID=P20191023115</v>
      </c>
      <c r="K2710" s="13" t="str">
        <f>HYPERLINK("https://ntsu.idm.oclc.org/login?url=https://www.airitibooks.com/Detail/Detail?PublicationID=P20191023115", "https://ntsu.idm.oclc.org/login?url=https://www.airitibooks.com/Detail/Detail?PublicationID=P20191023115")</f>
        <v>https://ntsu.idm.oclc.org/login?url=https://www.airitibooks.com/Detail/Detail?PublicationID=P20191023115</v>
      </c>
    </row>
    <row r="2711" spans="1:11" ht="51" x14ac:dyDescent="0.4">
      <c r="A2711" s="10" t="s">
        <v>12793</v>
      </c>
      <c r="B2711" s="10" t="s">
        <v>12794</v>
      </c>
      <c r="C2711" s="10" t="s">
        <v>12491</v>
      </c>
      <c r="D2711" s="10" t="s">
        <v>12795</v>
      </c>
      <c r="E2711" s="10" t="s">
        <v>6182</v>
      </c>
      <c r="F2711" s="10" t="s">
        <v>1556</v>
      </c>
      <c r="G2711" s="10" t="s">
        <v>32</v>
      </c>
      <c r="H2711" s="7" t="s">
        <v>1031</v>
      </c>
      <c r="I2711" s="7" t="s">
        <v>25</v>
      </c>
      <c r="J2711" s="13" t="str">
        <f>HYPERLINK("https://www.airitibooks.com/Detail/Detail?PublicationID=P20191031116", "https://www.airitibooks.com/Detail/Detail?PublicationID=P20191031116")</f>
        <v>https://www.airitibooks.com/Detail/Detail?PublicationID=P20191031116</v>
      </c>
      <c r="K2711" s="13" t="str">
        <f>HYPERLINK("https://ntsu.idm.oclc.org/login?url=https://www.airitibooks.com/Detail/Detail?PublicationID=P20191031116", "https://ntsu.idm.oclc.org/login?url=https://www.airitibooks.com/Detail/Detail?PublicationID=P20191031116")</f>
        <v>https://ntsu.idm.oclc.org/login?url=https://www.airitibooks.com/Detail/Detail?PublicationID=P20191031116</v>
      </c>
    </row>
    <row r="2712" spans="1:11" ht="51" x14ac:dyDescent="0.4">
      <c r="A2712" s="10" t="s">
        <v>12796</v>
      </c>
      <c r="B2712" s="10" t="s">
        <v>12797</v>
      </c>
      <c r="C2712" s="10" t="s">
        <v>12491</v>
      </c>
      <c r="D2712" s="10" t="s">
        <v>12798</v>
      </c>
      <c r="E2712" s="10" t="s">
        <v>6182</v>
      </c>
      <c r="F2712" s="10" t="s">
        <v>1789</v>
      </c>
      <c r="G2712" s="10" t="s">
        <v>32</v>
      </c>
      <c r="H2712" s="7" t="s">
        <v>1031</v>
      </c>
      <c r="I2712" s="7" t="s">
        <v>25</v>
      </c>
      <c r="J2712" s="13" t="str">
        <f>HYPERLINK("https://www.airitibooks.com/Detail/Detail?PublicationID=P20191031119", "https://www.airitibooks.com/Detail/Detail?PublicationID=P20191031119")</f>
        <v>https://www.airitibooks.com/Detail/Detail?PublicationID=P20191031119</v>
      </c>
      <c r="K2712" s="13" t="str">
        <f>HYPERLINK("https://ntsu.idm.oclc.org/login?url=https://www.airitibooks.com/Detail/Detail?PublicationID=P20191031119", "https://ntsu.idm.oclc.org/login?url=https://www.airitibooks.com/Detail/Detail?PublicationID=P20191031119")</f>
        <v>https://ntsu.idm.oclc.org/login?url=https://www.airitibooks.com/Detail/Detail?PublicationID=P20191031119</v>
      </c>
    </row>
    <row r="2713" spans="1:11" ht="51" x14ac:dyDescent="0.4">
      <c r="A2713" s="10" t="s">
        <v>12799</v>
      </c>
      <c r="B2713" s="10" t="s">
        <v>12800</v>
      </c>
      <c r="C2713" s="10" t="s">
        <v>12491</v>
      </c>
      <c r="D2713" s="10" t="s">
        <v>12801</v>
      </c>
      <c r="E2713" s="10" t="s">
        <v>6182</v>
      </c>
      <c r="F2713" s="10" t="s">
        <v>1770</v>
      </c>
      <c r="G2713" s="10" t="s">
        <v>32</v>
      </c>
      <c r="H2713" s="7" t="s">
        <v>1031</v>
      </c>
      <c r="I2713" s="7" t="s">
        <v>25</v>
      </c>
      <c r="J2713" s="13" t="str">
        <f>HYPERLINK("https://www.airitibooks.com/Detail/Detail?PublicationID=P20191031122", "https://www.airitibooks.com/Detail/Detail?PublicationID=P20191031122")</f>
        <v>https://www.airitibooks.com/Detail/Detail?PublicationID=P20191031122</v>
      </c>
      <c r="K2713" s="13" t="str">
        <f>HYPERLINK("https://ntsu.idm.oclc.org/login?url=https://www.airitibooks.com/Detail/Detail?PublicationID=P20191031122", "https://ntsu.idm.oclc.org/login?url=https://www.airitibooks.com/Detail/Detail?PublicationID=P20191031122")</f>
        <v>https://ntsu.idm.oclc.org/login?url=https://www.airitibooks.com/Detail/Detail?PublicationID=P20191031122</v>
      </c>
    </row>
    <row r="2714" spans="1:11" ht="51" x14ac:dyDescent="0.4">
      <c r="A2714" s="10" t="s">
        <v>12802</v>
      </c>
      <c r="B2714" s="10" t="s">
        <v>12803</v>
      </c>
      <c r="C2714" s="10" t="s">
        <v>12491</v>
      </c>
      <c r="D2714" s="10" t="s">
        <v>12804</v>
      </c>
      <c r="E2714" s="10" t="s">
        <v>6182</v>
      </c>
      <c r="F2714" s="10" t="s">
        <v>1556</v>
      </c>
      <c r="G2714" s="10" t="s">
        <v>32</v>
      </c>
      <c r="H2714" s="7" t="s">
        <v>1031</v>
      </c>
      <c r="I2714" s="7" t="s">
        <v>25</v>
      </c>
      <c r="J2714" s="13" t="str">
        <f>HYPERLINK("https://www.airitibooks.com/Detail/Detail?PublicationID=P20191031127", "https://www.airitibooks.com/Detail/Detail?PublicationID=P20191031127")</f>
        <v>https://www.airitibooks.com/Detail/Detail?PublicationID=P20191031127</v>
      </c>
      <c r="K2714" s="13" t="str">
        <f>HYPERLINK("https://ntsu.idm.oclc.org/login?url=https://www.airitibooks.com/Detail/Detail?PublicationID=P20191031127", "https://ntsu.idm.oclc.org/login?url=https://www.airitibooks.com/Detail/Detail?PublicationID=P20191031127")</f>
        <v>https://ntsu.idm.oclc.org/login?url=https://www.airitibooks.com/Detail/Detail?PublicationID=P20191031127</v>
      </c>
    </row>
    <row r="2715" spans="1:11" ht="51" x14ac:dyDescent="0.4">
      <c r="A2715" s="10" t="s">
        <v>12808</v>
      </c>
      <c r="B2715" s="10" t="s">
        <v>12809</v>
      </c>
      <c r="C2715" s="10" t="s">
        <v>12491</v>
      </c>
      <c r="D2715" s="10" t="s">
        <v>12810</v>
      </c>
      <c r="E2715" s="10" t="s">
        <v>6182</v>
      </c>
      <c r="F2715" s="10" t="s">
        <v>1556</v>
      </c>
      <c r="G2715" s="10" t="s">
        <v>32</v>
      </c>
      <c r="H2715" s="7" t="s">
        <v>1031</v>
      </c>
      <c r="I2715" s="7" t="s">
        <v>25</v>
      </c>
      <c r="J2715" s="13" t="str">
        <f>HYPERLINK("https://www.airitibooks.com/Detail/Detail?PublicationID=P20191031142", "https://www.airitibooks.com/Detail/Detail?PublicationID=P20191031142")</f>
        <v>https://www.airitibooks.com/Detail/Detail?PublicationID=P20191031142</v>
      </c>
      <c r="K2715" s="13" t="str">
        <f>HYPERLINK("https://ntsu.idm.oclc.org/login?url=https://www.airitibooks.com/Detail/Detail?PublicationID=P20191031142", "https://ntsu.idm.oclc.org/login?url=https://www.airitibooks.com/Detail/Detail?PublicationID=P20191031142")</f>
        <v>https://ntsu.idm.oclc.org/login?url=https://www.airitibooks.com/Detail/Detail?PublicationID=P20191031142</v>
      </c>
    </row>
    <row r="2716" spans="1:11" ht="51" x14ac:dyDescent="0.4">
      <c r="A2716" s="10" t="s">
        <v>12981</v>
      </c>
      <c r="B2716" s="10" t="s">
        <v>12982</v>
      </c>
      <c r="C2716" s="10" t="s">
        <v>12491</v>
      </c>
      <c r="D2716" s="10" t="s">
        <v>12983</v>
      </c>
      <c r="E2716" s="10" t="s">
        <v>6182</v>
      </c>
      <c r="F2716" s="10" t="s">
        <v>1770</v>
      </c>
      <c r="G2716" s="10" t="s">
        <v>32</v>
      </c>
      <c r="H2716" s="7" t="s">
        <v>1031</v>
      </c>
      <c r="I2716" s="7" t="s">
        <v>25</v>
      </c>
      <c r="J2716" s="13" t="str">
        <f>HYPERLINK("https://www.airitibooks.com/Detail/Detail?PublicationID=P20191115241", "https://www.airitibooks.com/Detail/Detail?PublicationID=P20191115241")</f>
        <v>https://www.airitibooks.com/Detail/Detail?PublicationID=P20191115241</v>
      </c>
      <c r="K2716" s="13" t="str">
        <f>HYPERLINK("https://ntsu.idm.oclc.org/login?url=https://www.airitibooks.com/Detail/Detail?PublicationID=P20191115241", "https://ntsu.idm.oclc.org/login?url=https://www.airitibooks.com/Detail/Detail?PublicationID=P20191115241")</f>
        <v>https://ntsu.idm.oclc.org/login?url=https://www.airitibooks.com/Detail/Detail?PublicationID=P20191115241</v>
      </c>
    </row>
    <row r="2717" spans="1:11" ht="51" x14ac:dyDescent="0.4">
      <c r="A2717" s="10" t="s">
        <v>12984</v>
      </c>
      <c r="B2717" s="10" t="s">
        <v>12985</v>
      </c>
      <c r="C2717" s="10" t="s">
        <v>12491</v>
      </c>
      <c r="D2717" s="10" t="s">
        <v>12986</v>
      </c>
      <c r="E2717" s="10" t="s">
        <v>6182</v>
      </c>
      <c r="F2717" s="10" t="s">
        <v>4038</v>
      </c>
      <c r="G2717" s="10" t="s">
        <v>32</v>
      </c>
      <c r="H2717" s="7" t="s">
        <v>1031</v>
      </c>
      <c r="I2717" s="7" t="s">
        <v>25</v>
      </c>
      <c r="J2717" s="13" t="str">
        <f>HYPERLINK("https://www.airitibooks.com/Detail/Detail?PublicationID=P20191115252", "https://www.airitibooks.com/Detail/Detail?PublicationID=P20191115252")</f>
        <v>https://www.airitibooks.com/Detail/Detail?PublicationID=P20191115252</v>
      </c>
      <c r="K2717" s="13" t="str">
        <f>HYPERLINK("https://ntsu.idm.oclc.org/login?url=https://www.airitibooks.com/Detail/Detail?PublicationID=P20191115252", "https://ntsu.idm.oclc.org/login?url=https://www.airitibooks.com/Detail/Detail?PublicationID=P20191115252")</f>
        <v>https://ntsu.idm.oclc.org/login?url=https://www.airitibooks.com/Detail/Detail?PublicationID=P20191115252</v>
      </c>
    </row>
    <row r="2718" spans="1:11" ht="51" x14ac:dyDescent="0.4">
      <c r="A2718" s="10" t="s">
        <v>12987</v>
      </c>
      <c r="B2718" s="10" t="s">
        <v>12988</v>
      </c>
      <c r="C2718" s="10" t="s">
        <v>12989</v>
      </c>
      <c r="D2718" s="10" t="s">
        <v>12990</v>
      </c>
      <c r="E2718" s="10" t="s">
        <v>6182</v>
      </c>
      <c r="F2718" s="10" t="s">
        <v>7028</v>
      </c>
      <c r="G2718" s="10" t="s">
        <v>32</v>
      </c>
      <c r="H2718" s="7" t="s">
        <v>1031</v>
      </c>
      <c r="I2718" s="7" t="s">
        <v>25</v>
      </c>
      <c r="J2718" s="13" t="str">
        <f>HYPERLINK("https://www.airitibooks.com/Detail/Detail?PublicationID=P20191122102", "https://www.airitibooks.com/Detail/Detail?PublicationID=P20191122102")</f>
        <v>https://www.airitibooks.com/Detail/Detail?PublicationID=P20191122102</v>
      </c>
      <c r="K2718" s="13" t="str">
        <f>HYPERLINK("https://ntsu.idm.oclc.org/login?url=https://www.airitibooks.com/Detail/Detail?PublicationID=P20191122102", "https://ntsu.idm.oclc.org/login?url=https://www.airitibooks.com/Detail/Detail?PublicationID=P20191122102")</f>
        <v>https://ntsu.idm.oclc.org/login?url=https://www.airitibooks.com/Detail/Detail?PublicationID=P20191122102</v>
      </c>
    </row>
    <row r="2719" spans="1:11" ht="51" x14ac:dyDescent="0.4">
      <c r="A2719" s="10" t="s">
        <v>12991</v>
      </c>
      <c r="B2719" s="10" t="s">
        <v>12992</v>
      </c>
      <c r="C2719" s="10" t="s">
        <v>12989</v>
      </c>
      <c r="D2719" s="10" t="s">
        <v>12993</v>
      </c>
      <c r="E2719" s="10" t="s">
        <v>6182</v>
      </c>
      <c r="F2719" s="10" t="s">
        <v>7028</v>
      </c>
      <c r="G2719" s="10" t="s">
        <v>32</v>
      </c>
      <c r="H2719" s="7" t="s">
        <v>1031</v>
      </c>
      <c r="I2719" s="7" t="s">
        <v>25</v>
      </c>
      <c r="J2719" s="13" t="str">
        <f>HYPERLINK("https://www.airitibooks.com/Detail/Detail?PublicationID=P20191122104", "https://www.airitibooks.com/Detail/Detail?PublicationID=P20191122104")</f>
        <v>https://www.airitibooks.com/Detail/Detail?PublicationID=P20191122104</v>
      </c>
      <c r="K2719" s="13" t="str">
        <f>HYPERLINK("https://ntsu.idm.oclc.org/login?url=https://www.airitibooks.com/Detail/Detail?PublicationID=P20191122104", "https://ntsu.idm.oclc.org/login?url=https://www.airitibooks.com/Detail/Detail?PublicationID=P20191122104")</f>
        <v>https://ntsu.idm.oclc.org/login?url=https://www.airitibooks.com/Detail/Detail?PublicationID=P20191122104</v>
      </c>
    </row>
    <row r="2720" spans="1:11" ht="51" x14ac:dyDescent="0.4">
      <c r="A2720" s="10" t="s">
        <v>12994</v>
      </c>
      <c r="B2720" s="10" t="s">
        <v>12995</v>
      </c>
      <c r="C2720" s="10" t="s">
        <v>12989</v>
      </c>
      <c r="D2720" s="10" t="s">
        <v>12996</v>
      </c>
      <c r="E2720" s="10" t="s">
        <v>6182</v>
      </c>
      <c r="F2720" s="10" t="s">
        <v>7028</v>
      </c>
      <c r="G2720" s="10" t="s">
        <v>32</v>
      </c>
      <c r="H2720" s="7" t="s">
        <v>1031</v>
      </c>
      <c r="I2720" s="7" t="s">
        <v>25</v>
      </c>
      <c r="J2720" s="13" t="str">
        <f>HYPERLINK("https://www.airitibooks.com/Detail/Detail?PublicationID=P20191122105", "https://www.airitibooks.com/Detail/Detail?PublicationID=P20191122105")</f>
        <v>https://www.airitibooks.com/Detail/Detail?PublicationID=P20191122105</v>
      </c>
      <c r="K2720" s="13" t="str">
        <f>HYPERLINK("https://ntsu.idm.oclc.org/login?url=https://www.airitibooks.com/Detail/Detail?PublicationID=P20191122105", "https://ntsu.idm.oclc.org/login?url=https://www.airitibooks.com/Detail/Detail?PublicationID=P20191122105")</f>
        <v>https://ntsu.idm.oclc.org/login?url=https://www.airitibooks.com/Detail/Detail?PublicationID=P20191122105</v>
      </c>
    </row>
    <row r="2721" spans="1:11" ht="51" x14ac:dyDescent="0.4">
      <c r="A2721" s="10" t="s">
        <v>12997</v>
      </c>
      <c r="B2721" s="10" t="s">
        <v>12998</v>
      </c>
      <c r="C2721" s="10" t="s">
        <v>12989</v>
      </c>
      <c r="D2721" s="10" t="s">
        <v>12999</v>
      </c>
      <c r="E2721" s="10" t="s">
        <v>6182</v>
      </c>
      <c r="F2721" s="10" t="s">
        <v>7028</v>
      </c>
      <c r="G2721" s="10" t="s">
        <v>32</v>
      </c>
      <c r="H2721" s="7" t="s">
        <v>1031</v>
      </c>
      <c r="I2721" s="7" t="s">
        <v>25</v>
      </c>
      <c r="J2721" s="13" t="str">
        <f>HYPERLINK("https://www.airitibooks.com/Detail/Detail?PublicationID=P20191122106", "https://www.airitibooks.com/Detail/Detail?PublicationID=P20191122106")</f>
        <v>https://www.airitibooks.com/Detail/Detail?PublicationID=P20191122106</v>
      </c>
      <c r="K2721" s="13" t="str">
        <f>HYPERLINK("https://ntsu.idm.oclc.org/login?url=https://www.airitibooks.com/Detail/Detail?PublicationID=P20191122106", "https://ntsu.idm.oclc.org/login?url=https://www.airitibooks.com/Detail/Detail?PublicationID=P20191122106")</f>
        <v>https://ntsu.idm.oclc.org/login?url=https://www.airitibooks.com/Detail/Detail?PublicationID=P20191122106</v>
      </c>
    </row>
    <row r="2722" spans="1:11" ht="51" x14ac:dyDescent="0.4">
      <c r="A2722" s="10" t="s">
        <v>13000</v>
      </c>
      <c r="B2722" s="10" t="s">
        <v>13001</v>
      </c>
      <c r="C2722" s="10" t="s">
        <v>12989</v>
      </c>
      <c r="D2722" s="10" t="s">
        <v>13002</v>
      </c>
      <c r="E2722" s="10" t="s">
        <v>6182</v>
      </c>
      <c r="F2722" s="10" t="s">
        <v>7028</v>
      </c>
      <c r="G2722" s="10" t="s">
        <v>32</v>
      </c>
      <c r="H2722" s="7" t="s">
        <v>1031</v>
      </c>
      <c r="I2722" s="7" t="s">
        <v>25</v>
      </c>
      <c r="J2722" s="13" t="str">
        <f>HYPERLINK("https://www.airitibooks.com/Detail/Detail?PublicationID=P20191122107", "https://www.airitibooks.com/Detail/Detail?PublicationID=P20191122107")</f>
        <v>https://www.airitibooks.com/Detail/Detail?PublicationID=P20191122107</v>
      </c>
      <c r="K2722" s="13" t="str">
        <f>HYPERLINK("https://ntsu.idm.oclc.org/login?url=https://www.airitibooks.com/Detail/Detail?PublicationID=P20191122107", "https://ntsu.idm.oclc.org/login?url=https://www.airitibooks.com/Detail/Detail?PublicationID=P20191122107")</f>
        <v>https://ntsu.idm.oclc.org/login?url=https://www.airitibooks.com/Detail/Detail?PublicationID=P20191122107</v>
      </c>
    </row>
    <row r="2723" spans="1:11" ht="51" x14ac:dyDescent="0.4">
      <c r="A2723" s="10" t="s">
        <v>13003</v>
      </c>
      <c r="B2723" s="10" t="s">
        <v>13004</v>
      </c>
      <c r="C2723" s="10" t="s">
        <v>12989</v>
      </c>
      <c r="D2723" s="10" t="s">
        <v>13005</v>
      </c>
      <c r="E2723" s="10" t="s">
        <v>6182</v>
      </c>
      <c r="F2723" s="10" t="s">
        <v>7028</v>
      </c>
      <c r="G2723" s="10" t="s">
        <v>32</v>
      </c>
      <c r="H2723" s="7" t="s">
        <v>1031</v>
      </c>
      <c r="I2723" s="7" t="s">
        <v>25</v>
      </c>
      <c r="J2723" s="13" t="str">
        <f>HYPERLINK("https://www.airitibooks.com/Detail/Detail?PublicationID=P20191122108", "https://www.airitibooks.com/Detail/Detail?PublicationID=P20191122108")</f>
        <v>https://www.airitibooks.com/Detail/Detail?PublicationID=P20191122108</v>
      </c>
      <c r="K2723" s="13" t="str">
        <f>HYPERLINK("https://ntsu.idm.oclc.org/login?url=https://www.airitibooks.com/Detail/Detail?PublicationID=P20191122108", "https://ntsu.idm.oclc.org/login?url=https://www.airitibooks.com/Detail/Detail?PublicationID=P20191122108")</f>
        <v>https://ntsu.idm.oclc.org/login?url=https://www.airitibooks.com/Detail/Detail?PublicationID=P20191122108</v>
      </c>
    </row>
    <row r="2724" spans="1:11" ht="51" x14ac:dyDescent="0.4">
      <c r="A2724" s="10" t="s">
        <v>13006</v>
      </c>
      <c r="B2724" s="10" t="s">
        <v>13007</v>
      </c>
      <c r="C2724" s="10" t="s">
        <v>12989</v>
      </c>
      <c r="D2724" s="10" t="s">
        <v>13008</v>
      </c>
      <c r="E2724" s="10" t="s">
        <v>6182</v>
      </c>
      <c r="F2724" s="10" t="s">
        <v>7028</v>
      </c>
      <c r="G2724" s="10" t="s">
        <v>32</v>
      </c>
      <c r="H2724" s="7" t="s">
        <v>1031</v>
      </c>
      <c r="I2724" s="7" t="s">
        <v>25</v>
      </c>
      <c r="J2724" s="13" t="str">
        <f>HYPERLINK("https://www.airitibooks.com/Detail/Detail?PublicationID=P20191122110", "https://www.airitibooks.com/Detail/Detail?PublicationID=P20191122110")</f>
        <v>https://www.airitibooks.com/Detail/Detail?PublicationID=P20191122110</v>
      </c>
      <c r="K2724" s="13" t="str">
        <f>HYPERLINK("https://ntsu.idm.oclc.org/login?url=https://www.airitibooks.com/Detail/Detail?PublicationID=P20191122110", "https://ntsu.idm.oclc.org/login?url=https://www.airitibooks.com/Detail/Detail?PublicationID=P20191122110")</f>
        <v>https://ntsu.idm.oclc.org/login?url=https://www.airitibooks.com/Detail/Detail?PublicationID=P20191122110</v>
      </c>
    </row>
    <row r="2725" spans="1:11" ht="51" x14ac:dyDescent="0.4">
      <c r="A2725" s="10" t="s">
        <v>13009</v>
      </c>
      <c r="B2725" s="10" t="s">
        <v>13010</v>
      </c>
      <c r="C2725" s="10" t="s">
        <v>12989</v>
      </c>
      <c r="D2725" s="10" t="s">
        <v>13011</v>
      </c>
      <c r="E2725" s="10" t="s">
        <v>6182</v>
      </c>
      <c r="F2725" s="10" t="s">
        <v>7028</v>
      </c>
      <c r="G2725" s="10" t="s">
        <v>32</v>
      </c>
      <c r="H2725" s="7" t="s">
        <v>1031</v>
      </c>
      <c r="I2725" s="7" t="s">
        <v>25</v>
      </c>
      <c r="J2725" s="13" t="str">
        <f>HYPERLINK("https://www.airitibooks.com/Detail/Detail?PublicationID=P20191122111", "https://www.airitibooks.com/Detail/Detail?PublicationID=P20191122111")</f>
        <v>https://www.airitibooks.com/Detail/Detail?PublicationID=P20191122111</v>
      </c>
      <c r="K2725" s="13" t="str">
        <f>HYPERLINK("https://ntsu.idm.oclc.org/login?url=https://www.airitibooks.com/Detail/Detail?PublicationID=P20191122111", "https://ntsu.idm.oclc.org/login?url=https://www.airitibooks.com/Detail/Detail?PublicationID=P20191122111")</f>
        <v>https://ntsu.idm.oclc.org/login?url=https://www.airitibooks.com/Detail/Detail?PublicationID=P20191122111</v>
      </c>
    </row>
    <row r="2726" spans="1:11" ht="51" x14ac:dyDescent="0.4">
      <c r="A2726" s="10" t="s">
        <v>13012</v>
      </c>
      <c r="B2726" s="10" t="s">
        <v>13013</v>
      </c>
      <c r="C2726" s="10" t="s">
        <v>12989</v>
      </c>
      <c r="D2726" s="10" t="s">
        <v>13014</v>
      </c>
      <c r="E2726" s="10" t="s">
        <v>6182</v>
      </c>
      <c r="F2726" s="10" t="s">
        <v>7028</v>
      </c>
      <c r="G2726" s="10" t="s">
        <v>32</v>
      </c>
      <c r="H2726" s="7" t="s">
        <v>1031</v>
      </c>
      <c r="I2726" s="7" t="s">
        <v>25</v>
      </c>
      <c r="J2726" s="13" t="str">
        <f>HYPERLINK("https://www.airitibooks.com/Detail/Detail?PublicationID=P20191122112", "https://www.airitibooks.com/Detail/Detail?PublicationID=P20191122112")</f>
        <v>https://www.airitibooks.com/Detail/Detail?PublicationID=P20191122112</v>
      </c>
      <c r="K2726" s="13" t="str">
        <f>HYPERLINK("https://ntsu.idm.oclc.org/login?url=https://www.airitibooks.com/Detail/Detail?PublicationID=P20191122112", "https://ntsu.idm.oclc.org/login?url=https://www.airitibooks.com/Detail/Detail?PublicationID=P20191122112")</f>
        <v>https://ntsu.idm.oclc.org/login?url=https://www.airitibooks.com/Detail/Detail?PublicationID=P20191122112</v>
      </c>
    </row>
    <row r="2727" spans="1:11" ht="51" x14ac:dyDescent="0.4">
      <c r="A2727" s="10" t="s">
        <v>13015</v>
      </c>
      <c r="B2727" s="10" t="s">
        <v>13016</v>
      </c>
      <c r="C2727" s="10" t="s">
        <v>12989</v>
      </c>
      <c r="D2727" s="10" t="s">
        <v>13017</v>
      </c>
      <c r="E2727" s="10" t="s">
        <v>6182</v>
      </c>
      <c r="F2727" s="10" t="s">
        <v>7028</v>
      </c>
      <c r="G2727" s="10" t="s">
        <v>32</v>
      </c>
      <c r="H2727" s="7" t="s">
        <v>1031</v>
      </c>
      <c r="I2727" s="7" t="s">
        <v>25</v>
      </c>
      <c r="J2727" s="13" t="str">
        <f>HYPERLINK("https://www.airitibooks.com/Detail/Detail?PublicationID=P20191122114", "https://www.airitibooks.com/Detail/Detail?PublicationID=P20191122114")</f>
        <v>https://www.airitibooks.com/Detail/Detail?PublicationID=P20191122114</v>
      </c>
      <c r="K2727" s="13" t="str">
        <f>HYPERLINK("https://ntsu.idm.oclc.org/login?url=https://www.airitibooks.com/Detail/Detail?PublicationID=P20191122114", "https://ntsu.idm.oclc.org/login?url=https://www.airitibooks.com/Detail/Detail?PublicationID=P20191122114")</f>
        <v>https://ntsu.idm.oclc.org/login?url=https://www.airitibooks.com/Detail/Detail?PublicationID=P20191122114</v>
      </c>
    </row>
    <row r="2728" spans="1:11" ht="51" x14ac:dyDescent="0.4">
      <c r="A2728" s="10" t="s">
        <v>13018</v>
      </c>
      <c r="B2728" s="10" t="s">
        <v>13019</v>
      </c>
      <c r="C2728" s="10" t="s">
        <v>12989</v>
      </c>
      <c r="D2728" s="10" t="s">
        <v>13020</v>
      </c>
      <c r="E2728" s="10" t="s">
        <v>6182</v>
      </c>
      <c r="F2728" s="10" t="s">
        <v>7028</v>
      </c>
      <c r="G2728" s="10" t="s">
        <v>32</v>
      </c>
      <c r="H2728" s="7" t="s">
        <v>1031</v>
      </c>
      <c r="I2728" s="7" t="s">
        <v>25</v>
      </c>
      <c r="J2728" s="13" t="str">
        <f>HYPERLINK("https://www.airitibooks.com/Detail/Detail?PublicationID=P20191122115", "https://www.airitibooks.com/Detail/Detail?PublicationID=P20191122115")</f>
        <v>https://www.airitibooks.com/Detail/Detail?PublicationID=P20191122115</v>
      </c>
      <c r="K2728" s="13" t="str">
        <f>HYPERLINK("https://ntsu.idm.oclc.org/login?url=https://www.airitibooks.com/Detail/Detail?PublicationID=P20191122115", "https://ntsu.idm.oclc.org/login?url=https://www.airitibooks.com/Detail/Detail?PublicationID=P20191122115")</f>
        <v>https://ntsu.idm.oclc.org/login?url=https://www.airitibooks.com/Detail/Detail?PublicationID=P20191122115</v>
      </c>
    </row>
    <row r="2729" spans="1:11" ht="51" x14ac:dyDescent="0.4">
      <c r="A2729" s="10" t="s">
        <v>13021</v>
      </c>
      <c r="B2729" s="10" t="s">
        <v>13022</v>
      </c>
      <c r="C2729" s="10" t="s">
        <v>12989</v>
      </c>
      <c r="D2729" s="10" t="s">
        <v>13023</v>
      </c>
      <c r="E2729" s="10" t="s">
        <v>6182</v>
      </c>
      <c r="F2729" s="10" t="s">
        <v>7028</v>
      </c>
      <c r="G2729" s="10" t="s">
        <v>32</v>
      </c>
      <c r="H2729" s="7" t="s">
        <v>1031</v>
      </c>
      <c r="I2729" s="7" t="s">
        <v>25</v>
      </c>
      <c r="J2729" s="13" t="str">
        <f>HYPERLINK("https://www.airitibooks.com/Detail/Detail?PublicationID=P20191122116", "https://www.airitibooks.com/Detail/Detail?PublicationID=P20191122116")</f>
        <v>https://www.airitibooks.com/Detail/Detail?PublicationID=P20191122116</v>
      </c>
      <c r="K2729" s="13" t="str">
        <f>HYPERLINK("https://ntsu.idm.oclc.org/login?url=https://www.airitibooks.com/Detail/Detail?PublicationID=P20191122116", "https://ntsu.idm.oclc.org/login?url=https://www.airitibooks.com/Detail/Detail?PublicationID=P20191122116")</f>
        <v>https://ntsu.idm.oclc.org/login?url=https://www.airitibooks.com/Detail/Detail?PublicationID=P20191122116</v>
      </c>
    </row>
    <row r="2730" spans="1:11" ht="51" x14ac:dyDescent="0.4">
      <c r="A2730" s="10" t="s">
        <v>13024</v>
      </c>
      <c r="B2730" s="10" t="s">
        <v>13025</v>
      </c>
      <c r="C2730" s="10" t="s">
        <v>12989</v>
      </c>
      <c r="D2730" s="10" t="s">
        <v>13026</v>
      </c>
      <c r="E2730" s="10" t="s">
        <v>6182</v>
      </c>
      <c r="F2730" s="10" t="s">
        <v>7028</v>
      </c>
      <c r="G2730" s="10" t="s">
        <v>32</v>
      </c>
      <c r="H2730" s="7" t="s">
        <v>1031</v>
      </c>
      <c r="I2730" s="7" t="s">
        <v>25</v>
      </c>
      <c r="J2730" s="13" t="str">
        <f>HYPERLINK("https://www.airitibooks.com/Detail/Detail?PublicationID=P20191122118", "https://www.airitibooks.com/Detail/Detail?PublicationID=P20191122118")</f>
        <v>https://www.airitibooks.com/Detail/Detail?PublicationID=P20191122118</v>
      </c>
      <c r="K2730" s="13" t="str">
        <f>HYPERLINK("https://ntsu.idm.oclc.org/login?url=https://www.airitibooks.com/Detail/Detail?PublicationID=P20191122118", "https://ntsu.idm.oclc.org/login?url=https://www.airitibooks.com/Detail/Detail?PublicationID=P20191122118")</f>
        <v>https://ntsu.idm.oclc.org/login?url=https://www.airitibooks.com/Detail/Detail?PublicationID=P20191122118</v>
      </c>
    </row>
    <row r="2731" spans="1:11" ht="51" x14ac:dyDescent="0.4">
      <c r="A2731" s="10" t="s">
        <v>13134</v>
      </c>
      <c r="B2731" s="10" t="s">
        <v>13135</v>
      </c>
      <c r="C2731" s="10" t="s">
        <v>13117</v>
      </c>
      <c r="D2731" s="10" t="s">
        <v>13136</v>
      </c>
      <c r="E2731" s="10" t="s">
        <v>6182</v>
      </c>
      <c r="F2731" s="10" t="s">
        <v>181</v>
      </c>
      <c r="G2731" s="10" t="s">
        <v>32</v>
      </c>
      <c r="H2731" s="7" t="s">
        <v>1031</v>
      </c>
      <c r="I2731" s="7" t="s">
        <v>25</v>
      </c>
      <c r="J2731" s="13" t="str">
        <f>HYPERLINK("https://www.airitibooks.com/Detail/Detail?PublicationID=P20191225091", "https://www.airitibooks.com/Detail/Detail?PublicationID=P20191225091")</f>
        <v>https://www.airitibooks.com/Detail/Detail?PublicationID=P20191225091</v>
      </c>
      <c r="K2731" s="13" t="str">
        <f>HYPERLINK("https://ntsu.idm.oclc.org/login?url=https://www.airitibooks.com/Detail/Detail?PublicationID=P20191225091", "https://ntsu.idm.oclc.org/login?url=https://www.airitibooks.com/Detail/Detail?PublicationID=P20191225091")</f>
        <v>https://ntsu.idm.oclc.org/login?url=https://www.airitibooks.com/Detail/Detail?PublicationID=P20191225091</v>
      </c>
    </row>
    <row r="2732" spans="1:11" ht="51" x14ac:dyDescent="0.4">
      <c r="A2732" s="10" t="s">
        <v>13137</v>
      </c>
      <c r="B2732" s="10" t="s">
        <v>13138</v>
      </c>
      <c r="C2732" s="10" t="s">
        <v>13117</v>
      </c>
      <c r="D2732" s="10" t="s">
        <v>13139</v>
      </c>
      <c r="E2732" s="10" t="s">
        <v>6182</v>
      </c>
      <c r="F2732" s="10" t="s">
        <v>9848</v>
      </c>
      <c r="G2732" s="10" t="s">
        <v>32</v>
      </c>
      <c r="H2732" s="7" t="s">
        <v>1031</v>
      </c>
      <c r="I2732" s="7" t="s">
        <v>25</v>
      </c>
      <c r="J2732" s="13" t="str">
        <f>HYPERLINK("https://www.airitibooks.com/Detail/Detail?PublicationID=P20191225092", "https://www.airitibooks.com/Detail/Detail?PublicationID=P20191225092")</f>
        <v>https://www.airitibooks.com/Detail/Detail?PublicationID=P20191225092</v>
      </c>
      <c r="K2732" s="13" t="str">
        <f>HYPERLINK("https://ntsu.idm.oclc.org/login?url=https://www.airitibooks.com/Detail/Detail?PublicationID=P20191225092", "https://ntsu.idm.oclc.org/login?url=https://www.airitibooks.com/Detail/Detail?PublicationID=P20191225092")</f>
        <v>https://ntsu.idm.oclc.org/login?url=https://www.airitibooks.com/Detail/Detail?PublicationID=P20191225092</v>
      </c>
    </row>
    <row r="2733" spans="1:11" ht="68" x14ac:dyDescent="0.4">
      <c r="A2733" s="10" t="s">
        <v>13320</v>
      </c>
      <c r="B2733" s="10" t="s">
        <v>13321</v>
      </c>
      <c r="C2733" s="10" t="s">
        <v>13317</v>
      </c>
      <c r="D2733" s="10" t="s">
        <v>13322</v>
      </c>
      <c r="E2733" s="10" t="s">
        <v>6182</v>
      </c>
      <c r="F2733" s="10" t="s">
        <v>13323</v>
      </c>
      <c r="G2733" s="10" t="s">
        <v>32</v>
      </c>
      <c r="H2733" s="7" t="s">
        <v>24</v>
      </c>
      <c r="I2733" s="7" t="s">
        <v>25</v>
      </c>
      <c r="J2733" s="13" t="str">
        <f>HYPERLINK("https://www.airitibooks.com/Detail/Detail?PublicationID=P20200110352", "https://www.airitibooks.com/Detail/Detail?PublicationID=P20200110352")</f>
        <v>https://www.airitibooks.com/Detail/Detail?PublicationID=P20200110352</v>
      </c>
      <c r="K2733" s="13" t="str">
        <f>HYPERLINK("https://ntsu.idm.oclc.org/login?url=https://www.airitibooks.com/Detail/Detail?PublicationID=P20200110352", "https://ntsu.idm.oclc.org/login?url=https://www.airitibooks.com/Detail/Detail?PublicationID=P20200110352")</f>
        <v>https://ntsu.idm.oclc.org/login?url=https://www.airitibooks.com/Detail/Detail?PublicationID=P20200110352</v>
      </c>
    </row>
    <row r="2734" spans="1:11" ht="51" x14ac:dyDescent="0.4">
      <c r="A2734" s="10" t="s">
        <v>13332</v>
      </c>
      <c r="B2734" s="10" t="s">
        <v>13333</v>
      </c>
      <c r="C2734" s="10" t="s">
        <v>1039</v>
      </c>
      <c r="D2734" s="10" t="s">
        <v>13334</v>
      </c>
      <c r="E2734" s="10" t="s">
        <v>6182</v>
      </c>
      <c r="F2734" s="10" t="s">
        <v>6820</v>
      </c>
      <c r="G2734" s="10" t="s">
        <v>32</v>
      </c>
      <c r="H2734" s="7" t="s">
        <v>24</v>
      </c>
      <c r="I2734" s="7" t="s">
        <v>25</v>
      </c>
      <c r="J2734" s="13" t="str">
        <f>HYPERLINK("https://www.airitibooks.com/Detail/Detail?PublicationID=P20200117006", "https://www.airitibooks.com/Detail/Detail?PublicationID=P20200117006")</f>
        <v>https://www.airitibooks.com/Detail/Detail?PublicationID=P20200117006</v>
      </c>
      <c r="K2734" s="13" t="str">
        <f>HYPERLINK("https://ntsu.idm.oclc.org/login?url=https://www.airitibooks.com/Detail/Detail?PublicationID=P20200117006", "https://ntsu.idm.oclc.org/login?url=https://www.airitibooks.com/Detail/Detail?PublicationID=P20200117006")</f>
        <v>https://ntsu.idm.oclc.org/login?url=https://www.airitibooks.com/Detail/Detail?PublicationID=P20200117006</v>
      </c>
    </row>
    <row r="2735" spans="1:11" ht="51" x14ac:dyDescent="0.4">
      <c r="A2735" s="10" t="s">
        <v>13335</v>
      </c>
      <c r="B2735" s="10" t="s">
        <v>13336</v>
      </c>
      <c r="C2735" s="10" t="s">
        <v>1039</v>
      </c>
      <c r="D2735" s="10" t="s">
        <v>13337</v>
      </c>
      <c r="E2735" s="10" t="s">
        <v>6182</v>
      </c>
      <c r="F2735" s="10" t="s">
        <v>42</v>
      </c>
      <c r="G2735" s="10" t="s">
        <v>32</v>
      </c>
      <c r="H2735" s="7" t="s">
        <v>24</v>
      </c>
      <c r="I2735" s="7" t="s">
        <v>25</v>
      </c>
      <c r="J2735" s="13" t="str">
        <f>HYPERLINK("https://www.airitibooks.com/Detail/Detail?PublicationID=P20200117007", "https://www.airitibooks.com/Detail/Detail?PublicationID=P20200117007")</f>
        <v>https://www.airitibooks.com/Detail/Detail?PublicationID=P20200117007</v>
      </c>
      <c r="K2735" s="13" t="str">
        <f>HYPERLINK("https://ntsu.idm.oclc.org/login?url=https://www.airitibooks.com/Detail/Detail?PublicationID=P20200117007", "https://ntsu.idm.oclc.org/login?url=https://www.airitibooks.com/Detail/Detail?PublicationID=P20200117007")</f>
        <v>https://ntsu.idm.oclc.org/login?url=https://www.airitibooks.com/Detail/Detail?PublicationID=P20200117007</v>
      </c>
    </row>
    <row r="2736" spans="1:11" ht="51" x14ac:dyDescent="0.4">
      <c r="A2736" s="10" t="s">
        <v>13338</v>
      </c>
      <c r="B2736" s="10" t="s">
        <v>13339</v>
      </c>
      <c r="C2736" s="10" t="s">
        <v>1039</v>
      </c>
      <c r="D2736" s="10" t="s">
        <v>13340</v>
      </c>
      <c r="E2736" s="10" t="s">
        <v>6182</v>
      </c>
      <c r="F2736" s="10" t="s">
        <v>13341</v>
      </c>
      <c r="G2736" s="10" t="s">
        <v>32</v>
      </c>
      <c r="H2736" s="7" t="s">
        <v>24</v>
      </c>
      <c r="I2736" s="7" t="s">
        <v>25</v>
      </c>
      <c r="J2736" s="13" t="str">
        <f>HYPERLINK("https://www.airitibooks.com/Detail/Detail?PublicationID=P20200117009", "https://www.airitibooks.com/Detail/Detail?PublicationID=P20200117009")</f>
        <v>https://www.airitibooks.com/Detail/Detail?PublicationID=P20200117009</v>
      </c>
      <c r="K2736" s="13" t="str">
        <f>HYPERLINK("https://ntsu.idm.oclc.org/login?url=https://www.airitibooks.com/Detail/Detail?PublicationID=P20200117009", "https://ntsu.idm.oclc.org/login?url=https://www.airitibooks.com/Detail/Detail?PublicationID=P20200117009")</f>
        <v>https://ntsu.idm.oclc.org/login?url=https://www.airitibooks.com/Detail/Detail?PublicationID=P20200117009</v>
      </c>
    </row>
    <row r="2737" spans="1:11" ht="51" x14ac:dyDescent="0.4">
      <c r="A2737" s="10" t="s">
        <v>13342</v>
      </c>
      <c r="B2737" s="10" t="s">
        <v>13343</v>
      </c>
      <c r="C2737" s="10" t="s">
        <v>1039</v>
      </c>
      <c r="D2737" s="10" t="s">
        <v>13344</v>
      </c>
      <c r="E2737" s="10" t="s">
        <v>6182</v>
      </c>
      <c r="F2737" s="10" t="s">
        <v>6480</v>
      </c>
      <c r="G2737" s="10" t="s">
        <v>32</v>
      </c>
      <c r="H2737" s="7" t="s">
        <v>24</v>
      </c>
      <c r="I2737" s="7" t="s">
        <v>25</v>
      </c>
      <c r="J2737" s="13" t="str">
        <f>HYPERLINK("https://www.airitibooks.com/Detail/Detail?PublicationID=P20200117010", "https://www.airitibooks.com/Detail/Detail?PublicationID=P20200117010")</f>
        <v>https://www.airitibooks.com/Detail/Detail?PublicationID=P20200117010</v>
      </c>
      <c r="K2737" s="13" t="str">
        <f>HYPERLINK("https://ntsu.idm.oclc.org/login?url=https://www.airitibooks.com/Detail/Detail?PublicationID=P20200117010", "https://ntsu.idm.oclc.org/login?url=https://www.airitibooks.com/Detail/Detail?PublicationID=P20200117010")</f>
        <v>https://ntsu.idm.oclc.org/login?url=https://www.airitibooks.com/Detail/Detail?PublicationID=P20200117010</v>
      </c>
    </row>
    <row r="2738" spans="1:11" ht="51" x14ac:dyDescent="0.4">
      <c r="A2738" s="10" t="s">
        <v>13348</v>
      </c>
      <c r="B2738" s="10" t="s">
        <v>13349</v>
      </c>
      <c r="C2738" s="10" t="s">
        <v>13295</v>
      </c>
      <c r="D2738" s="10" t="s">
        <v>13350</v>
      </c>
      <c r="E2738" s="10" t="s">
        <v>6182</v>
      </c>
      <c r="F2738" s="10" t="s">
        <v>9817</v>
      </c>
      <c r="G2738" s="10" t="s">
        <v>32</v>
      </c>
      <c r="H2738" s="7" t="s">
        <v>24</v>
      </c>
      <c r="I2738" s="7" t="s">
        <v>25</v>
      </c>
      <c r="J2738" s="13" t="str">
        <f>HYPERLINK("https://www.airitibooks.com/Detail/Detail?PublicationID=P20200117248", "https://www.airitibooks.com/Detail/Detail?PublicationID=P20200117248")</f>
        <v>https://www.airitibooks.com/Detail/Detail?PublicationID=P20200117248</v>
      </c>
      <c r="K2738" s="13" t="str">
        <f>HYPERLINK("https://ntsu.idm.oclc.org/login?url=https://www.airitibooks.com/Detail/Detail?PublicationID=P20200117248", "https://ntsu.idm.oclc.org/login?url=https://www.airitibooks.com/Detail/Detail?PublicationID=P20200117248")</f>
        <v>https://ntsu.idm.oclc.org/login?url=https://www.airitibooks.com/Detail/Detail?PublicationID=P20200117248</v>
      </c>
    </row>
    <row r="2739" spans="1:11" ht="51" x14ac:dyDescent="0.4">
      <c r="A2739" s="10" t="s">
        <v>14150</v>
      </c>
      <c r="B2739" s="10" t="s">
        <v>14151</v>
      </c>
      <c r="C2739" s="10" t="s">
        <v>14114</v>
      </c>
      <c r="D2739" s="10" t="s">
        <v>14152</v>
      </c>
      <c r="E2739" s="10" t="s">
        <v>6182</v>
      </c>
      <c r="F2739" s="10" t="s">
        <v>1789</v>
      </c>
      <c r="G2739" s="10" t="s">
        <v>32</v>
      </c>
      <c r="H2739" s="7" t="s">
        <v>1031</v>
      </c>
      <c r="I2739" s="7" t="s">
        <v>25</v>
      </c>
      <c r="J2739" s="13" t="str">
        <f>HYPERLINK("https://www.airitibooks.com/Detail/Detail?PublicationID=P20200514301", "https://www.airitibooks.com/Detail/Detail?PublicationID=P20200514301")</f>
        <v>https://www.airitibooks.com/Detail/Detail?PublicationID=P20200514301</v>
      </c>
      <c r="K2739" s="13" t="str">
        <f>HYPERLINK("https://ntsu.idm.oclc.org/login?url=https://www.airitibooks.com/Detail/Detail?PublicationID=P20200514301", "https://ntsu.idm.oclc.org/login?url=https://www.airitibooks.com/Detail/Detail?PublicationID=P20200514301")</f>
        <v>https://ntsu.idm.oclc.org/login?url=https://www.airitibooks.com/Detail/Detail?PublicationID=P20200514301</v>
      </c>
    </row>
    <row r="2740" spans="1:11" ht="51" x14ac:dyDescent="0.4">
      <c r="A2740" s="10" t="s">
        <v>14153</v>
      </c>
      <c r="B2740" s="10" t="s">
        <v>14154</v>
      </c>
      <c r="C2740" s="10" t="s">
        <v>14114</v>
      </c>
      <c r="D2740" s="10" t="s">
        <v>14155</v>
      </c>
      <c r="E2740" s="10" t="s">
        <v>6182</v>
      </c>
      <c r="F2740" s="10" t="s">
        <v>4038</v>
      </c>
      <c r="G2740" s="10" t="s">
        <v>32</v>
      </c>
      <c r="H2740" s="7" t="s">
        <v>1031</v>
      </c>
      <c r="I2740" s="7" t="s">
        <v>25</v>
      </c>
      <c r="J2740" s="13" t="str">
        <f>HYPERLINK("https://www.airitibooks.com/Detail/Detail?PublicationID=P20200514306", "https://www.airitibooks.com/Detail/Detail?PublicationID=P20200514306")</f>
        <v>https://www.airitibooks.com/Detail/Detail?PublicationID=P20200514306</v>
      </c>
      <c r="K2740" s="13" t="str">
        <f>HYPERLINK("https://ntsu.idm.oclc.org/login?url=https://www.airitibooks.com/Detail/Detail?PublicationID=P20200514306", "https://ntsu.idm.oclc.org/login?url=https://www.airitibooks.com/Detail/Detail?PublicationID=P20200514306")</f>
        <v>https://ntsu.idm.oclc.org/login?url=https://www.airitibooks.com/Detail/Detail?PublicationID=P20200514306</v>
      </c>
    </row>
    <row r="2741" spans="1:11" ht="51" x14ac:dyDescent="0.4">
      <c r="A2741" s="10" t="s">
        <v>15282</v>
      </c>
      <c r="B2741" s="10" t="s">
        <v>15283</v>
      </c>
      <c r="C2741" s="10" t="s">
        <v>14330</v>
      </c>
      <c r="D2741" s="10" t="s">
        <v>15284</v>
      </c>
      <c r="E2741" s="10" t="s">
        <v>6182</v>
      </c>
      <c r="F2741" s="10" t="s">
        <v>181</v>
      </c>
      <c r="G2741" s="10" t="s">
        <v>32</v>
      </c>
      <c r="H2741" s="7" t="s">
        <v>1031</v>
      </c>
      <c r="I2741" s="7" t="s">
        <v>25</v>
      </c>
      <c r="J2741" s="13" t="str">
        <f>HYPERLINK("https://www.airitibooks.com/Detail/Detail?PublicationID=P20210225208", "https://www.airitibooks.com/Detail/Detail?PublicationID=P20210225208")</f>
        <v>https://www.airitibooks.com/Detail/Detail?PublicationID=P20210225208</v>
      </c>
      <c r="K2741" s="13" t="str">
        <f>HYPERLINK("https://ntsu.idm.oclc.org/login?url=https://www.airitibooks.com/Detail/Detail?PublicationID=P20210225208", "https://ntsu.idm.oclc.org/login?url=https://www.airitibooks.com/Detail/Detail?PublicationID=P20210225208")</f>
        <v>https://ntsu.idm.oclc.org/login?url=https://www.airitibooks.com/Detail/Detail?PublicationID=P20210225208</v>
      </c>
    </row>
    <row r="2742" spans="1:11" ht="51" x14ac:dyDescent="0.4">
      <c r="A2742" s="10" t="s">
        <v>15301</v>
      </c>
      <c r="B2742" s="10" t="s">
        <v>15302</v>
      </c>
      <c r="C2742" s="10" t="s">
        <v>147</v>
      </c>
      <c r="D2742" s="10" t="s">
        <v>15303</v>
      </c>
      <c r="E2742" s="10" t="s">
        <v>6182</v>
      </c>
      <c r="F2742" s="10" t="s">
        <v>1657</v>
      </c>
      <c r="G2742" s="10" t="s">
        <v>32</v>
      </c>
      <c r="H2742" s="7" t="s">
        <v>24</v>
      </c>
      <c r="I2742" s="7" t="s">
        <v>25</v>
      </c>
      <c r="J2742" s="13" t="str">
        <f>HYPERLINK("https://www.airitibooks.com/Detail/Detail?PublicationID=P20210308018", "https://www.airitibooks.com/Detail/Detail?PublicationID=P20210308018")</f>
        <v>https://www.airitibooks.com/Detail/Detail?PublicationID=P20210308018</v>
      </c>
      <c r="K2742" s="13" t="str">
        <f>HYPERLINK("https://ntsu.idm.oclc.org/login?url=https://www.airitibooks.com/Detail/Detail?PublicationID=P20210308018", "https://ntsu.idm.oclc.org/login?url=https://www.airitibooks.com/Detail/Detail?PublicationID=P20210308018")</f>
        <v>https://ntsu.idm.oclc.org/login?url=https://www.airitibooks.com/Detail/Detail?PublicationID=P20210308018</v>
      </c>
    </row>
    <row r="2743" spans="1:11" ht="51" x14ac:dyDescent="0.4">
      <c r="A2743" s="10" t="s">
        <v>15304</v>
      </c>
      <c r="B2743" s="10" t="s">
        <v>15305</v>
      </c>
      <c r="C2743" s="10" t="s">
        <v>147</v>
      </c>
      <c r="D2743" s="10" t="s">
        <v>3370</v>
      </c>
      <c r="E2743" s="10" t="s">
        <v>6182</v>
      </c>
      <c r="F2743" s="10" t="s">
        <v>6506</v>
      </c>
      <c r="G2743" s="10" t="s">
        <v>32</v>
      </c>
      <c r="H2743" s="7" t="s">
        <v>24</v>
      </c>
      <c r="I2743" s="7" t="s">
        <v>25</v>
      </c>
      <c r="J2743" s="13" t="str">
        <f>HYPERLINK("https://www.airitibooks.com/Detail/Detail?PublicationID=P20210308019", "https://www.airitibooks.com/Detail/Detail?PublicationID=P20210308019")</f>
        <v>https://www.airitibooks.com/Detail/Detail?PublicationID=P20210308019</v>
      </c>
      <c r="K2743" s="13" t="str">
        <f>HYPERLINK("https://ntsu.idm.oclc.org/login?url=https://www.airitibooks.com/Detail/Detail?PublicationID=P20210308019", "https://ntsu.idm.oclc.org/login?url=https://www.airitibooks.com/Detail/Detail?PublicationID=P20210308019")</f>
        <v>https://ntsu.idm.oclc.org/login?url=https://www.airitibooks.com/Detail/Detail?PublicationID=P20210308019</v>
      </c>
    </row>
    <row r="2744" spans="1:11" ht="51" x14ac:dyDescent="0.4">
      <c r="A2744" s="10" t="s">
        <v>15306</v>
      </c>
      <c r="B2744" s="10" t="s">
        <v>15307</v>
      </c>
      <c r="C2744" s="10" t="s">
        <v>147</v>
      </c>
      <c r="D2744" s="10" t="s">
        <v>3370</v>
      </c>
      <c r="E2744" s="10" t="s">
        <v>6182</v>
      </c>
      <c r="F2744" s="10" t="s">
        <v>15308</v>
      </c>
      <c r="G2744" s="10" t="s">
        <v>32</v>
      </c>
      <c r="H2744" s="7" t="s">
        <v>24</v>
      </c>
      <c r="I2744" s="7" t="s">
        <v>25</v>
      </c>
      <c r="J2744" s="13" t="str">
        <f>HYPERLINK("https://www.airitibooks.com/Detail/Detail?PublicationID=P20210308020", "https://www.airitibooks.com/Detail/Detail?PublicationID=P20210308020")</f>
        <v>https://www.airitibooks.com/Detail/Detail?PublicationID=P20210308020</v>
      </c>
      <c r="K2744" s="13" t="str">
        <f>HYPERLINK("https://ntsu.idm.oclc.org/login?url=https://www.airitibooks.com/Detail/Detail?PublicationID=P20210308020", "https://ntsu.idm.oclc.org/login?url=https://www.airitibooks.com/Detail/Detail?PublicationID=P20210308020")</f>
        <v>https://ntsu.idm.oclc.org/login?url=https://www.airitibooks.com/Detail/Detail?PublicationID=P20210308020</v>
      </c>
    </row>
    <row r="2745" spans="1:11" ht="51" x14ac:dyDescent="0.4">
      <c r="A2745" s="10" t="s">
        <v>15608</v>
      </c>
      <c r="B2745" s="10" t="s">
        <v>15609</v>
      </c>
      <c r="C2745" s="10" t="s">
        <v>14330</v>
      </c>
      <c r="D2745" s="10" t="s">
        <v>15610</v>
      </c>
      <c r="E2745" s="10" t="s">
        <v>6182</v>
      </c>
      <c r="F2745" s="10" t="s">
        <v>181</v>
      </c>
      <c r="G2745" s="10" t="s">
        <v>32</v>
      </c>
      <c r="H2745" s="7" t="s">
        <v>1031</v>
      </c>
      <c r="I2745" s="7" t="s">
        <v>25</v>
      </c>
      <c r="J2745" s="13" t="str">
        <f>HYPERLINK("https://www.airitibooks.com/Detail/Detail?PublicationID=P20211220077", "https://www.airitibooks.com/Detail/Detail?PublicationID=P20211220077")</f>
        <v>https://www.airitibooks.com/Detail/Detail?PublicationID=P20211220077</v>
      </c>
      <c r="K2745" s="13" t="str">
        <f>HYPERLINK("https://ntsu.idm.oclc.org/login?url=https://www.airitibooks.com/Detail/Detail?PublicationID=P20211220077", "https://ntsu.idm.oclc.org/login?url=https://www.airitibooks.com/Detail/Detail?PublicationID=P20211220077")</f>
        <v>https://ntsu.idm.oclc.org/login?url=https://www.airitibooks.com/Detail/Detail?PublicationID=P20211220077</v>
      </c>
    </row>
    <row r="2746" spans="1:11" ht="51" x14ac:dyDescent="0.4">
      <c r="A2746" s="10" t="s">
        <v>8818</v>
      </c>
      <c r="B2746" s="10" t="s">
        <v>8819</v>
      </c>
      <c r="C2746" s="10" t="s">
        <v>544</v>
      </c>
      <c r="D2746" s="10" t="s">
        <v>8820</v>
      </c>
      <c r="E2746" s="10" t="s">
        <v>6182</v>
      </c>
      <c r="F2746" s="10" t="s">
        <v>8821</v>
      </c>
      <c r="G2746" s="10" t="s">
        <v>502</v>
      </c>
      <c r="H2746" s="7" t="s">
        <v>24</v>
      </c>
      <c r="I2746" s="7" t="s">
        <v>25</v>
      </c>
      <c r="J2746" s="13" t="str">
        <f>HYPERLINK("https://www.airitibooks.com/Detail/Detail?PublicationID=P20180330030", "https://www.airitibooks.com/Detail/Detail?PublicationID=P20180330030")</f>
        <v>https://www.airitibooks.com/Detail/Detail?PublicationID=P20180330030</v>
      </c>
      <c r="K2746" s="13" t="str">
        <f>HYPERLINK("https://ntsu.idm.oclc.org/login?url=https://www.airitibooks.com/Detail/Detail?PublicationID=P20180330030", "https://ntsu.idm.oclc.org/login?url=https://www.airitibooks.com/Detail/Detail?PublicationID=P20180330030")</f>
        <v>https://ntsu.idm.oclc.org/login?url=https://www.airitibooks.com/Detail/Detail?PublicationID=P20180330030</v>
      </c>
    </row>
    <row r="2747" spans="1:11" ht="51" x14ac:dyDescent="0.4">
      <c r="A2747" s="10" t="s">
        <v>9028</v>
      </c>
      <c r="B2747" s="10" t="s">
        <v>9029</v>
      </c>
      <c r="C2747" s="10" t="s">
        <v>439</v>
      </c>
      <c r="D2747" s="10" t="s">
        <v>9030</v>
      </c>
      <c r="E2747" s="10" t="s">
        <v>6182</v>
      </c>
      <c r="F2747" s="10" t="s">
        <v>4819</v>
      </c>
      <c r="G2747" s="10" t="s">
        <v>502</v>
      </c>
      <c r="H2747" s="7" t="s">
        <v>24</v>
      </c>
      <c r="I2747" s="7" t="s">
        <v>25</v>
      </c>
      <c r="J2747" s="13" t="str">
        <f>HYPERLINK("https://www.airitibooks.com/Detail/Detail?PublicationID=P20180413112", "https://www.airitibooks.com/Detail/Detail?PublicationID=P20180413112")</f>
        <v>https://www.airitibooks.com/Detail/Detail?PublicationID=P20180413112</v>
      </c>
      <c r="K2747" s="13" t="str">
        <f>HYPERLINK("https://ntsu.idm.oclc.org/login?url=https://www.airitibooks.com/Detail/Detail?PublicationID=P20180413112", "https://ntsu.idm.oclc.org/login?url=https://www.airitibooks.com/Detail/Detail?PublicationID=P20180413112")</f>
        <v>https://ntsu.idm.oclc.org/login?url=https://www.airitibooks.com/Detail/Detail?PublicationID=P20180413112</v>
      </c>
    </row>
    <row r="2748" spans="1:11" ht="51" x14ac:dyDescent="0.4">
      <c r="A2748" s="10" t="s">
        <v>10663</v>
      </c>
      <c r="B2748" s="10" t="s">
        <v>10664</v>
      </c>
      <c r="C2748" s="10" t="s">
        <v>264</v>
      </c>
      <c r="D2748" s="10" t="s">
        <v>10665</v>
      </c>
      <c r="E2748" s="10" t="s">
        <v>6182</v>
      </c>
      <c r="F2748" s="10" t="s">
        <v>10666</v>
      </c>
      <c r="G2748" s="10" t="s">
        <v>502</v>
      </c>
      <c r="H2748" s="7" t="s">
        <v>24</v>
      </c>
      <c r="I2748" s="7" t="s">
        <v>25</v>
      </c>
      <c r="J2748" s="13" t="str">
        <f>HYPERLINK("https://www.airitibooks.com/Detail/Detail?PublicationID=P20190214046", "https://www.airitibooks.com/Detail/Detail?PublicationID=P20190214046")</f>
        <v>https://www.airitibooks.com/Detail/Detail?PublicationID=P20190214046</v>
      </c>
      <c r="K2748" s="13" t="str">
        <f>HYPERLINK("https://ntsu.idm.oclc.org/login?url=https://www.airitibooks.com/Detail/Detail?PublicationID=P20190214046", "https://ntsu.idm.oclc.org/login?url=https://www.airitibooks.com/Detail/Detail?PublicationID=P20190214046")</f>
        <v>https://ntsu.idm.oclc.org/login?url=https://www.airitibooks.com/Detail/Detail?PublicationID=P20190214046</v>
      </c>
    </row>
    <row r="2749" spans="1:11" ht="51" x14ac:dyDescent="0.4">
      <c r="A2749" s="10" t="s">
        <v>6241</v>
      </c>
      <c r="B2749" s="10" t="s">
        <v>6242</v>
      </c>
      <c r="C2749" s="10" t="s">
        <v>1114</v>
      </c>
      <c r="D2749" s="10" t="s">
        <v>1115</v>
      </c>
      <c r="E2749" s="10" t="s">
        <v>6182</v>
      </c>
      <c r="F2749" s="10" t="s">
        <v>1116</v>
      </c>
      <c r="G2749" s="10" t="s">
        <v>37</v>
      </c>
      <c r="H2749" s="7" t="s">
        <v>24</v>
      </c>
      <c r="I2749" s="7" t="s">
        <v>25</v>
      </c>
      <c r="J2749" s="13" t="str">
        <f>HYPERLINK("https://www.airitibooks.com/Detail/Detail?PublicationID=P20170227013", "https://www.airitibooks.com/Detail/Detail?PublicationID=P20170227013")</f>
        <v>https://www.airitibooks.com/Detail/Detail?PublicationID=P20170227013</v>
      </c>
      <c r="K2749" s="13" t="str">
        <f>HYPERLINK("https://ntsu.idm.oclc.org/login?url=https://www.airitibooks.com/Detail/Detail?PublicationID=P20170227013", "https://ntsu.idm.oclc.org/login?url=https://www.airitibooks.com/Detail/Detail?PublicationID=P20170227013")</f>
        <v>https://ntsu.idm.oclc.org/login?url=https://www.airitibooks.com/Detail/Detail?PublicationID=P20170227013</v>
      </c>
    </row>
    <row r="2750" spans="1:11" ht="51" x14ac:dyDescent="0.4">
      <c r="A2750" s="10" t="s">
        <v>6243</v>
      </c>
      <c r="B2750" s="10" t="s">
        <v>6244</v>
      </c>
      <c r="C2750" s="10" t="s">
        <v>1114</v>
      </c>
      <c r="D2750" s="10" t="s">
        <v>6245</v>
      </c>
      <c r="E2750" s="10" t="s">
        <v>6182</v>
      </c>
      <c r="F2750" s="10" t="s">
        <v>1116</v>
      </c>
      <c r="G2750" s="10" t="s">
        <v>37</v>
      </c>
      <c r="H2750" s="7" t="s">
        <v>24</v>
      </c>
      <c r="I2750" s="7" t="s">
        <v>25</v>
      </c>
      <c r="J2750" s="13" t="str">
        <f>HYPERLINK("https://www.airitibooks.com/Detail/Detail?PublicationID=P20170227014", "https://www.airitibooks.com/Detail/Detail?PublicationID=P20170227014")</f>
        <v>https://www.airitibooks.com/Detail/Detail?PublicationID=P20170227014</v>
      </c>
      <c r="K2750" s="13" t="str">
        <f>HYPERLINK("https://ntsu.idm.oclc.org/login?url=https://www.airitibooks.com/Detail/Detail?PublicationID=P20170227014", "https://ntsu.idm.oclc.org/login?url=https://www.airitibooks.com/Detail/Detail?PublicationID=P20170227014")</f>
        <v>https://ntsu.idm.oclc.org/login?url=https://www.airitibooks.com/Detail/Detail?PublicationID=P20170227014</v>
      </c>
    </row>
    <row r="2751" spans="1:11" ht="51" x14ac:dyDescent="0.4">
      <c r="A2751" s="10" t="s">
        <v>6360</v>
      </c>
      <c r="B2751" s="10" t="s">
        <v>6361</v>
      </c>
      <c r="C2751" s="10" t="s">
        <v>297</v>
      </c>
      <c r="D2751" s="10" t="s">
        <v>6362</v>
      </c>
      <c r="E2751" s="10" t="s">
        <v>6182</v>
      </c>
      <c r="F2751" s="10" t="s">
        <v>1605</v>
      </c>
      <c r="G2751" s="10" t="s">
        <v>37</v>
      </c>
      <c r="H2751" s="7" t="s">
        <v>24</v>
      </c>
      <c r="I2751" s="7" t="s">
        <v>25</v>
      </c>
      <c r="J2751" s="13" t="str">
        <f>HYPERLINK("https://www.airitibooks.com/Detail/Detail?PublicationID=P20170328076", "https://www.airitibooks.com/Detail/Detail?PublicationID=P20170328076")</f>
        <v>https://www.airitibooks.com/Detail/Detail?PublicationID=P20170328076</v>
      </c>
      <c r="K2751" s="13" t="str">
        <f>HYPERLINK("https://ntsu.idm.oclc.org/login?url=https://www.airitibooks.com/Detail/Detail?PublicationID=P20170328076", "https://ntsu.idm.oclc.org/login?url=https://www.airitibooks.com/Detail/Detail?PublicationID=P20170328076")</f>
        <v>https://ntsu.idm.oclc.org/login?url=https://www.airitibooks.com/Detail/Detail?PublicationID=P20170328076</v>
      </c>
    </row>
    <row r="2752" spans="1:11" ht="51" x14ac:dyDescent="0.4">
      <c r="A2752" s="10" t="s">
        <v>6371</v>
      </c>
      <c r="B2752" s="10" t="s">
        <v>6372</v>
      </c>
      <c r="C2752" s="10" t="s">
        <v>428</v>
      </c>
      <c r="D2752" s="10" t="s">
        <v>6373</v>
      </c>
      <c r="E2752" s="10" t="s">
        <v>6182</v>
      </c>
      <c r="F2752" s="10" t="s">
        <v>1605</v>
      </c>
      <c r="G2752" s="10" t="s">
        <v>37</v>
      </c>
      <c r="H2752" s="7" t="s">
        <v>24</v>
      </c>
      <c r="I2752" s="7" t="s">
        <v>25</v>
      </c>
      <c r="J2752" s="13" t="str">
        <f>HYPERLINK("https://www.airitibooks.com/Detail/Detail?PublicationID=P20170328080", "https://www.airitibooks.com/Detail/Detail?PublicationID=P20170328080")</f>
        <v>https://www.airitibooks.com/Detail/Detail?PublicationID=P20170328080</v>
      </c>
      <c r="K2752" s="13" t="str">
        <f>HYPERLINK("https://ntsu.idm.oclc.org/login?url=https://www.airitibooks.com/Detail/Detail?PublicationID=P20170328080", "https://ntsu.idm.oclc.org/login?url=https://www.airitibooks.com/Detail/Detail?PublicationID=P20170328080")</f>
        <v>https://ntsu.idm.oclc.org/login?url=https://www.airitibooks.com/Detail/Detail?PublicationID=P20170328080</v>
      </c>
    </row>
    <row r="2753" spans="1:11" ht="51" x14ac:dyDescent="0.4">
      <c r="A2753" s="10" t="s">
        <v>6420</v>
      </c>
      <c r="B2753" s="10" t="s">
        <v>6421</v>
      </c>
      <c r="C2753" s="10" t="s">
        <v>1667</v>
      </c>
      <c r="D2753" s="10" t="s">
        <v>6422</v>
      </c>
      <c r="E2753" s="10" t="s">
        <v>6182</v>
      </c>
      <c r="F2753" s="10" t="s">
        <v>4424</v>
      </c>
      <c r="G2753" s="10" t="s">
        <v>37</v>
      </c>
      <c r="H2753" s="7" t="s">
        <v>24</v>
      </c>
      <c r="I2753" s="7" t="s">
        <v>25</v>
      </c>
      <c r="J2753" s="13" t="str">
        <f>HYPERLINK("https://www.airitibooks.com/Detail/Detail?PublicationID=P20170411072", "https://www.airitibooks.com/Detail/Detail?PublicationID=P20170411072")</f>
        <v>https://www.airitibooks.com/Detail/Detail?PublicationID=P20170411072</v>
      </c>
      <c r="K2753" s="13" t="str">
        <f>HYPERLINK("https://ntsu.idm.oclc.org/login?url=https://www.airitibooks.com/Detail/Detail?PublicationID=P20170411072", "https://ntsu.idm.oclc.org/login?url=https://www.airitibooks.com/Detail/Detail?PublicationID=P20170411072")</f>
        <v>https://ntsu.idm.oclc.org/login?url=https://www.airitibooks.com/Detail/Detail?PublicationID=P20170411072</v>
      </c>
    </row>
    <row r="2754" spans="1:11" ht="51" x14ac:dyDescent="0.4">
      <c r="A2754" s="10" t="s">
        <v>6470</v>
      </c>
      <c r="B2754" s="10" t="s">
        <v>6471</v>
      </c>
      <c r="C2754" s="10" t="s">
        <v>1114</v>
      </c>
      <c r="D2754" s="10" t="s">
        <v>4128</v>
      </c>
      <c r="E2754" s="10" t="s">
        <v>6182</v>
      </c>
      <c r="F2754" s="10" t="s">
        <v>1116</v>
      </c>
      <c r="G2754" s="10" t="s">
        <v>37</v>
      </c>
      <c r="H2754" s="7" t="s">
        <v>24</v>
      </c>
      <c r="I2754" s="7" t="s">
        <v>25</v>
      </c>
      <c r="J2754" s="13" t="str">
        <f>HYPERLINK("https://www.airitibooks.com/Detail/Detail?PublicationID=P20170502020", "https://www.airitibooks.com/Detail/Detail?PublicationID=P20170502020")</f>
        <v>https://www.airitibooks.com/Detail/Detail?PublicationID=P20170502020</v>
      </c>
      <c r="K2754" s="13" t="str">
        <f>HYPERLINK("https://ntsu.idm.oclc.org/login?url=https://www.airitibooks.com/Detail/Detail?PublicationID=P20170502020", "https://ntsu.idm.oclc.org/login?url=https://www.airitibooks.com/Detail/Detail?PublicationID=P20170502020")</f>
        <v>https://ntsu.idm.oclc.org/login?url=https://www.airitibooks.com/Detail/Detail?PublicationID=P20170502020</v>
      </c>
    </row>
    <row r="2755" spans="1:11" ht="51" x14ac:dyDescent="0.4">
      <c r="A2755" s="10" t="s">
        <v>7018</v>
      </c>
      <c r="B2755" s="10" t="s">
        <v>7019</v>
      </c>
      <c r="C2755" s="10" t="s">
        <v>7020</v>
      </c>
      <c r="D2755" s="10" t="s">
        <v>7021</v>
      </c>
      <c r="E2755" s="10" t="s">
        <v>6182</v>
      </c>
      <c r="F2755" s="10" t="s">
        <v>6664</v>
      </c>
      <c r="G2755" s="10" t="s">
        <v>37</v>
      </c>
      <c r="H2755" s="7" t="s">
        <v>24</v>
      </c>
      <c r="I2755" s="7" t="s">
        <v>25</v>
      </c>
      <c r="J2755" s="13" t="str">
        <f>HYPERLINK("https://www.airitibooks.com/Detail/Detail?PublicationID=P20170822001", "https://www.airitibooks.com/Detail/Detail?PublicationID=P20170822001")</f>
        <v>https://www.airitibooks.com/Detail/Detail?PublicationID=P20170822001</v>
      </c>
      <c r="K2755" s="13" t="str">
        <f>HYPERLINK("https://ntsu.idm.oclc.org/login?url=https://www.airitibooks.com/Detail/Detail?PublicationID=P20170822001", "https://ntsu.idm.oclc.org/login?url=https://www.airitibooks.com/Detail/Detail?PublicationID=P20170822001")</f>
        <v>https://ntsu.idm.oclc.org/login?url=https://www.airitibooks.com/Detail/Detail?PublicationID=P20170822001</v>
      </c>
    </row>
    <row r="2756" spans="1:11" ht="68" x14ac:dyDescent="0.4">
      <c r="A2756" s="10" t="s">
        <v>7035</v>
      </c>
      <c r="B2756" s="10" t="s">
        <v>7036</v>
      </c>
      <c r="C2756" s="10" t="s">
        <v>938</v>
      </c>
      <c r="D2756" s="10" t="s">
        <v>7037</v>
      </c>
      <c r="E2756" s="10" t="s">
        <v>6182</v>
      </c>
      <c r="F2756" s="10" t="s">
        <v>6664</v>
      </c>
      <c r="G2756" s="10" t="s">
        <v>37</v>
      </c>
      <c r="H2756" s="7" t="s">
        <v>24</v>
      </c>
      <c r="I2756" s="7" t="s">
        <v>25</v>
      </c>
      <c r="J2756" s="13" t="str">
        <f>HYPERLINK("https://www.airitibooks.com/Detail/Detail?PublicationID=P20170907133", "https://www.airitibooks.com/Detail/Detail?PublicationID=P20170907133")</f>
        <v>https://www.airitibooks.com/Detail/Detail?PublicationID=P20170907133</v>
      </c>
      <c r="K2756" s="13" t="str">
        <f>HYPERLINK("https://ntsu.idm.oclc.org/login?url=https://www.airitibooks.com/Detail/Detail?PublicationID=P20170907133", "https://ntsu.idm.oclc.org/login?url=https://www.airitibooks.com/Detail/Detail?PublicationID=P20170907133")</f>
        <v>https://ntsu.idm.oclc.org/login?url=https://www.airitibooks.com/Detail/Detail?PublicationID=P20170907133</v>
      </c>
    </row>
    <row r="2757" spans="1:11" ht="68" x14ac:dyDescent="0.4">
      <c r="A2757" s="10" t="s">
        <v>7041</v>
      </c>
      <c r="B2757" s="10" t="s">
        <v>7042</v>
      </c>
      <c r="C2757" s="10" t="s">
        <v>938</v>
      </c>
      <c r="D2757" s="10" t="s">
        <v>7037</v>
      </c>
      <c r="E2757" s="10" t="s">
        <v>6182</v>
      </c>
      <c r="F2757" s="10" t="s">
        <v>6664</v>
      </c>
      <c r="G2757" s="10" t="s">
        <v>37</v>
      </c>
      <c r="H2757" s="7" t="s">
        <v>24</v>
      </c>
      <c r="I2757" s="7" t="s">
        <v>25</v>
      </c>
      <c r="J2757" s="13" t="str">
        <f>HYPERLINK("https://www.airitibooks.com/Detail/Detail?PublicationID=P20170907138", "https://www.airitibooks.com/Detail/Detail?PublicationID=P20170907138")</f>
        <v>https://www.airitibooks.com/Detail/Detail?PublicationID=P20170907138</v>
      </c>
      <c r="K2757" s="13" t="str">
        <f>HYPERLINK("https://ntsu.idm.oclc.org/login?url=https://www.airitibooks.com/Detail/Detail?PublicationID=P20170907138", "https://ntsu.idm.oclc.org/login?url=https://www.airitibooks.com/Detail/Detail?PublicationID=P20170907138")</f>
        <v>https://ntsu.idm.oclc.org/login?url=https://www.airitibooks.com/Detail/Detail?PublicationID=P20170907138</v>
      </c>
    </row>
    <row r="2758" spans="1:11" ht="51" x14ac:dyDescent="0.4">
      <c r="A2758" s="10" t="s">
        <v>7074</v>
      </c>
      <c r="B2758" s="10" t="s">
        <v>7075</v>
      </c>
      <c r="C2758" s="10" t="s">
        <v>1114</v>
      </c>
      <c r="D2758" s="10" t="s">
        <v>3819</v>
      </c>
      <c r="E2758" s="10" t="s">
        <v>6182</v>
      </c>
      <c r="F2758" s="10" t="s">
        <v>1116</v>
      </c>
      <c r="G2758" s="10" t="s">
        <v>37</v>
      </c>
      <c r="H2758" s="7" t="s">
        <v>24</v>
      </c>
      <c r="I2758" s="7" t="s">
        <v>25</v>
      </c>
      <c r="J2758" s="13" t="str">
        <f>HYPERLINK("https://www.airitibooks.com/Detail/Detail?PublicationID=P20170907468", "https://www.airitibooks.com/Detail/Detail?PublicationID=P20170907468")</f>
        <v>https://www.airitibooks.com/Detail/Detail?PublicationID=P20170907468</v>
      </c>
      <c r="K2758" s="13" t="str">
        <f>HYPERLINK("https://ntsu.idm.oclc.org/login?url=https://www.airitibooks.com/Detail/Detail?PublicationID=P20170907468", "https://ntsu.idm.oclc.org/login?url=https://www.airitibooks.com/Detail/Detail?PublicationID=P20170907468")</f>
        <v>https://ntsu.idm.oclc.org/login?url=https://www.airitibooks.com/Detail/Detail?PublicationID=P20170907468</v>
      </c>
    </row>
    <row r="2759" spans="1:11" ht="68" x14ac:dyDescent="0.4">
      <c r="A2759" s="10" t="s">
        <v>7099</v>
      </c>
      <c r="B2759" s="10" t="s">
        <v>7100</v>
      </c>
      <c r="C2759" s="10" t="s">
        <v>7085</v>
      </c>
      <c r="D2759" s="10" t="s">
        <v>7101</v>
      </c>
      <c r="E2759" s="10" t="s">
        <v>6182</v>
      </c>
      <c r="F2759" s="10" t="s">
        <v>7102</v>
      </c>
      <c r="G2759" s="10" t="s">
        <v>37</v>
      </c>
      <c r="H2759" s="7" t="s">
        <v>24</v>
      </c>
      <c r="I2759" s="7" t="s">
        <v>25</v>
      </c>
      <c r="J2759" s="13" t="str">
        <f>HYPERLINK("https://www.airitibooks.com/Detail/Detail?PublicationID=P20170929081", "https://www.airitibooks.com/Detail/Detail?PublicationID=P20170929081")</f>
        <v>https://www.airitibooks.com/Detail/Detail?PublicationID=P20170929081</v>
      </c>
      <c r="K2759" s="13" t="str">
        <f>HYPERLINK("https://ntsu.idm.oclc.org/login?url=https://www.airitibooks.com/Detail/Detail?PublicationID=P20170929081", "https://ntsu.idm.oclc.org/login?url=https://www.airitibooks.com/Detail/Detail?PublicationID=P20170929081")</f>
        <v>https://ntsu.idm.oclc.org/login?url=https://www.airitibooks.com/Detail/Detail?PublicationID=P20170929081</v>
      </c>
    </row>
    <row r="2760" spans="1:11" ht="51" x14ac:dyDescent="0.4">
      <c r="A2760" s="10" t="s">
        <v>7113</v>
      </c>
      <c r="B2760" s="10" t="s">
        <v>7114</v>
      </c>
      <c r="C2760" s="10" t="s">
        <v>613</v>
      </c>
      <c r="D2760" s="10" t="s">
        <v>7115</v>
      </c>
      <c r="E2760" s="10" t="s">
        <v>6182</v>
      </c>
      <c r="F2760" s="10" t="s">
        <v>7116</v>
      </c>
      <c r="G2760" s="10" t="s">
        <v>37</v>
      </c>
      <c r="H2760" s="7" t="s">
        <v>24</v>
      </c>
      <c r="I2760" s="7" t="s">
        <v>25</v>
      </c>
      <c r="J2760" s="13" t="str">
        <f>HYPERLINK("https://www.airitibooks.com/Detail/Detail?PublicationID=P20170929089", "https://www.airitibooks.com/Detail/Detail?PublicationID=P20170929089")</f>
        <v>https://www.airitibooks.com/Detail/Detail?PublicationID=P20170929089</v>
      </c>
      <c r="K2760" s="13" t="str">
        <f>HYPERLINK("https://ntsu.idm.oclc.org/login?url=https://www.airitibooks.com/Detail/Detail?PublicationID=P20170929089", "https://ntsu.idm.oclc.org/login?url=https://www.airitibooks.com/Detail/Detail?PublicationID=P20170929089")</f>
        <v>https://ntsu.idm.oclc.org/login?url=https://www.airitibooks.com/Detail/Detail?PublicationID=P20170929089</v>
      </c>
    </row>
    <row r="2761" spans="1:11" ht="51" x14ac:dyDescent="0.4">
      <c r="A2761" s="10" t="s">
        <v>7362</v>
      </c>
      <c r="B2761" s="10" t="s">
        <v>7363</v>
      </c>
      <c r="C2761" s="10" t="s">
        <v>7164</v>
      </c>
      <c r="D2761" s="10" t="s">
        <v>7364</v>
      </c>
      <c r="E2761" s="10" t="s">
        <v>6182</v>
      </c>
      <c r="F2761" s="10" t="s">
        <v>6664</v>
      </c>
      <c r="G2761" s="10" t="s">
        <v>37</v>
      </c>
      <c r="H2761" s="7" t="s">
        <v>24</v>
      </c>
      <c r="I2761" s="7" t="s">
        <v>25</v>
      </c>
      <c r="J2761" s="13" t="str">
        <f>HYPERLINK("https://www.airitibooks.com/Detail/Detail?PublicationID=P20171103140", "https://www.airitibooks.com/Detail/Detail?PublicationID=P20171103140")</f>
        <v>https://www.airitibooks.com/Detail/Detail?PublicationID=P20171103140</v>
      </c>
      <c r="K2761" s="13" t="str">
        <f>HYPERLINK("https://ntsu.idm.oclc.org/login?url=https://www.airitibooks.com/Detail/Detail?PublicationID=P20171103140", "https://ntsu.idm.oclc.org/login?url=https://www.airitibooks.com/Detail/Detail?PublicationID=P20171103140")</f>
        <v>https://ntsu.idm.oclc.org/login?url=https://www.airitibooks.com/Detail/Detail?PublicationID=P20171103140</v>
      </c>
    </row>
    <row r="2762" spans="1:11" ht="51" x14ac:dyDescent="0.4">
      <c r="A2762" s="10" t="s">
        <v>7369</v>
      </c>
      <c r="B2762" s="10" t="s">
        <v>7370</v>
      </c>
      <c r="C2762" s="10" t="s">
        <v>7164</v>
      </c>
      <c r="D2762" s="10" t="s">
        <v>7364</v>
      </c>
      <c r="E2762" s="10" t="s">
        <v>6182</v>
      </c>
      <c r="F2762" s="10" t="s">
        <v>6664</v>
      </c>
      <c r="G2762" s="10" t="s">
        <v>37</v>
      </c>
      <c r="H2762" s="7" t="s">
        <v>24</v>
      </c>
      <c r="I2762" s="7" t="s">
        <v>25</v>
      </c>
      <c r="J2762" s="13" t="str">
        <f>HYPERLINK("https://www.airitibooks.com/Detail/Detail?PublicationID=P20171103147", "https://www.airitibooks.com/Detail/Detail?PublicationID=P20171103147")</f>
        <v>https://www.airitibooks.com/Detail/Detail?PublicationID=P20171103147</v>
      </c>
      <c r="K2762" s="13" t="str">
        <f>HYPERLINK("https://ntsu.idm.oclc.org/login?url=https://www.airitibooks.com/Detail/Detail?PublicationID=P20171103147", "https://ntsu.idm.oclc.org/login?url=https://www.airitibooks.com/Detail/Detail?PublicationID=P20171103147")</f>
        <v>https://ntsu.idm.oclc.org/login?url=https://www.airitibooks.com/Detail/Detail?PublicationID=P20171103147</v>
      </c>
    </row>
    <row r="2763" spans="1:11" ht="51" x14ac:dyDescent="0.4">
      <c r="A2763" s="10" t="s">
        <v>7724</v>
      </c>
      <c r="B2763" s="10" t="s">
        <v>7725</v>
      </c>
      <c r="C2763" s="10" t="s">
        <v>2052</v>
      </c>
      <c r="D2763" s="10" t="s">
        <v>2053</v>
      </c>
      <c r="E2763" s="10" t="s">
        <v>6182</v>
      </c>
      <c r="F2763" s="10" t="s">
        <v>7726</v>
      </c>
      <c r="G2763" s="10" t="s">
        <v>37</v>
      </c>
      <c r="H2763" s="7" t="s">
        <v>24</v>
      </c>
      <c r="I2763" s="7" t="s">
        <v>25</v>
      </c>
      <c r="J2763" s="13" t="str">
        <f>HYPERLINK("https://www.airitibooks.com/Detail/Detail?PublicationID=P20171103902", "https://www.airitibooks.com/Detail/Detail?PublicationID=P20171103902")</f>
        <v>https://www.airitibooks.com/Detail/Detail?PublicationID=P20171103902</v>
      </c>
      <c r="K2763" s="13" t="str">
        <f>HYPERLINK("https://ntsu.idm.oclc.org/login?url=https://www.airitibooks.com/Detail/Detail?PublicationID=P20171103902", "https://ntsu.idm.oclc.org/login?url=https://www.airitibooks.com/Detail/Detail?PublicationID=P20171103902")</f>
        <v>https://ntsu.idm.oclc.org/login?url=https://www.airitibooks.com/Detail/Detail?PublicationID=P20171103902</v>
      </c>
    </row>
    <row r="2764" spans="1:11" ht="51" x14ac:dyDescent="0.4">
      <c r="A2764" s="10" t="s">
        <v>7783</v>
      </c>
      <c r="B2764" s="10" t="s">
        <v>7784</v>
      </c>
      <c r="C2764" s="10" t="s">
        <v>297</v>
      </c>
      <c r="D2764" s="10" t="s">
        <v>7785</v>
      </c>
      <c r="E2764" s="10" t="s">
        <v>6182</v>
      </c>
      <c r="F2764" s="10" t="s">
        <v>1605</v>
      </c>
      <c r="G2764" s="10" t="s">
        <v>37</v>
      </c>
      <c r="H2764" s="7" t="s">
        <v>24</v>
      </c>
      <c r="I2764" s="7" t="s">
        <v>25</v>
      </c>
      <c r="J2764" s="13" t="str">
        <f>HYPERLINK("https://www.airitibooks.com/Detail/Detail?PublicationID=P20171127056", "https://www.airitibooks.com/Detail/Detail?PublicationID=P20171127056")</f>
        <v>https://www.airitibooks.com/Detail/Detail?PublicationID=P20171127056</v>
      </c>
      <c r="K2764" s="13" t="str">
        <f>HYPERLINK("https://ntsu.idm.oclc.org/login?url=https://www.airitibooks.com/Detail/Detail?PublicationID=P20171127056", "https://ntsu.idm.oclc.org/login?url=https://www.airitibooks.com/Detail/Detail?PublicationID=P20171127056")</f>
        <v>https://ntsu.idm.oclc.org/login?url=https://www.airitibooks.com/Detail/Detail?PublicationID=P20171127056</v>
      </c>
    </row>
    <row r="2765" spans="1:11" ht="51" x14ac:dyDescent="0.4">
      <c r="A2765" s="10" t="s">
        <v>7842</v>
      </c>
      <c r="B2765" s="10" t="s">
        <v>7843</v>
      </c>
      <c r="C2765" s="10" t="s">
        <v>7822</v>
      </c>
      <c r="D2765" s="10" t="s">
        <v>7844</v>
      </c>
      <c r="E2765" s="10" t="s">
        <v>6182</v>
      </c>
      <c r="F2765" s="10" t="s">
        <v>7845</v>
      </c>
      <c r="G2765" s="10" t="s">
        <v>37</v>
      </c>
      <c r="H2765" s="7" t="s">
        <v>24</v>
      </c>
      <c r="I2765" s="7" t="s">
        <v>25</v>
      </c>
      <c r="J2765" s="13" t="str">
        <f>HYPERLINK("https://www.airitibooks.com/Detail/Detail?PublicationID=P20171127227", "https://www.airitibooks.com/Detail/Detail?PublicationID=P20171127227")</f>
        <v>https://www.airitibooks.com/Detail/Detail?PublicationID=P20171127227</v>
      </c>
      <c r="K2765" s="13" t="str">
        <f>HYPERLINK("https://ntsu.idm.oclc.org/login?url=https://www.airitibooks.com/Detail/Detail?PublicationID=P20171127227", "https://ntsu.idm.oclc.org/login?url=https://www.airitibooks.com/Detail/Detail?PublicationID=P20171127227")</f>
        <v>https://ntsu.idm.oclc.org/login?url=https://www.airitibooks.com/Detail/Detail?PublicationID=P20171127227</v>
      </c>
    </row>
    <row r="2766" spans="1:11" ht="51" x14ac:dyDescent="0.4">
      <c r="A2766" s="10" t="s">
        <v>8204</v>
      </c>
      <c r="B2766" s="10" t="s">
        <v>8205</v>
      </c>
      <c r="C2766" s="10" t="s">
        <v>7164</v>
      </c>
      <c r="D2766" s="10" t="s">
        <v>8206</v>
      </c>
      <c r="E2766" s="10" t="s">
        <v>6182</v>
      </c>
      <c r="F2766" s="10" t="s">
        <v>5037</v>
      </c>
      <c r="G2766" s="10" t="s">
        <v>37</v>
      </c>
      <c r="H2766" s="7" t="s">
        <v>24</v>
      </c>
      <c r="I2766" s="7" t="s">
        <v>25</v>
      </c>
      <c r="J2766" s="13" t="str">
        <f>HYPERLINK("https://www.airitibooks.com/Detail/Detail?PublicationID=P20180119053", "https://www.airitibooks.com/Detail/Detail?PublicationID=P20180119053")</f>
        <v>https://www.airitibooks.com/Detail/Detail?PublicationID=P20180119053</v>
      </c>
      <c r="K2766" s="13" t="str">
        <f>HYPERLINK("https://ntsu.idm.oclc.org/login?url=https://www.airitibooks.com/Detail/Detail?PublicationID=P20180119053", "https://ntsu.idm.oclc.org/login?url=https://www.airitibooks.com/Detail/Detail?PublicationID=P20180119053")</f>
        <v>https://ntsu.idm.oclc.org/login?url=https://www.airitibooks.com/Detail/Detail?PublicationID=P20180119053</v>
      </c>
    </row>
    <row r="2767" spans="1:11" ht="51" x14ac:dyDescent="0.4">
      <c r="A2767" s="10" t="s">
        <v>8675</v>
      </c>
      <c r="B2767" s="10" t="s">
        <v>8676</v>
      </c>
      <c r="C2767" s="10" t="s">
        <v>756</v>
      </c>
      <c r="D2767" s="10" t="s">
        <v>757</v>
      </c>
      <c r="E2767" s="10" t="s">
        <v>6182</v>
      </c>
      <c r="F2767" s="10" t="s">
        <v>758</v>
      </c>
      <c r="G2767" s="10" t="s">
        <v>37</v>
      </c>
      <c r="H2767" s="7" t="s">
        <v>24</v>
      </c>
      <c r="I2767" s="7" t="s">
        <v>25</v>
      </c>
      <c r="J2767" s="13" t="str">
        <f>HYPERLINK("https://www.airitibooks.com/Detail/Detail?PublicationID=P20180223030", "https://www.airitibooks.com/Detail/Detail?PublicationID=P20180223030")</f>
        <v>https://www.airitibooks.com/Detail/Detail?PublicationID=P20180223030</v>
      </c>
      <c r="K2767" s="13" t="str">
        <f>HYPERLINK("https://ntsu.idm.oclc.org/login?url=https://www.airitibooks.com/Detail/Detail?PublicationID=P20180223030", "https://ntsu.idm.oclc.org/login?url=https://www.airitibooks.com/Detail/Detail?PublicationID=P20180223030")</f>
        <v>https://ntsu.idm.oclc.org/login?url=https://www.airitibooks.com/Detail/Detail?PublicationID=P20180223030</v>
      </c>
    </row>
    <row r="2768" spans="1:11" ht="51" x14ac:dyDescent="0.4">
      <c r="A2768" s="10" t="s">
        <v>8770</v>
      </c>
      <c r="B2768" s="10" t="s">
        <v>8771</v>
      </c>
      <c r="C2768" s="10" t="s">
        <v>8772</v>
      </c>
      <c r="D2768" s="10" t="s">
        <v>8773</v>
      </c>
      <c r="E2768" s="10" t="s">
        <v>6182</v>
      </c>
      <c r="F2768" s="10" t="s">
        <v>1743</v>
      </c>
      <c r="G2768" s="10" t="s">
        <v>37</v>
      </c>
      <c r="H2768" s="7" t="s">
        <v>24</v>
      </c>
      <c r="I2768" s="7" t="s">
        <v>25</v>
      </c>
      <c r="J2768" s="13" t="str">
        <f>HYPERLINK("https://www.airitibooks.com/Detail/Detail?PublicationID=P20180323034", "https://www.airitibooks.com/Detail/Detail?PublicationID=P20180323034")</f>
        <v>https://www.airitibooks.com/Detail/Detail?PublicationID=P20180323034</v>
      </c>
      <c r="K2768" s="13" t="str">
        <f>HYPERLINK("https://ntsu.idm.oclc.org/login?url=https://www.airitibooks.com/Detail/Detail?PublicationID=P20180323034", "https://ntsu.idm.oclc.org/login?url=https://www.airitibooks.com/Detail/Detail?PublicationID=P20180323034")</f>
        <v>https://ntsu.idm.oclc.org/login?url=https://www.airitibooks.com/Detail/Detail?PublicationID=P20180323034</v>
      </c>
    </row>
    <row r="2769" spans="1:11" ht="68" x14ac:dyDescent="0.4">
      <c r="A2769" s="10" t="s">
        <v>9341</v>
      </c>
      <c r="B2769" s="10" t="s">
        <v>9342</v>
      </c>
      <c r="C2769" s="10" t="s">
        <v>9325</v>
      </c>
      <c r="D2769" s="10" t="s">
        <v>9343</v>
      </c>
      <c r="E2769" s="10" t="s">
        <v>6182</v>
      </c>
      <c r="F2769" s="10" t="s">
        <v>9344</v>
      </c>
      <c r="G2769" s="10" t="s">
        <v>37</v>
      </c>
      <c r="H2769" s="7" t="s">
        <v>24</v>
      </c>
      <c r="I2769" s="7" t="s">
        <v>25</v>
      </c>
      <c r="J2769" s="13" t="str">
        <f>HYPERLINK("https://www.airitibooks.com/Detail/Detail?PublicationID=P20180601019", "https://www.airitibooks.com/Detail/Detail?PublicationID=P20180601019")</f>
        <v>https://www.airitibooks.com/Detail/Detail?PublicationID=P20180601019</v>
      </c>
      <c r="K2769" s="13" t="str">
        <f>HYPERLINK("https://ntsu.idm.oclc.org/login?url=https://www.airitibooks.com/Detail/Detail?PublicationID=P20180601019", "https://ntsu.idm.oclc.org/login?url=https://www.airitibooks.com/Detail/Detail?PublicationID=P20180601019")</f>
        <v>https://ntsu.idm.oclc.org/login?url=https://www.airitibooks.com/Detail/Detail?PublicationID=P20180601019</v>
      </c>
    </row>
    <row r="2770" spans="1:11" ht="51" x14ac:dyDescent="0.4">
      <c r="A2770" s="10" t="s">
        <v>10132</v>
      </c>
      <c r="B2770" s="10" t="s">
        <v>10133</v>
      </c>
      <c r="C2770" s="10" t="s">
        <v>9828</v>
      </c>
      <c r="D2770" s="10" t="s">
        <v>10134</v>
      </c>
      <c r="E2770" s="10" t="s">
        <v>6182</v>
      </c>
      <c r="F2770" s="10" t="s">
        <v>10135</v>
      </c>
      <c r="G2770" s="10" t="s">
        <v>37</v>
      </c>
      <c r="H2770" s="7" t="s">
        <v>1031</v>
      </c>
      <c r="I2770" s="7" t="s">
        <v>25</v>
      </c>
      <c r="J2770" s="13" t="str">
        <f>HYPERLINK("https://www.airitibooks.com/Detail/Detail?PublicationID=P20181119043", "https://www.airitibooks.com/Detail/Detail?PublicationID=P20181119043")</f>
        <v>https://www.airitibooks.com/Detail/Detail?PublicationID=P20181119043</v>
      </c>
      <c r="K2770" s="13" t="str">
        <f>HYPERLINK("https://ntsu.idm.oclc.org/login?url=https://www.airitibooks.com/Detail/Detail?PublicationID=P20181119043", "https://ntsu.idm.oclc.org/login?url=https://www.airitibooks.com/Detail/Detail?PublicationID=P20181119043")</f>
        <v>https://ntsu.idm.oclc.org/login?url=https://www.airitibooks.com/Detail/Detail?PublicationID=P20181119043</v>
      </c>
    </row>
    <row r="2771" spans="1:11" ht="51" x14ac:dyDescent="0.4">
      <c r="A2771" s="10" t="s">
        <v>10222</v>
      </c>
      <c r="B2771" s="10" t="s">
        <v>10223</v>
      </c>
      <c r="C2771" s="10" t="s">
        <v>9828</v>
      </c>
      <c r="D2771" s="10" t="s">
        <v>10224</v>
      </c>
      <c r="E2771" s="10" t="s">
        <v>6182</v>
      </c>
      <c r="F2771" s="10" t="s">
        <v>5126</v>
      </c>
      <c r="G2771" s="10" t="s">
        <v>37</v>
      </c>
      <c r="H2771" s="7" t="s">
        <v>1031</v>
      </c>
      <c r="I2771" s="7" t="s">
        <v>25</v>
      </c>
      <c r="J2771" s="13" t="str">
        <f>HYPERLINK("https://www.airitibooks.com/Detail/Detail?PublicationID=P20181130051", "https://www.airitibooks.com/Detail/Detail?PublicationID=P20181130051")</f>
        <v>https://www.airitibooks.com/Detail/Detail?PublicationID=P20181130051</v>
      </c>
      <c r="K2771" s="13" t="str">
        <f>HYPERLINK("https://ntsu.idm.oclc.org/login?url=https://www.airitibooks.com/Detail/Detail?PublicationID=P20181130051", "https://ntsu.idm.oclc.org/login?url=https://www.airitibooks.com/Detail/Detail?PublicationID=P20181130051")</f>
        <v>https://ntsu.idm.oclc.org/login?url=https://www.airitibooks.com/Detail/Detail?PublicationID=P20181130051</v>
      </c>
    </row>
    <row r="2772" spans="1:11" ht="51" x14ac:dyDescent="0.4">
      <c r="A2772" s="10" t="s">
        <v>10242</v>
      </c>
      <c r="B2772" s="10" t="s">
        <v>10243</v>
      </c>
      <c r="C2772" s="10" t="s">
        <v>9828</v>
      </c>
      <c r="D2772" s="10" t="s">
        <v>10244</v>
      </c>
      <c r="E2772" s="10" t="s">
        <v>6182</v>
      </c>
      <c r="F2772" s="10" t="s">
        <v>9065</v>
      </c>
      <c r="G2772" s="10" t="s">
        <v>37</v>
      </c>
      <c r="H2772" s="7" t="s">
        <v>1031</v>
      </c>
      <c r="I2772" s="7" t="s">
        <v>25</v>
      </c>
      <c r="J2772" s="13" t="str">
        <f>HYPERLINK("https://www.airitibooks.com/Detail/Detail?PublicationID=P20181203064", "https://www.airitibooks.com/Detail/Detail?PublicationID=P20181203064")</f>
        <v>https://www.airitibooks.com/Detail/Detail?PublicationID=P20181203064</v>
      </c>
      <c r="K2772" s="13" t="str">
        <f>HYPERLINK("https://ntsu.idm.oclc.org/login?url=https://www.airitibooks.com/Detail/Detail?PublicationID=P20181203064", "https://ntsu.idm.oclc.org/login?url=https://www.airitibooks.com/Detail/Detail?PublicationID=P20181203064")</f>
        <v>https://ntsu.idm.oclc.org/login?url=https://www.airitibooks.com/Detail/Detail?PublicationID=P20181203064</v>
      </c>
    </row>
    <row r="2773" spans="1:11" ht="51" x14ac:dyDescent="0.4">
      <c r="A2773" s="10" t="s">
        <v>11068</v>
      </c>
      <c r="B2773" s="10" t="s">
        <v>11069</v>
      </c>
      <c r="C2773" s="10" t="s">
        <v>11037</v>
      </c>
      <c r="D2773" s="10" t="s">
        <v>11070</v>
      </c>
      <c r="E2773" s="10" t="s">
        <v>6182</v>
      </c>
      <c r="F2773" s="10" t="s">
        <v>10014</v>
      </c>
      <c r="G2773" s="10" t="s">
        <v>37</v>
      </c>
      <c r="H2773" s="7" t="s">
        <v>1031</v>
      </c>
      <c r="I2773" s="7" t="s">
        <v>25</v>
      </c>
      <c r="J2773" s="13" t="str">
        <f>HYPERLINK("https://www.airitibooks.com/Detail/Detail?PublicationID=P20190419064", "https://www.airitibooks.com/Detail/Detail?PublicationID=P20190419064")</f>
        <v>https://www.airitibooks.com/Detail/Detail?PublicationID=P20190419064</v>
      </c>
      <c r="K2773" s="13" t="str">
        <f>HYPERLINK("https://ntsu.idm.oclc.org/login?url=https://www.airitibooks.com/Detail/Detail?PublicationID=P20190419064", "https://ntsu.idm.oclc.org/login?url=https://www.airitibooks.com/Detail/Detail?PublicationID=P20190419064")</f>
        <v>https://ntsu.idm.oclc.org/login?url=https://www.airitibooks.com/Detail/Detail?PublicationID=P20190419064</v>
      </c>
    </row>
    <row r="2774" spans="1:11" ht="51" x14ac:dyDescent="0.4">
      <c r="A2774" s="10" t="s">
        <v>11087</v>
      </c>
      <c r="B2774" s="10" t="s">
        <v>11088</v>
      </c>
      <c r="C2774" s="10" t="s">
        <v>11037</v>
      </c>
      <c r="D2774" s="10" t="s">
        <v>11089</v>
      </c>
      <c r="E2774" s="10" t="s">
        <v>6182</v>
      </c>
      <c r="F2774" s="10" t="s">
        <v>11090</v>
      </c>
      <c r="G2774" s="10" t="s">
        <v>37</v>
      </c>
      <c r="H2774" s="7" t="s">
        <v>1031</v>
      </c>
      <c r="I2774" s="7" t="s">
        <v>25</v>
      </c>
      <c r="J2774" s="13" t="str">
        <f>HYPERLINK("https://www.airitibooks.com/Detail/Detail?PublicationID=P20190419133", "https://www.airitibooks.com/Detail/Detail?PublicationID=P20190419133")</f>
        <v>https://www.airitibooks.com/Detail/Detail?PublicationID=P20190419133</v>
      </c>
      <c r="K2774" s="13" t="str">
        <f>HYPERLINK("https://ntsu.idm.oclc.org/login?url=https://www.airitibooks.com/Detail/Detail?PublicationID=P20190419133", "https://ntsu.idm.oclc.org/login?url=https://www.airitibooks.com/Detail/Detail?PublicationID=P20190419133")</f>
        <v>https://ntsu.idm.oclc.org/login?url=https://www.airitibooks.com/Detail/Detail?PublicationID=P20190419133</v>
      </c>
    </row>
    <row r="2775" spans="1:11" ht="51" x14ac:dyDescent="0.4">
      <c r="A2775" s="10" t="s">
        <v>11122</v>
      </c>
      <c r="B2775" s="10" t="s">
        <v>11123</v>
      </c>
      <c r="C2775" s="10" t="s">
        <v>9828</v>
      </c>
      <c r="D2775" s="10" t="s">
        <v>11124</v>
      </c>
      <c r="E2775" s="10" t="s">
        <v>6182</v>
      </c>
      <c r="F2775" s="10" t="s">
        <v>10135</v>
      </c>
      <c r="G2775" s="10" t="s">
        <v>37</v>
      </c>
      <c r="H2775" s="7" t="s">
        <v>1031</v>
      </c>
      <c r="I2775" s="7" t="s">
        <v>25</v>
      </c>
      <c r="J2775" s="13" t="str">
        <f>HYPERLINK("https://www.airitibooks.com/Detail/Detail?PublicationID=P20190423025", "https://www.airitibooks.com/Detail/Detail?PublicationID=P20190423025")</f>
        <v>https://www.airitibooks.com/Detail/Detail?PublicationID=P20190423025</v>
      </c>
      <c r="K2775" s="13" t="str">
        <f>HYPERLINK("https://ntsu.idm.oclc.org/login?url=https://www.airitibooks.com/Detail/Detail?PublicationID=P20190423025", "https://ntsu.idm.oclc.org/login?url=https://www.airitibooks.com/Detail/Detail?PublicationID=P20190423025")</f>
        <v>https://ntsu.idm.oclc.org/login?url=https://www.airitibooks.com/Detail/Detail?PublicationID=P20190423025</v>
      </c>
    </row>
    <row r="2776" spans="1:11" ht="51" x14ac:dyDescent="0.4">
      <c r="A2776" s="10" t="s">
        <v>11290</v>
      </c>
      <c r="B2776" s="10" t="s">
        <v>11291</v>
      </c>
      <c r="C2776" s="10" t="s">
        <v>11292</v>
      </c>
      <c r="D2776" s="10" t="s">
        <v>11293</v>
      </c>
      <c r="E2776" s="10" t="s">
        <v>6182</v>
      </c>
      <c r="F2776" s="10" t="s">
        <v>6664</v>
      </c>
      <c r="G2776" s="10" t="s">
        <v>37</v>
      </c>
      <c r="H2776" s="7" t="s">
        <v>1031</v>
      </c>
      <c r="I2776" s="7" t="s">
        <v>25</v>
      </c>
      <c r="J2776" s="13" t="str">
        <f>HYPERLINK("https://www.airitibooks.com/Detail/Detail?PublicationID=P20190503089", "https://www.airitibooks.com/Detail/Detail?PublicationID=P20190503089")</f>
        <v>https://www.airitibooks.com/Detail/Detail?PublicationID=P20190503089</v>
      </c>
      <c r="K2776" s="13" t="str">
        <f>HYPERLINK("https://ntsu.idm.oclc.org/login?url=https://www.airitibooks.com/Detail/Detail?PublicationID=P20190503089", "https://ntsu.idm.oclc.org/login?url=https://www.airitibooks.com/Detail/Detail?PublicationID=P20190503089")</f>
        <v>https://ntsu.idm.oclc.org/login?url=https://www.airitibooks.com/Detail/Detail?PublicationID=P20190503089</v>
      </c>
    </row>
    <row r="2777" spans="1:11" ht="51" x14ac:dyDescent="0.4">
      <c r="A2777" s="10" t="s">
        <v>11378</v>
      </c>
      <c r="B2777" s="10" t="s">
        <v>11379</v>
      </c>
      <c r="C2777" s="10" t="s">
        <v>11037</v>
      </c>
      <c r="D2777" s="10" t="s">
        <v>11380</v>
      </c>
      <c r="E2777" s="10" t="s">
        <v>6182</v>
      </c>
      <c r="F2777" s="10" t="s">
        <v>10014</v>
      </c>
      <c r="G2777" s="10" t="s">
        <v>37</v>
      </c>
      <c r="H2777" s="7" t="s">
        <v>1031</v>
      </c>
      <c r="I2777" s="7" t="s">
        <v>25</v>
      </c>
      <c r="J2777" s="13" t="str">
        <f>HYPERLINK("https://www.airitibooks.com/Detail/Detail?PublicationID=P20190517074", "https://www.airitibooks.com/Detail/Detail?PublicationID=P20190517074")</f>
        <v>https://www.airitibooks.com/Detail/Detail?PublicationID=P20190517074</v>
      </c>
      <c r="K2777" s="13" t="str">
        <f>HYPERLINK("https://ntsu.idm.oclc.org/login?url=https://www.airitibooks.com/Detail/Detail?PublicationID=P20190517074", "https://ntsu.idm.oclc.org/login?url=https://www.airitibooks.com/Detail/Detail?PublicationID=P20190517074")</f>
        <v>https://ntsu.idm.oclc.org/login?url=https://www.airitibooks.com/Detail/Detail?PublicationID=P20190517074</v>
      </c>
    </row>
    <row r="2778" spans="1:11" ht="51" x14ac:dyDescent="0.4">
      <c r="A2778" s="10" t="s">
        <v>11623</v>
      </c>
      <c r="B2778" s="10" t="s">
        <v>11624</v>
      </c>
      <c r="C2778" s="10" t="s">
        <v>11625</v>
      </c>
      <c r="D2778" s="10" t="s">
        <v>11626</v>
      </c>
      <c r="E2778" s="10" t="s">
        <v>6182</v>
      </c>
      <c r="F2778" s="10" t="s">
        <v>11627</v>
      </c>
      <c r="G2778" s="10" t="s">
        <v>37</v>
      </c>
      <c r="H2778" s="7" t="s">
        <v>24</v>
      </c>
      <c r="I2778" s="7" t="s">
        <v>25</v>
      </c>
      <c r="J2778" s="13" t="str">
        <f>HYPERLINK("https://www.airitibooks.com/Detail/Detail?PublicationID=P20190606133", "https://www.airitibooks.com/Detail/Detail?PublicationID=P20190606133")</f>
        <v>https://www.airitibooks.com/Detail/Detail?PublicationID=P20190606133</v>
      </c>
      <c r="K2778" s="13" t="str">
        <f>HYPERLINK("https://ntsu.idm.oclc.org/login?url=https://www.airitibooks.com/Detail/Detail?PublicationID=P20190606133", "https://ntsu.idm.oclc.org/login?url=https://www.airitibooks.com/Detail/Detail?PublicationID=P20190606133")</f>
        <v>https://ntsu.idm.oclc.org/login?url=https://www.airitibooks.com/Detail/Detail?PublicationID=P20190606133</v>
      </c>
    </row>
    <row r="2779" spans="1:11" ht="51" x14ac:dyDescent="0.4">
      <c r="A2779" s="10" t="s">
        <v>13131</v>
      </c>
      <c r="B2779" s="10" t="s">
        <v>13132</v>
      </c>
      <c r="C2779" s="10" t="s">
        <v>13117</v>
      </c>
      <c r="D2779" s="10" t="s">
        <v>13133</v>
      </c>
      <c r="E2779" s="10" t="s">
        <v>6182</v>
      </c>
      <c r="F2779" s="10" t="s">
        <v>4739</v>
      </c>
      <c r="G2779" s="10" t="s">
        <v>37</v>
      </c>
      <c r="H2779" s="7" t="s">
        <v>1031</v>
      </c>
      <c r="I2779" s="7" t="s">
        <v>25</v>
      </c>
      <c r="J2779" s="13" t="str">
        <f>HYPERLINK("https://www.airitibooks.com/Detail/Detail?PublicationID=P20191225090", "https://www.airitibooks.com/Detail/Detail?PublicationID=P20191225090")</f>
        <v>https://www.airitibooks.com/Detail/Detail?PublicationID=P20191225090</v>
      </c>
      <c r="K2779" s="13" t="str">
        <f>HYPERLINK("https://ntsu.idm.oclc.org/login?url=https://www.airitibooks.com/Detail/Detail?PublicationID=P20191225090", "https://ntsu.idm.oclc.org/login?url=https://www.airitibooks.com/Detail/Detail?PublicationID=P20191225090")</f>
        <v>https://ntsu.idm.oclc.org/login?url=https://www.airitibooks.com/Detail/Detail?PublicationID=P20191225090</v>
      </c>
    </row>
    <row r="2780" spans="1:11" ht="51" x14ac:dyDescent="0.4">
      <c r="A2780" s="10" t="s">
        <v>13140</v>
      </c>
      <c r="B2780" s="10" t="s">
        <v>13141</v>
      </c>
      <c r="C2780" s="10" t="s">
        <v>13117</v>
      </c>
      <c r="D2780" s="10" t="s">
        <v>13142</v>
      </c>
      <c r="E2780" s="10" t="s">
        <v>6182</v>
      </c>
      <c r="F2780" s="10" t="s">
        <v>7845</v>
      </c>
      <c r="G2780" s="10" t="s">
        <v>37</v>
      </c>
      <c r="H2780" s="7" t="s">
        <v>1031</v>
      </c>
      <c r="I2780" s="7" t="s">
        <v>25</v>
      </c>
      <c r="J2780" s="13" t="str">
        <f>HYPERLINK("https://www.airitibooks.com/Detail/Detail?PublicationID=P20191225094", "https://www.airitibooks.com/Detail/Detail?PublicationID=P20191225094")</f>
        <v>https://www.airitibooks.com/Detail/Detail?PublicationID=P20191225094</v>
      </c>
      <c r="K2780" s="13" t="str">
        <f>HYPERLINK("https://ntsu.idm.oclc.org/login?url=https://www.airitibooks.com/Detail/Detail?PublicationID=P20191225094", "https://ntsu.idm.oclc.org/login?url=https://www.airitibooks.com/Detail/Detail?PublicationID=P20191225094")</f>
        <v>https://ntsu.idm.oclc.org/login?url=https://www.airitibooks.com/Detail/Detail?PublicationID=P20191225094</v>
      </c>
    </row>
    <row r="2781" spans="1:11" ht="102" x14ac:dyDescent="0.4">
      <c r="A2781" s="10" t="s">
        <v>4896</v>
      </c>
      <c r="B2781" s="10" t="s">
        <v>4897</v>
      </c>
      <c r="C2781" s="10" t="s">
        <v>4873</v>
      </c>
      <c r="D2781" s="10" t="s">
        <v>4898</v>
      </c>
      <c r="E2781" s="10" t="s">
        <v>4129</v>
      </c>
      <c r="F2781" s="10" t="s">
        <v>236</v>
      </c>
      <c r="G2781" s="10" t="s">
        <v>237</v>
      </c>
      <c r="H2781" s="7" t="s">
        <v>24</v>
      </c>
      <c r="I2781" s="7" t="s">
        <v>25</v>
      </c>
      <c r="J2781" s="13" t="str">
        <f>HYPERLINK("https://www.airitibooks.com/Detail/Detail?PublicationID=P20160715170", "https://www.airitibooks.com/Detail/Detail?PublicationID=P20160715170")</f>
        <v>https://www.airitibooks.com/Detail/Detail?PublicationID=P20160715170</v>
      </c>
      <c r="K2781" s="13" t="str">
        <f>HYPERLINK("https://ntsu.idm.oclc.org/login?url=https://www.airitibooks.com/Detail/Detail?PublicationID=P20160715170", "https://ntsu.idm.oclc.org/login?url=https://www.airitibooks.com/Detail/Detail?PublicationID=P20160715170")</f>
        <v>https://ntsu.idm.oclc.org/login?url=https://www.airitibooks.com/Detail/Detail?PublicationID=P20160715170</v>
      </c>
    </row>
    <row r="2782" spans="1:11" ht="51" x14ac:dyDescent="0.4">
      <c r="A2782" s="10" t="s">
        <v>5127</v>
      </c>
      <c r="B2782" s="10" t="s">
        <v>5128</v>
      </c>
      <c r="C2782" s="10" t="s">
        <v>428</v>
      </c>
      <c r="D2782" s="10" t="s">
        <v>5129</v>
      </c>
      <c r="E2782" s="10" t="s">
        <v>4129</v>
      </c>
      <c r="F2782" s="10" t="s">
        <v>483</v>
      </c>
      <c r="G2782" s="10" t="s">
        <v>237</v>
      </c>
      <c r="H2782" s="7" t="s">
        <v>24</v>
      </c>
      <c r="I2782" s="7" t="s">
        <v>25</v>
      </c>
      <c r="J2782" s="13" t="str">
        <f>HYPERLINK("https://www.airitibooks.com/Detail/Detail?PublicationID=P20160806239", "https://www.airitibooks.com/Detail/Detail?PublicationID=P20160806239")</f>
        <v>https://www.airitibooks.com/Detail/Detail?PublicationID=P20160806239</v>
      </c>
      <c r="K2782" s="13" t="str">
        <f>HYPERLINK("https://ntsu.idm.oclc.org/login?url=https://www.airitibooks.com/Detail/Detail?PublicationID=P20160806239", "https://ntsu.idm.oclc.org/login?url=https://www.airitibooks.com/Detail/Detail?PublicationID=P20160806239")</f>
        <v>https://ntsu.idm.oclc.org/login?url=https://www.airitibooks.com/Detail/Detail?PublicationID=P20160806239</v>
      </c>
    </row>
    <row r="2783" spans="1:11" ht="51" x14ac:dyDescent="0.4">
      <c r="A2783" s="10" t="s">
        <v>5158</v>
      </c>
      <c r="B2783" s="10" t="s">
        <v>5159</v>
      </c>
      <c r="C2783" s="10" t="s">
        <v>1203</v>
      </c>
      <c r="D2783" s="10" t="s">
        <v>5160</v>
      </c>
      <c r="E2783" s="10" t="s">
        <v>4129</v>
      </c>
      <c r="F2783" s="10" t="s">
        <v>483</v>
      </c>
      <c r="G2783" s="10" t="s">
        <v>237</v>
      </c>
      <c r="H2783" s="7" t="s">
        <v>24</v>
      </c>
      <c r="I2783" s="7" t="s">
        <v>25</v>
      </c>
      <c r="J2783" s="13" t="str">
        <f>HYPERLINK("https://www.airitibooks.com/Detail/Detail?PublicationID=P20160806260", "https://www.airitibooks.com/Detail/Detail?PublicationID=P20160806260")</f>
        <v>https://www.airitibooks.com/Detail/Detail?PublicationID=P20160806260</v>
      </c>
      <c r="K2783" s="13" t="str">
        <f>HYPERLINK("https://ntsu.idm.oclc.org/login?url=https://www.airitibooks.com/Detail/Detail?PublicationID=P20160806260", "https://ntsu.idm.oclc.org/login?url=https://www.airitibooks.com/Detail/Detail?PublicationID=P20160806260")</f>
        <v>https://ntsu.idm.oclc.org/login?url=https://www.airitibooks.com/Detail/Detail?PublicationID=P20160806260</v>
      </c>
    </row>
    <row r="2784" spans="1:11" ht="51" x14ac:dyDescent="0.4">
      <c r="A2784" s="10" t="s">
        <v>5227</v>
      </c>
      <c r="B2784" s="10" t="s">
        <v>5228</v>
      </c>
      <c r="C2784" s="10" t="s">
        <v>613</v>
      </c>
      <c r="D2784" s="10" t="s">
        <v>5229</v>
      </c>
      <c r="E2784" s="10" t="s">
        <v>4129</v>
      </c>
      <c r="F2784" s="10" t="s">
        <v>5230</v>
      </c>
      <c r="G2784" s="10" t="s">
        <v>237</v>
      </c>
      <c r="H2784" s="7" t="s">
        <v>24</v>
      </c>
      <c r="I2784" s="7" t="s">
        <v>25</v>
      </c>
      <c r="J2784" s="13" t="str">
        <f>HYPERLINK("https://www.airitibooks.com/Detail/Detail?PublicationID=P20160829108", "https://www.airitibooks.com/Detail/Detail?PublicationID=P20160829108")</f>
        <v>https://www.airitibooks.com/Detail/Detail?PublicationID=P20160829108</v>
      </c>
      <c r="K2784" s="13" t="str">
        <f>HYPERLINK("https://ntsu.idm.oclc.org/login?url=https://www.airitibooks.com/Detail/Detail?PublicationID=P20160829108", "https://ntsu.idm.oclc.org/login?url=https://www.airitibooks.com/Detail/Detail?PublicationID=P20160829108")</f>
        <v>https://ntsu.idm.oclc.org/login?url=https://www.airitibooks.com/Detail/Detail?PublicationID=P20160829108</v>
      </c>
    </row>
    <row r="2785" spans="1:11" ht="51" x14ac:dyDescent="0.4">
      <c r="A2785" s="10" t="s">
        <v>5231</v>
      </c>
      <c r="B2785" s="10" t="s">
        <v>5232</v>
      </c>
      <c r="C2785" s="10" t="s">
        <v>613</v>
      </c>
      <c r="D2785" s="10" t="s">
        <v>3683</v>
      </c>
      <c r="E2785" s="10" t="s">
        <v>4129</v>
      </c>
      <c r="F2785" s="10" t="s">
        <v>1531</v>
      </c>
      <c r="G2785" s="10" t="s">
        <v>237</v>
      </c>
      <c r="H2785" s="7" t="s">
        <v>24</v>
      </c>
      <c r="I2785" s="7" t="s">
        <v>25</v>
      </c>
      <c r="J2785" s="13" t="str">
        <f>HYPERLINK("https://www.airitibooks.com/Detail/Detail?PublicationID=P20160829109", "https://www.airitibooks.com/Detail/Detail?PublicationID=P20160829109")</f>
        <v>https://www.airitibooks.com/Detail/Detail?PublicationID=P20160829109</v>
      </c>
      <c r="K2785" s="13" t="str">
        <f>HYPERLINK("https://ntsu.idm.oclc.org/login?url=https://www.airitibooks.com/Detail/Detail?PublicationID=P20160829109", "https://ntsu.idm.oclc.org/login?url=https://www.airitibooks.com/Detail/Detail?PublicationID=P20160829109")</f>
        <v>https://ntsu.idm.oclc.org/login?url=https://www.airitibooks.com/Detail/Detail?PublicationID=P20160829109</v>
      </c>
    </row>
    <row r="2786" spans="1:11" ht="51" x14ac:dyDescent="0.4">
      <c r="A2786" s="10" t="s">
        <v>5235</v>
      </c>
      <c r="B2786" s="10" t="s">
        <v>5236</v>
      </c>
      <c r="C2786" s="10" t="s">
        <v>613</v>
      </c>
      <c r="D2786" s="10" t="s">
        <v>5237</v>
      </c>
      <c r="E2786" s="10" t="s">
        <v>4129</v>
      </c>
      <c r="F2786" s="10" t="s">
        <v>5238</v>
      </c>
      <c r="G2786" s="10" t="s">
        <v>237</v>
      </c>
      <c r="H2786" s="7" t="s">
        <v>24</v>
      </c>
      <c r="I2786" s="7" t="s">
        <v>25</v>
      </c>
      <c r="J2786" s="13" t="str">
        <f>HYPERLINK("https://www.airitibooks.com/Detail/Detail?PublicationID=P20160829112", "https://www.airitibooks.com/Detail/Detail?PublicationID=P20160829112")</f>
        <v>https://www.airitibooks.com/Detail/Detail?PublicationID=P20160829112</v>
      </c>
      <c r="K2786" s="13" t="str">
        <f>HYPERLINK("https://ntsu.idm.oclc.org/login?url=https://www.airitibooks.com/Detail/Detail?PublicationID=P20160829112", "https://ntsu.idm.oclc.org/login?url=https://www.airitibooks.com/Detail/Detail?PublicationID=P20160829112")</f>
        <v>https://ntsu.idm.oclc.org/login?url=https://www.airitibooks.com/Detail/Detail?PublicationID=P20160829112</v>
      </c>
    </row>
    <row r="2787" spans="1:11" ht="85" x14ac:dyDescent="0.4">
      <c r="A2787" s="10" t="s">
        <v>5660</v>
      </c>
      <c r="B2787" s="10" t="s">
        <v>5661</v>
      </c>
      <c r="C2787" s="10" t="s">
        <v>3832</v>
      </c>
      <c r="D2787" s="10" t="s">
        <v>5662</v>
      </c>
      <c r="E2787" s="10" t="s">
        <v>4129</v>
      </c>
      <c r="F2787" s="10" t="s">
        <v>5663</v>
      </c>
      <c r="G2787" s="10" t="s">
        <v>237</v>
      </c>
      <c r="H2787" s="7" t="s">
        <v>24</v>
      </c>
      <c r="I2787" s="7" t="s">
        <v>25</v>
      </c>
      <c r="J2787" s="13" t="str">
        <f>HYPERLINK("https://www.airitibooks.com/Detail/Detail?PublicationID=P20161107094", "https://www.airitibooks.com/Detail/Detail?PublicationID=P20161107094")</f>
        <v>https://www.airitibooks.com/Detail/Detail?PublicationID=P20161107094</v>
      </c>
      <c r="K2787" s="13" t="str">
        <f>HYPERLINK("https://ntsu.idm.oclc.org/login?url=https://www.airitibooks.com/Detail/Detail?PublicationID=P20161107094", "https://ntsu.idm.oclc.org/login?url=https://www.airitibooks.com/Detail/Detail?PublicationID=P20161107094")</f>
        <v>https://ntsu.idm.oclc.org/login?url=https://www.airitibooks.com/Detail/Detail?PublicationID=P20161107094</v>
      </c>
    </row>
    <row r="2788" spans="1:11" ht="85" x14ac:dyDescent="0.4">
      <c r="A2788" s="10" t="s">
        <v>5733</v>
      </c>
      <c r="B2788" s="10" t="s">
        <v>5734</v>
      </c>
      <c r="C2788" s="10" t="s">
        <v>108</v>
      </c>
      <c r="D2788" s="10" t="s">
        <v>5735</v>
      </c>
      <c r="E2788" s="10" t="s">
        <v>4129</v>
      </c>
      <c r="F2788" s="10" t="s">
        <v>236</v>
      </c>
      <c r="G2788" s="10" t="s">
        <v>237</v>
      </c>
      <c r="H2788" s="7" t="s">
        <v>24</v>
      </c>
      <c r="I2788" s="7" t="s">
        <v>25</v>
      </c>
      <c r="J2788" s="13" t="str">
        <f>HYPERLINK("https://www.airitibooks.com/Detail/Detail?PublicationID=P20161219064", "https://www.airitibooks.com/Detail/Detail?PublicationID=P20161219064")</f>
        <v>https://www.airitibooks.com/Detail/Detail?PublicationID=P20161219064</v>
      </c>
      <c r="K2788" s="13" t="str">
        <f>HYPERLINK("https://ntsu.idm.oclc.org/login?url=https://www.airitibooks.com/Detail/Detail?PublicationID=P20161219064", "https://ntsu.idm.oclc.org/login?url=https://www.airitibooks.com/Detail/Detail?PublicationID=P20161219064")</f>
        <v>https://ntsu.idm.oclc.org/login?url=https://www.airitibooks.com/Detail/Detail?PublicationID=P20161219064</v>
      </c>
    </row>
    <row r="2789" spans="1:11" ht="51" x14ac:dyDescent="0.4">
      <c r="A2789" s="10" t="s">
        <v>5761</v>
      </c>
      <c r="B2789" s="10" t="s">
        <v>5762</v>
      </c>
      <c r="C2789" s="10" t="s">
        <v>5763</v>
      </c>
      <c r="D2789" s="10" t="s">
        <v>5764</v>
      </c>
      <c r="E2789" s="10" t="s">
        <v>4129</v>
      </c>
      <c r="F2789" s="10" t="s">
        <v>982</v>
      </c>
      <c r="G2789" s="10" t="s">
        <v>237</v>
      </c>
      <c r="H2789" s="7" t="s">
        <v>24</v>
      </c>
      <c r="I2789" s="7" t="s">
        <v>25</v>
      </c>
      <c r="J2789" s="13" t="str">
        <f>HYPERLINK("https://www.airitibooks.com/Detail/Detail?PublicationID=P20161221057", "https://www.airitibooks.com/Detail/Detail?PublicationID=P20161221057")</f>
        <v>https://www.airitibooks.com/Detail/Detail?PublicationID=P20161221057</v>
      </c>
      <c r="K2789" s="13" t="str">
        <f>HYPERLINK("https://ntsu.idm.oclc.org/login?url=https://www.airitibooks.com/Detail/Detail?PublicationID=P20161221057", "https://ntsu.idm.oclc.org/login?url=https://www.airitibooks.com/Detail/Detail?PublicationID=P20161221057")</f>
        <v>https://ntsu.idm.oclc.org/login?url=https://www.airitibooks.com/Detail/Detail?PublicationID=P20161221057</v>
      </c>
    </row>
    <row r="2790" spans="1:11" ht="68" x14ac:dyDescent="0.4">
      <c r="A2790" s="10" t="s">
        <v>5765</v>
      </c>
      <c r="B2790" s="10" t="s">
        <v>5766</v>
      </c>
      <c r="C2790" s="10" t="s">
        <v>5763</v>
      </c>
      <c r="D2790" s="10" t="s">
        <v>5767</v>
      </c>
      <c r="E2790" s="10" t="s">
        <v>4129</v>
      </c>
      <c r="F2790" s="10" t="s">
        <v>982</v>
      </c>
      <c r="G2790" s="10" t="s">
        <v>237</v>
      </c>
      <c r="H2790" s="7" t="s">
        <v>24</v>
      </c>
      <c r="I2790" s="7" t="s">
        <v>25</v>
      </c>
      <c r="J2790" s="13" t="str">
        <f>HYPERLINK("https://www.airitibooks.com/Detail/Detail?PublicationID=P20161221058", "https://www.airitibooks.com/Detail/Detail?PublicationID=P20161221058")</f>
        <v>https://www.airitibooks.com/Detail/Detail?PublicationID=P20161221058</v>
      </c>
      <c r="K2790" s="13" t="str">
        <f>HYPERLINK("https://ntsu.idm.oclc.org/login?url=https://www.airitibooks.com/Detail/Detail?PublicationID=P20161221058", "https://ntsu.idm.oclc.org/login?url=https://www.airitibooks.com/Detail/Detail?PublicationID=P20161221058")</f>
        <v>https://ntsu.idm.oclc.org/login?url=https://www.airitibooks.com/Detail/Detail?PublicationID=P20161221058</v>
      </c>
    </row>
    <row r="2791" spans="1:11" ht="51" x14ac:dyDescent="0.4">
      <c r="A2791" s="10" t="s">
        <v>5920</v>
      </c>
      <c r="B2791" s="10" t="s">
        <v>5921</v>
      </c>
      <c r="C2791" s="10" t="s">
        <v>5922</v>
      </c>
      <c r="D2791" s="10" t="s">
        <v>5922</v>
      </c>
      <c r="E2791" s="10" t="s">
        <v>4129</v>
      </c>
      <c r="F2791" s="10" t="s">
        <v>982</v>
      </c>
      <c r="G2791" s="10" t="s">
        <v>237</v>
      </c>
      <c r="H2791" s="7" t="s">
        <v>24</v>
      </c>
      <c r="I2791" s="7" t="s">
        <v>25</v>
      </c>
      <c r="J2791" s="13" t="str">
        <f>HYPERLINK("https://www.airitibooks.com/Detail/Detail?PublicationID=P20170113011", "https://www.airitibooks.com/Detail/Detail?PublicationID=P20170113011")</f>
        <v>https://www.airitibooks.com/Detail/Detail?PublicationID=P20170113011</v>
      </c>
      <c r="K2791" s="13" t="str">
        <f>HYPERLINK("https://ntsu.idm.oclc.org/login?url=https://www.airitibooks.com/Detail/Detail?PublicationID=P20170113011", "https://ntsu.idm.oclc.org/login?url=https://www.airitibooks.com/Detail/Detail?PublicationID=P20170113011")</f>
        <v>https://ntsu.idm.oclc.org/login?url=https://www.airitibooks.com/Detail/Detail?PublicationID=P20170113011</v>
      </c>
    </row>
    <row r="2792" spans="1:11" ht="51" x14ac:dyDescent="0.4">
      <c r="A2792" s="10" t="s">
        <v>6051</v>
      </c>
      <c r="B2792" s="10" t="s">
        <v>6052</v>
      </c>
      <c r="C2792" s="10" t="s">
        <v>3426</v>
      </c>
      <c r="D2792" s="10" t="s">
        <v>3437</v>
      </c>
      <c r="E2792" s="10" t="s">
        <v>4129</v>
      </c>
      <c r="F2792" s="10" t="s">
        <v>6053</v>
      </c>
      <c r="G2792" s="10" t="s">
        <v>237</v>
      </c>
      <c r="H2792" s="7" t="s">
        <v>24</v>
      </c>
      <c r="I2792" s="7" t="s">
        <v>25</v>
      </c>
      <c r="J2792" s="13" t="str">
        <f>HYPERLINK("https://www.airitibooks.com/Detail/Detail?PublicationID=P20170203155", "https://www.airitibooks.com/Detail/Detail?PublicationID=P20170203155")</f>
        <v>https://www.airitibooks.com/Detail/Detail?PublicationID=P20170203155</v>
      </c>
      <c r="K2792" s="13" t="str">
        <f>HYPERLINK("https://ntsu.idm.oclc.org/login?url=https://www.airitibooks.com/Detail/Detail?PublicationID=P20170203155", "https://ntsu.idm.oclc.org/login?url=https://www.airitibooks.com/Detail/Detail?PublicationID=P20170203155")</f>
        <v>https://ntsu.idm.oclc.org/login?url=https://www.airitibooks.com/Detail/Detail?PublicationID=P20170203155</v>
      </c>
    </row>
    <row r="2793" spans="1:11" ht="68" x14ac:dyDescent="0.4">
      <c r="A2793" s="10" t="s">
        <v>6066</v>
      </c>
      <c r="B2793" s="10" t="s">
        <v>6067</v>
      </c>
      <c r="C2793" s="10" t="s">
        <v>772</v>
      </c>
      <c r="D2793" s="10" t="s">
        <v>6068</v>
      </c>
      <c r="E2793" s="10" t="s">
        <v>4129</v>
      </c>
      <c r="F2793" s="10" t="s">
        <v>6069</v>
      </c>
      <c r="G2793" s="10" t="s">
        <v>237</v>
      </c>
      <c r="H2793" s="7" t="s">
        <v>24</v>
      </c>
      <c r="I2793" s="7" t="s">
        <v>25</v>
      </c>
      <c r="J2793" s="13" t="str">
        <f>HYPERLINK("https://www.airitibooks.com/Detail/Detail?PublicationID=P20170203234", "https://www.airitibooks.com/Detail/Detail?PublicationID=P20170203234")</f>
        <v>https://www.airitibooks.com/Detail/Detail?PublicationID=P20170203234</v>
      </c>
      <c r="K2793" s="13" t="str">
        <f>HYPERLINK("https://ntsu.idm.oclc.org/login?url=https://www.airitibooks.com/Detail/Detail?PublicationID=P20170203234", "https://ntsu.idm.oclc.org/login?url=https://www.airitibooks.com/Detail/Detail?PublicationID=P20170203234")</f>
        <v>https://ntsu.idm.oclc.org/login?url=https://www.airitibooks.com/Detail/Detail?PublicationID=P20170203234</v>
      </c>
    </row>
    <row r="2794" spans="1:11" ht="68" x14ac:dyDescent="0.4">
      <c r="A2794" s="10" t="s">
        <v>6070</v>
      </c>
      <c r="B2794" s="10" t="s">
        <v>6071</v>
      </c>
      <c r="C2794" s="10" t="s">
        <v>772</v>
      </c>
      <c r="D2794" s="10" t="s">
        <v>6072</v>
      </c>
      <c r="E2794" s="10" t="s">
        <v>4129</v>
      </c>
      <c r="F2794" s="10" t="s">
        <v>6073</v>
      </c>
      <c r="G2794" s="10" t="s">
        <v>237</v>
      </c>
      <c r="H2794" s="7" t="s">
        <v>24</v>
      </c>
      <c r="I2794" s="7" t="s">
        <v>25</v>
      </c>
      <c r="J2794" s="13" t="str">
        <f>HYPERLINK("https://www.airitibooks.com/Detail/Detail?PublicationID=P20170203239", "https://www.airitibooks.com/Detail/Detail?PublicationID=P20170203239")</f>
        <v>https://www.airitibooks.com/Detail/Detail?PublicationID=P20170203239</v>
      </c>
      <c r="K2794" s="13" t="str">
        <f>HYPERLINK("https://ntsu.idm.oclc.org/login?url=https://www.airitibooks.com/Detail/Detail?PublicationID=P20170203239", "https://ntsu.idm.oclc.org/login?url=https://www.airitibooks.com/Detail/Detail?PublicationID=P20170203239")</f>
        <v>https://ntsu.idm.oclc.org/login?url=https://www.airitibooks.com/Detail/Detail?PublicationID=P20170203239</v>
      </c>
    </row>
    <row r="2795" spans="1:11" ht="51" x14ac:dyDescent="0.4">
      <c r="A2795" s="10" t="s">
        <v>6122</v>
      </c>
      <c r="B2795" s="10" t="s">
        <v>6123</v>
      </c>
      <c r="C2795" s="10" t="s">
        <v>2367</v>
      </c>
      <c r="D2795" s="10" t="s">
        <v>6124</v>
      </c>
      <c r="E2795" s="10" t="s">
        <v>4129</v>
      </c>
      <c r="F2795" s="10" t="s">
        <v>1719</v>
      </c>
      <c r="G2795" s="10" t="s">
        <v>237</v>
      </c>
      <c r="H2795" s="7" t="s">
        <v>24</v>
      </c>
      <c r="I2795" s="7" t="s">
        <v>25</v>
      </c>
      <c r="J2795" s="13" t="str">
        <f>HYPERLINK("https://www.airitibooks.com/Detail/Detail?PublicationID=P20170203269", "https://www.airitibooks.com/Detail/Detail?PublicationID=P20170203269")</f>
        <v>https://www.airitibooks.com/Detail/Detail?PublicationID=P20170203269</v>
      </c>
      <c r="K2795" s="13" t="str">
        <f>HYPERLINK("https://ntsu.idm.oclc.org/login?url=https://www.airitibooks.com/Detail/Detail?PublicationID=P20170203269", "https://ntsu.idm.oclc.org/login?url=https://www.airitibooks.com/Detail/Detail?PublicationID=P20170203269")</f>
        <v>https://ntsu.idm.oclc.org/login?url=https://www.airitibooks.com/Detail/Detail?PublicationID=P20170203269</v>
      </c>
    </row>
    <row r="2796" spans="1:11" ht="85" x14ac:dyDescent="0.4">
      <c r="A2796" s="10" t="s">
        <v>6296</v>
      </c>
      <c r="B2796" s="10" t="s">
        <v>6297</v>
      </c>
      <c r="C2796" s="10" t="s">
        <v>6298</v>
      </c>
      <c r="D2796" s="10" t="s">
        <v>6299</v>
      </c>
      <c r="E2796" s="10" t="s">
        <v>4129</v>
      </c>
      <c r="F2796" s="10" t="s">
        <v>6300</v>
      </c>
      <c r="G2796" s="10" t="s">
        <v>237</v>
      </c>
      <c r="H2796" s="7" t="s">
        <v>24</v>
      </c>
      <c r="I2796" s="7" t="s">
        <v>25</v>
      </c>
      <c r="J2796" s="13" t="str">
        <f>HYPERLINK("https://www.airitibooks.com/Detail/Detail?PublicationID=P20170316022", "https://www.airitibooks.com/Detail/Detail?PublicationID=P20170316022")</f>
        <v>https://www.airitibooks.com/Detail/Detail?PublicationID=P20170316022</v>
      </c>
      <c r="K2796" s="13" t="str">
        <f>HYPERLINK("https://ntsu.idm.oclc.org/login?url=https://www.airitibooks.com/Detail/Detail?PublicationID=P20170316022", "https://ntsu.idm.oclc.org/login?url=https://www.airitibooks.com/Detail/Detail?PublicationID=P20170316022")</f>
        <v>https://ntsu.idm.oclc.org/login?url=https://www.airitibooks.com/Detail/Detail?PublicationID=P20170316022</v>
      </c>
    </row>
    <row r="2797" spans="1:11" ht="51" x14ac:dyDescent="0.4">
      <c r="A2797" s="10" t="s">
        <v>6312</v>
      </c>
      <c r="B2797" s="10" t="s">
        <v>6313</v>
      </c>
      <c r="C2797" s="10" t="s">
        <v>613</v>
      </c>
      <c r="D2797" s="10" t="s">
        <v>6314</v>
      </c>
      <c r="E2797" s="10" t="s">
        <v>4129</v>
      </c>
      <c r="F2797" s="10" t="s">
        <v>6315</v>
      </c>
      <c r="G2797" s="10" t="s">
        <v>237</v>
      </c>
      <c r="H2797" s="7" t="s">
        <v>24</v>
      </c>
      <c r="I2797" s="7" t="s">
        <v>25</v>
      </c>
      <c r="J2797" s="13" t="str">
        <f>HYPERLINK("https://www.airitibooks.com/Detail/Detail?PublicationID=P20170316047", "https://www.airitibooks.com/Detail/Detail?PublicationID=P20170316047")</f>
        <v>https://www.airitibooks.com/Detail/Detail?PublicationID=P20170316047</v>
      </c>
      <c r="K2797" s="13" t="str">
        <f>HYPERLINK("https://ntsu.idm.oclc.org/login?url=https://www.airitibooks.com/Detail/Detail?PublicationID=P20170316047", "https://ntsu.idm.oclc.org/login?url=https://www.airitibooks.com/Detail/Detail?PublicationID=P20170316047")</f>
        <v>https://ntsu.idm.oclc.org/login?url=https://www.airitibooks.com/Detail/Detail?PublicationID=P20170316047</v>
      </c>
    </row>
    <row r="2798" spans="1:11" ht="68" x14ac:dyDescent="0.4">
      <c r="A2798" s="10" t="s">
        <v>6322</v>
      </c>
      <c r="B2798" s="10" t="s">
        <v>6323</v>
      </c>
      <c r="C2798" s="10" t="s">
        <v>613</v>
      </c>
      <c r="D2798" s="10" t="s">
        <v>6324</v>
      </c>
      <c r="E2798" s="10" t="s">
        <v>4129</v>
      </c>
      <c r="F2798" s="10" t="s">
        <v>6325</v>
      </c>
      <c r="G2798" s="10" t="s">
        <v>237</v>
      </c>
      <c r="H2798" s="7" t="s">
        <v>24</v>
      </c>
      <c r="I2798" s="7" t="s">
        <v>25</v>
      </c>
      <c r="J2798" s="13" t="str">
        <f>HYPERLINK("https://www.airitibooks.com/Detail/Detail?PublicationID=P20170316050", "https://www.airitibooks.com/Detail/Detail?PublicationID=P20170316050")</f>
        <v>https://www.airitibooks.com/Detail/Detail?PublicationID=P20170316050</v>
      </c>
      <c r="K2798" s="13" t="str">
        <f>HYPERLINK("https://ntsu.idm.oclc.org/login?url=https://www.airitibooks.com/Detail/Detail?PublicationID=P20170316050", "https://ntsu.idm.oclc.org/login?url=https://www.airitibooks.com/Detail/Detail?PublicationID=P20170316050")</f>
        <v>https://ntsu.idm.oclc.org/login?url=https://www.airitibooks.com/Detail/Detail?PublicationID=P20170316050</v>
      </c>
    </row>
    <row r="2799" spans="1:11" ht="51" x14ac:dyDescent="0.4">
      <c r="A2799" s="10" t="s">
        <v>6610</v>
      </c>
      <c r="B2799" s="10" t="s">
        <v>6611</v>
      </c>
      <c r="C2799" s="10" t="s">
        <v>544</v>
      </c>
      <c r="D2799" s="10" t="s">
        <v>6612</v>
      </c>
      <c r="E2799" s="10" t="s">
        <v>4129</v>
      </c>
      <c r="F2799" s="10" t="s">
        <v>6613</v>
      </c>
      <c r="G2799" s="10" t="s">
        <v>237</v>
      </c>
      <c r="H2799" s="7" t="s">
        <v>24</v>
      </c>
      <c r="I2799" s="7" t="s">
        <v>25</v>
      </c>
      <c r="J2799" s="13" t="str">
        <f>HYPERLINK("https://www.airitibooks.com/Detail/Detail?PublicationID=P20170517113", "https://www.airitibooks.com/Detail/Detail?PublicationID=P20170517113")</f>
        <v>https://www.airitibooks.com/Detail/Detail?PublicationID=P20170517113</v>
      </c>
      <c r="K2799" s="13" t="str">
        <f>HYPERLINK("https://ntsu.idm.oclc.org/login?url=https://www.airitibooks.com/Detail/Detail?PublicationID=P20170517113", "https://ntsu.idm.oclc.org/login?url=https://www.airitibooks.com/Detail/Detail?PublicationID=P20170517113")</f>
        <v>https://ntsu.idm.oclc.org/login?url=https://www.airitibooks.com/Detail/Detail?PublicationID=P20170517113</v>
      </c>
    </row>
    <row r="2800" spans="1:11" ht="68" x14ac:dyDescent="0.4">
      <c r="A2800" s="10" t="s">
        <v>8013</v>
      </c>
      <c r="B2800" s="10" t="s">
        <v>8014</v>
      </c>
      <c r="C2800" s="10" t="s">
        <v>791</v>
      </c>
      <c r="D2800" s="10" t="s">
        <v>8015</v>
      </c>
      <c r="E2800" s="10" t="s">
        <v>4129</v>
      </c>
      <c r="F2800" s="10" t="s">
        <v>1539</v>
      </c>
      <c r="G2800" s="10" t="s">
        <v>237</v>
      </c>
      <c r="H2800" s="7" t="s">
        <v>24</v>
      </c>
      <c r="I2800" s="7" t="s">
        <v>25</v>
      </c>
      <c r="J2800" s="13" t="str">
        <f>HYPERLINK("https://www.airitibooks.com/Detail/Detail?PublicationID=P20171130036", "https://www.airitibooks.com/Detail/Detail?PublicationID=P20171130036")</f>
        <v>https://www.airitibooks.com/Detail/Detail?PublicationID=P20171130036</v>
      </c>
      <c r="K2800" s="13" t="str">
        <f>HYPERLINK("https://ntsu.idm.oclc.org/login?url=https://www.airitibooks.com/Detail/Detail?PublicationID=P20171130036", "https://ntsu.idm.oclc.org/login?url=https://www.airitibooks.com/Detail/Detail?PublicationID=P20171130036")</f>
        <v>https://ntsu.idm.oclc.org/login?url=https://www.airitibooks.com/Detail/Detail?PublicationID=P20171130036</v>
      </c>
    </row>
    <row r="2801" spans="1:11" ht="102" x14ac:dyDescent="0.4">
      <c r="A2801" s="10" t="s">
        <v>8044</v>
      </c>
      <c r="B2801" s="10" t="s">
        <v>8045</v>
      </c>
      <c r="C2801" s="10" t="s">
        <v>791</v>
      </c>
      <c r="D2801" s="10" t="s">
        <v>8046</v>
      </c>
      <c r="E2801" s="10" t="s">
        <v>4129</v>
      </c>
      <c r="F2801" s="10" t="s">
        <v>5587</v>
      </c>
      <c r="G2801" s="10" t="s">
        <v>237</v>
      </c>
      <c r="H2801" s="7" t="s">
        <v>24</v>
      </c>
      <c r="I2801" s="7" t="s">
        <v>25</v>
      </c>
      <c r="J2801" s="13" t="str">
        <f>HYPERLINK("https://www.airitibooks.com/Detail/Detail?PublicationID=P20171130136", "https://www.airitibooks.com/Detail/Detail?PublicationID=P20171130136")</f>
        <v>https://www.airitibooks.com/Detail/Detail?PublicationID=P20171130136</v>
      </c>
      <c r="K2801" s="13" t="str">
        <f>HYPERLINK("https://ntsu.idm.oclc.org/login?url=https://www.airitibooks.com/Detail/Detail?PublicationID=P20171130136", "https://ntsu.idm.oclc.org/login?url=https://www.airitibooks.com/Detail/Detail?PublicationID=P20171130136")</f>
        <v>https://ntsu.idm.oclc.org/login?url=https://www.airitibooks.com/Detail/Detail?PublicationID=P20171130136</v>
      </c>
    </row>
    <row r="2802" spans="1:11" ht="51" x14ac:dyDescent="0.4">
      <c r="A2802" s="10" t="s">
        <v>8096</v>
      </c>
      <c r="B2802" s="10" t="s">
        <v>8097</v>
      </c>
      <c r="C2802" s="10" t="s">
        <v>8079</v>
      </c>
      <c r="D2802" s="10" t="s">
        <v>8098</v>
      </c>
      <c r="E2802" s="10" t="s">
        <v>4129</v>
      </c>
      <c r="F2802" s="10" t="s">
        <v>982</v>
      </c>
      <c r="G2802" s="10" t="s">
        <v>237</v>
      </c>
      <c r="H2802" s="7" t="s">
        <v>24</v>
      </c>
      <c r="I2802" s="7" t="s">
        <v>25</v>
      </c>
      <c r="J2802" s="13" t="str">
        <f>HYPERLINK("https://www.airitibooks.com/Detail/Detail?PublicationID=P20171213274", "https://www.airitibooks.com/Detail/Detail?PublicationID=P20171213274")</f>
        <v>https://www.airitibooks.com/Detail/Detail?PublicationID=P20171213274</v>
      </c>
      <c r="K2802" s="13" t="str">
        <f>HYPERLINK("https://ntsu.idm.oclc.org/login?url=https://www.airitibooks.com/Detail/Detail?PublicationID=P20171213274", "https://ntsu.idm.oclc.org/login?url=https://www.airitibooks.com/Detail/Detail?PublicationID=P20171213274")</f>
        <v>https://ntsu.idm.oclc.org/login?url=https://www.airitibooks.com/Detail/Detail?PublicationID=P20171213274</v>
      </c>
    </row>
    <row r="2803" spans="1:11" ht="51" x14ac:dyDescent="0.4">
      <c r="A2803" s="10" t="s">
        <v>9499</v>
      </c>
      <c r="B2803" s="10" t="s">
        <v>9500</v>
      </c>
      <c r="C2803" s="10" t="s">
        <v>5050</v>
      </c>
      <c r="D2803" s="10" t="s">
        <v>9501</v>
      </c>
      <c r="E2803" s="10" t="s">
        <v>4129</v>
      </c>
      <c r="F2803" s="10" t="s">
        <v>1724</v>
      </c>
      <c r="G2803" s="10" t="s">
        <v>237</v>
      </c>
      <c r="H2803" s="7" t="s">
        <v>24</v>
      </c>
      <c r="I2803" s="7" t="s">
        <v>25</v>
      </c>
      <c r="J2803" s="13" t="str">
        <f>HYPERLINK("https://www.airitibooks.com/Detail/Detail?PublicationID=P20180627037", "https://www.airitibooks.com/Detail/Detail?PublicationID=P20180627037")</f>
        <v>https://www.airitibooks.com/Detail/Detail?PublicationID=P20180627037</v>
      </c>
      <c r="K2803" s="13" t="str">
        <f>HYPERLINK("https://ntsu.idm.oclc.org/login?url=https://www.airitibooks.com/Detail/Detail?PublicationID=P20180627037", "https://ntsu.idm.oclc.org/login?url=https://www.airitibooks.com/Detail/Detail?PublicationID=P20180627037")</f>
        <v>https://ntsu.idm.oclc.org/login?url=https://www.airitibooks.com/Detail/Detail?PublicationID=P20180627037</v>
      </c>
    </row>
    <row r="2804" spans="1:11" ht="68" x14ac:dyDescent="0.4">
      <c r="A2804" s="10" t="s">
        <v>9508</v>
      </c>
      <c r="B2804" s="10" t="s">
        <v>9509</v>
      </c>
      <c r="C2804" s="10" t="s">
        <v>5050</v>
      </c>
      <c r="D2804" s="10" t="s">
        <v>9510</v>
      </c>
      <c r="E2804" s="10" t="s">
        <v>4129</v>
      </c>
      <c r="F2804" s="10" t="s">
        <v>9511</v>
      </c>
      <c r="G2804" s="10" t="s">
        <v>237</v>
      </c>
      <c r="H2804" s="7" t="s">
        <v>24</v>
      </c>
      <c r="I2804" s="7" t="s">
        <v>25</v>
      </c>
      <c r="J2804" s="13" t="str">
        <f>HYPERLINK("https://www.airitibooks.com/Detail/Detail?PublicationID=P20180627055", "https://www.airitibooks.com/Detail/Detail?PublicationID=P20180627055")</f>
        <v>https://www.airitibooks.com/Detail/Detail?PublicationID=P20180627055</v>
      </c>
      <c r="K2804" s="13" t="str">
        <f>HYPERLINK("https://ntsu.idm.oclc.org/login?url=https://www.airitibooks.com/Detail/Detail?PublicationID=P20180627055", "https://ntsu.idm.oclc.org/login?url=https://www.airitibooks.com/Detail/Detail?PublicationID=P20180627055")</f>
        <v>https://ntsu.idm.oclc.org/login?url=https://www.airitibooks.com/Detail/Detail?PublicationID=P20180627055</v>
      </c>
    </row>
    <row r="2805" spans="1:11" ht="51" x14ac:dyDescent="0.4">
      <c r="A2805" s="10" t="s">
        <v>9670</v>
      </c>
      <c r="B2805" s="10" t="s">
        <v>9671</v>
      </c>
      <c r="C2805" s="10" t="s">
        <v>9631</v>
      </c>
      <c r="D2805" s="10" t="s">
        <v>9672</v>
      </c>
      <c r="E2805" s="10" t="s">
        <v>4129</v>
      </c>
      <c r="F2805" s="10" t="s">
        <v>3140</v>
      </c>
      <c r="G2805" s="10" t="s">
        <v>237</v>
      </c>
      <c r="H2805" s="7" t="s">
        <v>24</v>
      </c>
      <c r="I2805" s="7" t="s">
        <v>25</v>
      </c>
      <c r="J2805" s="13" t="str">
        <f>HYPERLINK("https://www.airitibooks.com/Detail/Detail?PublicationID=P20180815029", "https://www.airitibooks.com/Detail/Detail?PublicationID=P20180815029")</f>
        <v>https://www.airitibooks.com/Detail/Detail?PublicationID=P20180815029</v>
      </c>
      <c r="K2805" s="13" t="str">
        <f>HYPERLINK("https://ntsu.idm.oclc.org/login?url=https://www.airitibooks.com/Detail/Detail?PublicationID=P20180815029", "https://ntsu.idm.oclc.org/login?url=https://www.airitibooks.com/Detail/Detail?PublicationID=P20180815029")</f>
        <v>https://ntsu.idm.oclc.org/login?url=https://www.airitibooks.com/Detail/Detail?PublicationID=P20180815029</v>
      </c>
    </row>
    <row r="2806" spans="1:11" ht="51" x14ac:dyDescent="0.4">
      <c r="A2806" s="10" t="s">
        <v>9921</v>
      </c>
      <c r="B2806" s="10" t="s">
        <v>9922</v>
      </c>
      <c r="C2806" s="10" t="s">
        <v>9915</v>
      </c>
      <c r="D2806" s="10" t="s">
        <v>9923</v>
      </c>
      <c r="E2806" s="10" t="s">
        <v>4129</v>
      </c>
      <c r="F2806" s="10" t="s">
        <v>9924</v>
      </c>
      <c r="G2806" s="10" t="s">
        <v>237</v>
      </c>
      <c r="H2806" s="7" t="s">
        <v>24</v>
      </c>
      <c r="I2806" s="7" t="s">
        <v>25</v>
      </c>
      <c r="J2806" s="13" t="str">
        <f>HYPERLINK("https://www.airitibooks.com/Detail/Detail?PublicationID=P20181022010", "https://www.airitibooks.com/Detail/Detail?PublicationID=P20181022010")</f>
        <v>https://www.airitibooks.com/Detail/Detail?PublicationID=P20181022010</v>
      </c>
      <c r="K2806" s="13" t="str">
        <f>HYPERLINK("https://ntsu.idm.oclc.org/login?url=https://www.airitibooks.com/Detail/Detail?PublicationID=P20181022010", "https://ntsu.idm.oclc.org/login?url=https://www.airitibooks.com/Detail/Detail?PublicationID=P20181022010")</f>
        <v>https://ntsu.idm.oclc.org/login?url=https://www.airitibooks.com/Detail/Detail?PublicationID=P20181022010</v>
      </c>
    </row>
    <row r="2807" spans="1:11" ht="51" x14ac:dyDescent="0.4">
      <c r="A2807" s="10" t="s">
        <v>10021</v>
      </c>
      <c r="B2807" s="10" t="s">
        <v>10022</v>
      </c>
      <c r="C2807" s="10" t="s">
        <v>9828</v>
      </c>
      <c r="D2807" s="10" t="s">
        <v>10023</v>
      </c>
      <c r="E2807" s="10" t="s">
        <v>4129</v>
      </c>
      <c r="F2807" s="10" t="s">
        <v>9907</v>
      </c>
      <c r="G2807" s="10" t="s">
        <v>237</v>
      </c>
      <c r="H2807" s="7" t="s">
        <v>1031</v>
      </c>
      <c r="I2807" s="7" t="s">
        <v>25</v>
      </c>
      <c r="J2807" s="13" t="str">
        <f>HYPERLINK("https://www.airitibooks.com/Detail/Detail?PublicationID=P20181114023", "https://www.airitibooks.com/Detail/Detail?PublicationID=P20181114023")</f>
        <v>https://www.airitibooks.com/Detail/Detail?PublicationID=P20181114023</v>
      </c>
      <c r="K2807" s="13" t="str">
        <f>HYPERLINK("https://ntsu.idm.oclc.org/login?url=https://www.airitibooks.com/Detail/Detail?PublicationID=P20181114023", "https://ntsu.idm.oclc.org/login?url=https://www.airitibooks.com/Detail/Detail?PublicationID=P20181114023")</f>
        <v>https://ntsu.idm.oclc.org/login?url=https://www.airitibooks.com/Detail/Detail?PublicationID=P20181114023</v>
      </c>
    </row>
    <row r="2808" spans="1:11" ht="51" x14ac:dyDescent="0.4">
      <c r="A2808" s="10" t="s">
        <v>10114</v>
      </c>
      <c r="B2808" s="10" t="s">
        <v>10115</v>
      </c>
      <c r="C2808" s="10" t="s">
        <v>9828</v>
      </c>
      <c r="D2808" s="10" t="s">
        <v>10116</v>
      </c>
      <c r="E2808" s="10" t="s">
        <v>4129</v>
      </c>
      <c r="F2808" s="10" t="s">
        <v>9969</v>
      </c>
      <c r="G2808" s="10" t="s">
        <v>237</v>
      </c>
      <c r="H2808" s="7" t="s">
        <v>1031</v>
      </c>
      <c r="I2808" s="7" t="s">
        <v>25</v>
      </c>
      <c r="J2808" s="13" t="str">
        <f>HYPERLINK("https://www.airitibooks.com/Detail/Detail?PublicationID=P20181116096", "https://www.airitibooks.com/Detail/Detail?PublicationID=P20181116096")</f>
        <v>https://www.airitibooks.com/Detail/Detail?PublicationID=P20181116096</v>
      </c>
      <c r="K2808" s="13" t="str">
        <f>HYPERLINK("https://ntsu.idm.oclc.org/login?url=https://www.airitibooks.com/Detail/Detail?PublicationID=P20181116096", "https://ntsu.idm.oclc.org/login?url=https://www.airitibooks.com/Detail/Detail?PublicationID=P20181116096")</f>
        <v>https://ntsu.idm.oclc.org/login?url=https://www.airitibooks.com/Detail/Detail?PublicationID=P20181116096</v>
      </c>
    </row>
    <row r="2809" spans="1:11" ht="51" x14ac:dyDescent="0.4">
      <c r="A2809" s="10" t="s">
        <v>10117</v>
      </c>
      <c r="B2809" s="10" t="s">
        <v>10118</v>
      </c>
      <c r="C2809" s="10" t="s">
        <v>9828</v>
      </c>
      <c r="D2809" s="10" t="s">
        <v>10119</v>
      </c>
      <c r="E2809" s="10" t="s">
        <v>4129</v>
      </c>
      <c r="F2809" s="10" t="s">
        <v>8583</v>
      </c>
      <c r="G2809" s="10" t="s">
        <v>237</v>
      </c>
      <c r="H2809" s="7" t="s">
        <v>1031</v>
      </c>
      <c r="I2809" s="7" t="s">
        <v>25</v>
      </c>
      <c r="J2809" s="13" t="str">
        <f>HYPERLINK("https://www.airitibooks.com/Detail/Detail?PublicationID=P20181116099", "https://www.airitibooks.com/Detail/Detail?PublicationID=P20181116099")</f>
        <v>https://www.airitibooks.com/Detail/Detail?PublicationID=P20181116099</v>
      </c>
      <c r="K2809" s="13" t="str">
        <f>HYPERLINK("https://ntsu.idm.oclc.org/login?url=https://www.airitibooks.com/Detail/Detail?PublicationID=P20181116099", "https://ntsu.idm.oclc.org/login?url=https://www.airitibooks.com/Detail/Detail?PublicationID=P20181116099")</f>
        <v>https://ntsu.idm.oclc.org/login?url=https://www.airitibooks.com/Detail/Detail?PublicationID=P20181116099</v>
      </c>
    </row>
    <row r="2810" spans="1:11" ht="51" x14ac:dyDescent="0.4">
      <c r="A2810" s="10" t="s">
        <v>11668</v>
      </c>
      <c r="B2810" s="10" t="s">
        <v>11669</v>
      </c>
      <c r="C2810" s="10" t="s">
        <v>5050</v>
      </c>
      <c r="D2810" s="10" t="s">
        <v>11670</v>
      </c>
      <c r="E2810" s="10" t="s">
        <v>4129</v>
      </c>
      <c r="F2810" s="10" t="s">
        <v>2903</v>
      </c>
      <c r="G2810" s="10" t="s">
        <v>237</v>
      </c>
      <c r="H2810" s="7" t="s">
        <v>24</v>
      </c>
      <c r="I2810" s="7" t="s">
        <v>25</v>
      </c>
      <c r="J2810" s="13" t="str">
        <f>HYPERLINK("https://www.airitibooks.com/Detail/Detail?PublicationID=P20190614063", "https://www.airitibooks.com/Detail/Detail?PublicationID=P20190614063")</f>
        <v>https://www.airitibooks.com/Detail/Detail?PublicationID=P20190614063</v>
      </c>
      <c r="K2810" s="13" t="str">
        <f>HYPERLINK("https://ntsu.idm.oclc.org/login?url=https://www.airitibooks.com/Detail/Detail?PublicationID=P20190614063", "https://ntsu.idm.oclc.org/login?url=https://www.airitibooks.com/Detail/Detail?PublicationID=P20190614063")</f>
        <v>https://ntsu.idm.oclc.org/login?url=https://www.airitibooks.com/Detail/Detail?PublicationID=P20190614063</v>
      </c>
    </row>
    <row r="2811" spans="1:11" ht="51" x14ac:dyDescent="0.4">
      <c r="A2811" s="10" t="s">
        <v>11888</v>
      </c>
      <c r="B2811" s="10" t="s">
        <v>11889</v>
      </c>
      <c r="C2811" s="10" t="s">
        <v>9828</v>
      </c>
      <c r="D2811" s="10" t="s">
        <v>11890</v>
      </c>
      <c r="E2811" s="10" t="s">
        <v>4129</v>
      </c>
      <c r="F2811" s="10" t="s">
        <v>8834</v>
      </c>
      <c r="G2811" s="10" t="s">
        <v>237</v>
      </c>
      <c r="H2811" s="7" t="s">
        <v>1031</v>
      </c>
      <c r="I2811" s="7" t="s">
        <v>25</v>
      </c>
      <c r="J2811" s="13" t="str">
        <f>HYPERLINK("https://www.airitibooks.com/Detail/Detail?PublicationID=P20190620380", "https://www.airitibooks.com/Detail/Detail?PublicationID=P20190620380")</f>
        <v>https://www.airitibooks.com/Detail/Detail?PublicationID=P20190620380</v>
      </c>
      <c r="K2811" s="13" t="str">
        <f>HYPERLINK("https://ntsu.idm.oclc.org/login?url=https://www.airitibooks.com/Detail/Detail?PublicationID=P20190620380", "https://ntsu.idm.oclc.org/login?url=https://www.airitibooks.com/Detail/Detail?PublicationID=P20190620380")</f>
        <v>https://ntsu.idm.oclc.org/login?url=https://www.airitibooks.com/Detail/Detail?PublicationID=P20190620380</v>
      </c>
    </row>
    <row r="2812" spans="1:11" ht="51" x14ac:dyDescent="0.4">
      <c r="A2812" s="10" t="s">
        <v>11891</v>
      </c>
      <c r="B2812" s="10" t="s">
        <v>11892</v>
      </c>
      <c r="C2812" s="10" t="s">
        <v>9828</v>
      </c>
      <c r="D2812" s="10" t="s">
        <v>11893</v>
      </c>
      <c r="E2812" s="10" t="s">
        <v>4129</v>
      </c>
      <c r="F2812" s="10" t="s">
        <v>8834</v>
      </c>
      <c r="G2812" s="10" t="s">
        <v>237</v>
      </c>
      <c r="H2812" s="7" t="s">
        <v>1031</v>
      </c>
      <c r="I2812" s="7" t="s">
        <v>25</v>
      </c>
      <c r="J2812" s="13" t="str">
        <f>HYPERLINK("https://www.airitibooks.com/Detail/Detail?PublicationID=P20190620381", "https://www.airitibooks.com/Detail/Detail?PublicationID=P20190620381")</f>
        <v>https://www.airitibooks.com/Detail/Detail?PublicationID=P20190620381</v>
      </c>
      <c r="K2812" s="13" t="str">
        <f>HYPERLINK("https://ntsu.idm.oclc.org/login?url=https://www.airitibooks.com/Detail/Detail?PublicationID=P20190620381", "https://ntsu.idm.oclc.org/login?url=https://www.airitibooks.com/Detail/Detail?PublicationID=P20190620381")</f>
        <v>https://ntsu.idm.oclc.org/login?url=https://www.airitibooks.com/Detail/Detail?PublicationID=P20190620381</v>
      </c>
    </row>
    <row r="2813" spans="1:11" ht="51" x14ac:dyDescent="0.4">
      <c r="A2813" s="10" t="s">
        <v>11894</v>
      </c>
      <c r="B2813" s="10" t="s">
        <v>11895</v>
      </c>
      <c r="C2813" s="10" t="s">
        <v>9828</v>
      </c>
      <c r="D2813" s="10" t="s">
        <v>11896</v>
      </c>
      <c r="E2813" s="10" t="s">
        <v>4129</v>
      </c>
      <c r="F2813" s="10" t="s">
        <v>8834</v>
      </c>
      <c r="G2813" s="10" t="s">
        <v>237</v>
      </c>
      <c r="H2813" s="7" t="s">
        <v>1031</v>
      </c>
      <c r="I2813" s="7" t="s">
        <v>25</v>
      </c>
      <c r="J2813" s="13" t="str">
        <f>HYPERLINK("https://www.airitibooks.com/Detail/Detail?PublicationID=P20190620382", "https://www.airitibooks.com/Detail/Detail?PublicationID=P20190620382")</f>
        <v>https://www.airitibooks.com/Detail/Detail?PublicationID=P20190620382</v>
      </c>
      <c r="K2813" s="13" t="str">
        <f>HYPERLINK("https://ntsu.idm.oclc.org/login?url=https://www.airitibooks.com/Detail/Detail?PublicationID=P20190620382", "https://ntsu.idm.oclc.org/login?url=https://www.airitibooks.com/Detail/Detail?PublicationID=P20190620382")</f>
        <v>https://ntsu.idm.oclc.org/login?url=https://www.airitibooks.com/Detail/Detail?PublicationID=P20190620382</v>
      </c>
    </row>
    <row r="2814" spans="1:11" ht="51" x14ac:dyDescent="0.4">
      <c r="A2814" s="10" t="s">
        <v>12521</v>
      </c>
      <c r="B2814" s="10" t="s">
        <v>12522</v>
      </c>
      <c r="C2814" s="10" t="s">
        <v>12510</v>
      </c>
      <c r="D2814" s="10" t="s">
        <v>12523</v>
      </c>
      <c r="E2814" s="10" t="s">
        <v>4129</v>
      </c>
      <c r="F2814" s="10" t="s">
        <v>3328</v>
      </c>
      <c r="G2814" s="10" t="s">
        <v>237</v>
      </c>
      <c r="H2814" s="7" t="s">
        <v>1031</v>
      </c>
      <c r="I2814" s="7" t="s">
        <v>25</v>
      </c>
      <c r="J2814" s="13" t="str">
        <f>HYPERLINK("https://www.airitibooks.com/Detail/Detail?PublicationID=P20191005166", "https://www.airitibooks.com/Detail/Detail?PublicationID=P20191005166")</f>
        <v>https://www.airitibooks.com/Detail/Detail?PublicationID=P20191005166</v>
      </c>
      <c r="K2814" s="13" t="str">
        <f>HYPERLINK("https://ntsu.idm.oclc.org/login?url=https://www.airitibooks.com/Detail/Detail?PublicationID=P20191005166", "https://ntsu.idm.oclc.org/login?url=https://www.airitibooks.com/Detail/Detail?PublicationID=P20191005166")</f>
        <v>https://ntsu.idm.oclc.org/login?url=https://www.airitibooks.com/Detail/Detail?PublicationID=P20191005166</v>
      </c>
    </row>
    <row r="2815" spans="1:11" ht="85" x14ac:dyDescent="0.4">
      <c r="A2815" s="10" t="s">
        <v>12839</v>
      </c>
      <c r="B2815" s="10" t="s">
        <v>12840</v>
      </c>
      <c r="C2815" s="10" t="s">
        <v>9828</v>
      </c>
      <c r="D2815" s="10" t="s">
        <v>12841</v>
      </c>
      <c r="E2815" s="10" t="s">
        <v>4129</v>
      </c>
      <c r="F2815" s="10" t="s">
        <v>12842</v>
      </c>
      <c r="G2815" s="10" t="s">
        <v>237</v>
      </c>
      <c r="H2815" s="7" t="s">
        <v>1031</v>
      </c>
      <c r="I2815" s="7" t="s">
        <v>25</v>
      </c>
      <c r="J2815" s="13" t="str">
        <f>HYPERLINK("https://www.airitibooks.com/Detail/Detail?PublicationID=P20191104034", "https://www.airitibooks.com/Detail/Detail?PublicationID=P20191104034")</f>
        <v>https://www.airitibooks.com/Detail/Detail?PublicationID=P20191104034</v>
      </c>
      <c r="K2815" s="13" t="str">
        <f>HYPERLINK("https://ntsu.idm.oclc.org/login?url=https://www.airitibooks.com/Detail/Detail?PublicationID=P20191104034", "https://ntsu.idm.oclc.org/login?url=https://www.airitibooks.com/Detail/Detail?PublicationID=P20191104034")</f>
        <v>https://ntsu.idm.oclc.org/login?url=https://www.airitibooks.com/Detail/Detail?PublicationID=P20191104034</v>
      </c>
    </row>
    <row r="2816" spans="1:11" ht="51" x14ac:dyDescent="0.4">
      <c r="A2816" s="10" t="s">
        <v>12843</v>
      </c>
      <c r="B2816" s="10" t="s">
        <v>12844</v>
      </c>
      <c r="C2816" s="10" t="s">
        <v>9828</v>
      </c>
      <c r="D2816" s="10" t="s">
        <v>12845</v>
      </c>
      <c r="E2816" s="10" t="s">
        <v>4129</v>
      </c>
      <c r="F2816" s="10" t="s">
        <v>12846</v>
      </c>
      <c r="G2816" s="10" t="s">
        <v>237</v>
      </c>
      <c r="H2816" s="7" t="s">
        <v>1031</v>
      </c>
      <c r="I2816" s="7" t="s">
        <v>25</v>
      </c>
      <c r="J2816" s="13" t="str">
        <f>HYPERLINK("https://www.airitibooks.com/Detail/Detail?PublicationID=P20191104035", "https://www.airitibooks.com/Detail/Detail?PublicationID=P20191104035")</f>
        <v>https://www.airitibooks.com/Detail/Detail?PublicationID=P20191104035</v>
      </c>
      <c r="K2816" s="13" t="str">
        <f>HYPERLINK("https://ntsu.idm.oclc.org/login?url=https://www.airitibooks.com/Detail/Detail?PublicationID=P20191104035", "https://ntsu.idm.oclc.org/login?url=https://www.airitibooks.com/Detail/Detail?PublicationID=P20191104035")</f>
        <v>https://ntsu.idm.oclc.org/login?url=https://www.airitibooks.com/Detail/Detail?PublicationID=P20191104035</v>
      </c>
    </row>
    <row r="2817" spans="1:11" ht="51" x14ac:dyDescent="0.4">
      <c r="A2817" s="10" t="s">
        <v>12847</v>
      </c>
      <c r="B2817" s="10" t="s">
        <v>12848</v>
      </c>
      <c r="C2817" s="10" t="s">
        <v>9828</v>
      </c>
      <c r="D2817" s="10" t="s">
        <v>12849</v>
      </c>
      <c r="E2817" s="10" t="s">
        <v>4129</v>
      </c>
      <c r="F2817" s="10" t="s">
        <v>7395</v>
      </c>
      <c r="G2817" s="10" t="s">
        <v>237</v>
      </c>
      <c r="H2817" s="7" t="s">
        <v>1031</v>
      </c>
      <c r="I2817" s="7" t="s">
        <v>25</v>
      </c>
      <c r="J2817" s="13" t="str">
        <f>HYPERLINK("https://www.airitibooks.com/Detail/Detail?PublicationID=P20191104036", "https://www.airitibooks.com/Detail/Detail?PublicationID=P20191104036")</f>
        <v>https://www.airitibooks.com/Detail/Detail?PublicationID=P20191104036</v>
      </c>
      <c r="K2817" s="13" t="str">
        <f>HYPERLINK("https://ntsu.idm.oclc.org/login?url=https://www.airitibooks.com/Detail/Detail?PublicationID=P20191104036", "https://ntsu.idm.oclc.org/login?url=https://www.airitibooks.com/Detail/Detail?PublicationID=P20191104036")</f>
        <v>https://ntsu.idm.oclc.org/login?url=https://www.airitibooks.com/Detail/Detail?PublicationID=P20191104036</v>
      </c>
    </row>
    <row r="2818" spans="1:11" ht="51" x14ac:dyDescent="0.4">
      <c r="A2818" s="10" t="s">
        <v>13505</v>
      </c>
      <c r="B2818" s="10" t="s">
        <v>13506</v>
      </c>
      <c r="C2818" s="10" t="s">
        <v>9828</v>
      </c>
      <c r="D2818" s="10" t="s">
        <v>13507</v>
      </c>
      <c r="E2818" s="10" t="s">
        <v>4129</v>
      </c>
      <c r="F2818" s="10" t="s">
        <v>13508</v>
      </c>
      <c r="G2818" s="10" t="s">
        <v>237</v>
      </c>
      <c r="H2818" s="7" t="s">
        <v>1031</v>
      </c>
      <c r="I2818" s="7" t="s">
        <v>25</v>
      </c>
      <c r="J2818" s="13" t="str">
        <f>HYPERLINK("https://www.airitibooks.com/Detail/Detail?PublicationID=P20200215223", "https://www.airitibooks.com/Detail/Detail?PublicationID=P20200215223")</f>
        <v>https://www.airitibooks.com/Detail/Detail?PublicationID=P20200215223</v>
      </c>
      <c r="K2818" s="13" t="str">
        <f>HYPERLINK("https://ntsu.idm.oclc.org/login?url=https://www.airitibooks.com/Detail/Detail?PublicationID=P20200215223", "https://ntsu.idm.oclc.org/login?url=https://www.airitibooks.com/Detail/Detail?PublicationID=P20200215223")</f>
        <v>https://ntsu.idm.oclc.org/login?url=https://www.airitibooks.com/Detail/Detail?PublicationID=P20200215223</v>
      </c>
    </row>
    <row r="2819" spans="1:11" ht="51" x14ac:dyDescent="0.4">
      <c r="A2819" s="10" t="s">
        <v>15651</v>
      </c>
      <c r="B2819" s="10" t="s">
        <v>15652</v>
      </c>
      <c r="C2819" s="10" t="s">
        <v>14330</v>
      </c>
      <c r="D2819" s="10" t="s">
        <v>15653</v>
      </c>
      <c r="E2819" s="10" t="s">
        <v>4129</v>
      </c>
      <c r="F2819" s="10" t="s">
        <v>7395</v>
      </c>
      <c r="G2819" s="10" t="s">
        <v>237</v>
      </c>
      <c r="H2819" s="7" t="s">
        <v>1031</v>
      </c>
      <c r="I2819" s="7" t="s">
        <v>25</v>
      </c>
      <c r="J2819" s="13" t="str">
        <f>HYPERLINK("https://www.airitibooks.com/Detail/Detail?PublicationID=P20211222001", "https://www.airitibooks.com/Detail/Detail?PublicationID=P20211222001")</f>
        <v>https://www.airitibooks.com/Detail/Detail?PublicationID=P20211222001</v>
      </c>
      <c r="K2819" s="13" t="str">
        <f>HYPERLINK("https://ntsu.idm.oclc.org/login?url=https://www.airitibooks.com/Detail/Detail?PublicationID=P20211222001", "https://ntsu.idm.oclc.org/login?url=https://www.airitibooks.com/Detail/Detail?PublicationID=P20211222001")</f>
        <v>https://ntsu.idm.oclc.org/login?url=https://www.airitibooks.com/Detail/Detail?PublicationID=P20211222001</v>
      </c>
    </row>
    <row r="2820" spans="1:11" ht="51" x14ac:dyDescent="0.4">
      <c r="A2820" s="10" t="s">
        <v>4413</v>
      </c>
      <c r="B2820" s="10" t="s">
        <v>4414</v>
      </c>
      <c r="C2820" s="10" t="s">
        <v>1253</v>
      </c>
      <c r="D2820" s="10" t="s">
        <v>4415</v>
      </c>
      <c r="E2820" s="10" t="s">
        <v>4129</v>
      </c>
      <c r="F2820" s="10" t="s">
        <v>4416</v>
      </c>
      <c r="G2820" s="10" t="s">
        <v>209</v>
      </c>
      <c r="H2820" s="7" t="s">
        <v>24</v>
      </c>
      <c r="I2820" s="7" t="s">
        <v>25</v>
      </c>
      <c r="J2820" s="13" t="str">
        <f>HYPERLINK("https://www.airitibooks.com/Detail/Detail?PublicationID=P20160319107", "https://www.airitibooks.com/Detail/Detail?PublicationID=P20160319107")</f>
        <v>https://www.airitibooks.com/Detail/Detail?PublicationID=P20160319107</v>
      </c>
      <c r="K2820" s="13" t="str">
        <f>HYPERLINK("https://ntsu.idm.oclc.org/login?url=https://www.airitibooks.com/Detail/Detail?PublicationID=P20160319107", "https://ntsu.idm.oclc.org/login?url=https://www.airitibooks.com/Detail/Detail?PublicationID=P20160319107")</f>
        <v>https://ntsu.idm.oclc.org/login?url=https://www.airitibooks.com/Detail/Detail?PublicationID=P20160319107</v>
      </c>
    </row>
    <row r="2821" spans="1:11" ht="51" x14ac:dyDescent="0.4">
      <c r="A2821" s="10" t="s">
        <v>4500</v>
      </c>
      <c r="B2821" s="10" t="s">
        <v>4501</v>
      </c>
      <c r="C2821" s="10" t="s">
        <v>544</v>
      </c>
      <c r="D2821" s="10" t="s">
        <v>4502</v>
      </c>
      <c r="E2821" s="10" t="s">
        <v>4129</v>
      </c>
      <c r="F2821" s="10" t="s">
        <v>4503</v>
      </c>
      <c r="G2821" s="10" t="s">
        <v>209</v>
      </c>
      <c r="H2821" s="7" t="s">
        <v>24</v>
      </c>
      <c r="I2821" s="7" t="s">
        <v>25</v>
      </c>
      <c r="J2821" s="13" t="str">
        <f>HYPERLINK("https://www.airitibooks.com/Detail/Detail?PublicationID=P20160421109", "https://www.airitibooks.com/Detail/Detail?PublicationID=P20160421109")</f>
        <v>https://www.airitibooks.com/Detail/Detail?PublicationID=P20160421109</v>
      </c>
      <c r="K2821" s="13" t="str">
        <f>HYPERLINK("https://ntsu.idm.oclc.org/login?url=https://www.airitibooks.com/Detail/Detail?PublicationID=P20160421109", "https://ntsu.idm.oclc.org/login?url=https://www.airitibooks.com/Detail/Detail?PublicationID=P20160421109")</f>
        <v>https://ntsu.idm.oclc.org/login?url=https://www.airitibooks.com/Detail/Detail?PublicationID=P20160421109</v>
      </c>
    </row>
    <row r="2822" spans="1:11" ht="51" x14ac:dyDescent="0.4">
      <c r="A2822" s="10" t="s">
        <v>4789</v>
      </c>
      <c r="B2822" s="10" t="s">
        <v>4790</v>
      </c>
      <c r="C2822" s="10" t="s">
        <v>1253</v>
      </c>
      <c r="D2822" s="10" t="s">
        <v>4791</v>
      </c>
      <c r="E2822" s="10" t="s">
        <v>4129</v>
      </c>
      <c r="F2822" s="10" t="s">
        <v>1413</v>
      </c>
      <c r="G2822" s="10" t="s">
        <v>209</v>
      </c>
      <c r="H2822" s="7" t="s">
        <v>24</v>
      </c>
      <c r="I2822" s="7" t="s">
        <v>25</v>
      </c>
      <c r="J2822" s="13" t="str">
        <f>HYPERLINK("https://www.airitibooks.com/Detail/Detail?PublicationID=P20160705004", "https://www.airitibooks.com/Detail/Detail?PublicationID=P20160705004")</f>
        <v>https://www.airitibooks.com/Detail/Detail?PublicationID=P20160705004</v>
      </c>
      <c r="K2822" s="13" t="str">
        <f>HYPERLINK("https://ntsu.idm.oclc.org/login?url=https://www.airitibooks.com/Detail/Detail?PublicationID=P20160705004", "https://ntsu.idm.oclc.org/login?url=https://www.airitibooks.com/Detail/Detail?PublicationID=P20160705004")</f>
        <v>https://ntsu.idm.oclc.org/login?url=https://www.airitibooks.com/Detail/Detail?PublicationID=P20160705004</v>
      </c>
    </row>
    <row r="2823" spans="1:11" ht="51" x14ac:dyDescent="0.4">
      <c r="A2823" s="10" t="s">
        <v>4868</v>
      </c>
      <c r="B2823" s="10" t="s">
        <v>4869</v>
      </c>
      <c r="C2823" s="10" t="s">
        <v>2367</v>
      </c>
      <c r="D2823" s="10" t="s">
        <v>4870</v>
      </c>
      <c r="E2823" s="10" t="s">
        <v>4129</v>
      </c>
      <c r="F2823" s="10" t="s">
        <v>3557</v>
      </c>
      <c r="G2823" s="10" t="s">
        <v>209</v>
      </c>
      <c r="H2823" s="7" t="s">
        <v>24</v>
      </c>
      <c r="I2823" s="7" t="s">
        <v>25</v>
      </c>
      <c r="J2823" s="13" t="str">
        <f>HYPERLINK("https://www.airitibooks.com/Detail/Detail?PublicationID=P20160715157", "https://www.airitibooks.com/Detail/Detail?PublicationID=P20160715157")</f>
        <v>https://www.airitibooks.com/Detail/Detail?PublicationID=P20160715157</v>
      </c>
      <c r="K2823" s="13" t="str">
        <f>HYPERLINK("https://ntsu.idm.oclc.org/login?url=https://www.airitibooks.com/Detail/Detail?PublicationID=P20160715157", "https://ntsu.idm.oclc.org/login?url=https://www.airitibooks.com/Detail/Detail?PublicationID=P20160715157")</f>
        <v>https://ntsu.idm.oclc.org/login?url=https://www.airitibooks.com/Detail/Detail?PublicationID=P20160715157</v>
      </c>
    </row>
    <row r="2824" spans="1:11" ht="51" x14ac:dyDescent="0.4">
      <c r="A2824" s="10" t="s">
        <v>5315</v>
      </c>
      <c r="B2824" s="10" t="s">
        <v>5316</v>
      </c>
      <c r="C2824" s="10" t="s">
        <v>5307</v>
      </c>
      <c r="D2824" s="10" t="s">
        <v>5317</v>
      </c>
      <c r="E2824" s="10" t="s">
        <v>4129</v>
      </c>
      <c r="F2824" s="10" t="s">
        <v>5318</v>
      </c>
      <c r="G2824" s="10" t="s">
        <v>209</v>
      </c>
      <c r="H2824" s="7" t="s">
        <v>24</v>
      </c>
      <c r="I2824" s="7" t="s">
        <v>25</v>
      </c>
      <c r="J2824" s="13" t="str">
        <f>HYPERLINK("https://www.airitibooks.com/Detail/Detail?PublicationID=P20160901021", "https://www.airitibooks.com/Detail/Detail?PublicationID=P20160901021")</f>
        <v>https://www.airitibooks.com/Detail/Detail?PublicationID=P20160901021</v>
      </c>
      <c r="K2824" s="13" t="str">
        <f>HYPERLINK("https://ntsu.idm.oclc.org/login?url=https://www.airitibooks.com/Detail/Detail?PublicationID=P20160901021", "https://ntsu.idm.oclc.org/login?url=https://www.airitibooks.com/Detail/Detail?PublicationID=P20160901021")</f>
        <v>https://ntsu.idm.oclc.org/login?url=https://www.airitibooks.com/Detail/Detail?PublicationID=P20160901021</v>
      </c>
    </row>
    <row r="2825" spans="1:11" ht="51" x14ac:dyDescent="0.4">
      <c r="A2825" s="10" t="s">
        <v>6292</v>
      </c>
      <c r="B2825" s="10" t="s">
        <v>6293</v>
      </c>
      <c r="C2825" s="10" t="s">
        <v>6289</v>
      </c>
      <c r="D2825" s="10" t="s">
        <v>6294</v>
      </c>
      <c r="E2825" s="10" t="s">
        <v>4129</v>
      </c>
      <c r="F2825" s="10" t="s">
        <v>6295</v>
      </c>
      <c r="G2825" s="10" t="s">
        <v>209</v>
      </c>
      <c r="H2825" s="7" t="s">
        <v>24</v>
      </c>
      <c r="I2825" s="7" t="s">
        <v>25</v>
      </c>
      <c r="J2825" s="13" t="str">
        <f>HYPERLINK("https://www.airitibooks.com/Detail/Detail?PublicationID=P20170316017", "https://www.airitibooks.com/Detail/Detail?PublicationID=P20170316017")</f>
        <v>https://www.airitibooks.com/Detail/Detail?PublicationID=P20170316017</v>
      </c>
      <c r="K2825" s="13" t="str">
        <f>HYPERLINK("https://ntsu.idm.oclc.org/login?url=https://www.airitibooks.com/Detail/Detail?PublicationID=P20170316017", "https://ntsu.idm.oclc.org/login?url=https://www.airitibooks.com/Detail/Detail?PublicationID=P20170316017")</f>
        <v>https://ntsu.idm.oclc.org/login?url=https://www.airitibooks.com/Detail/Detail?PublicationID=P20170316017</v>
      </c>
    </row>
    <row r="2826" spans="1:11" ht="51" x14ac:dyDescent="0.4">
      <c r="A2826" s="10" t="s">
        <v>6353</v>
      </c>
      <c r="B2826" s="10" t="s">
        <v>6354</v>
      </c>
      <c r="C2826" s="10" t="s">
        <v>428</v>
      </c>
      <c r="D2826" s="10" t="s">
        <v>6355</v>
      </c>
      <c r="E2826" s="10" t="s">
        <v>4129</v>
      </c>
      <c r="F2826" s="10" t="s">
        <v>1259</v>
      </c>
      <c r="G2826" s="10" t="s">
        <v>209</v>
      </c>
      <c r="H2826" s="7" t="s">
        <v>24</v>
      </c>
      <c r="I2826" s="7" t="s">
        <v>25</v>
      </c>
      <c r="J2826" s="13" t="str">
        <f>HYPERLINK("https://www.airitibooks.com/Detail/Detail?PublicationID=P20170328073", "https://www.airitibooks.com/Detail/Detail?PublicationID=P20170328073")</f>
        <v>https://www.airitibooks.com/Detail/Detail?PublicationID=P20170328073</v>
      </c>
      <c r="K2826" s="13" t="str">
        <f>HYPERLINK("https://ntsu.idm.oclc.org/login?url=https://www.airitibooks.com/Detail/Detail?PublicationID=P20170328073", "https://ntsu.idm.oclc.org/login?url=https://www.airitibooks.com/Detail/Detail?PublicationID=P20170328073")</f>
        <v>https://ntsu.idm.oclc.org/login?url=https://www.airitibooks.com/Detail/Detail?PublicationID=P20170328073</v>
      </c>
    </row>
    <row r="2827" spans="1:11" ht="51" x14ac:dyDescent="0.4">
      <c r="A2827" s="10" t="s">
        <v>7829</v>
      </c>
      <c r="B2827" s="10" t="s">
        <v>7830</v>
      </c>
      <c r="C2827" s="10" t="s">
        <v>7822</v>
      </c>
      <c r="D2827" s="10" t="s">
        <v>7831</v>
      </c>
      <c r="E2827" s="10" t="s">
        <v>4129</v>
      </c>
      <c r="F2827" s="10" t="s">
        <v>7828</v>
      </c>
      <c r="G2827" s="10" t="s">
        <v>209</v>
      </c>
      <c r="H2827" s="7" t="s">
        <v>24</v>
      </c>
      <c r="I2827" s="7" t="s">
        <v>25</v>
      </c>
      <c r="J2827" s="13" t="str">
        <f>HYPERLINK("https://www.airitibooks.com/Detail/Detail?PublicationID=P20171127190", "https://www.airitibooks.com/Detail/Detail?PublicationID=P20171127190")</f>
        <v>https://www.airitibooks.com/Detail/Detail?PublicationID=P20171127190</v>
      </c>
      <c r="K2827" s="13" t="str">
        <f>HYPERLINK("https://ntsu.idm.oclc.org/login?url=https://www.airitibooks.com/Detail/Detail?PublicationID=P20171127190", "https://ntsu.idm.oclc.org/login?url=https://www.airitibooks.com/Detail/Detail?PublicationID=P20171127190")</f>
        <v>https://ntsu.idm.oclc.org/login?url=https://www.airitibooks.com/Detail/Detail?PublicationID=P20171127190</v>
      </c>
    </row>
    <row r="2828" spans="1:11" ht="68" x14ac:dyDescent="0.4">
      <c r="A2828" s="10" t="s">
        <v>4536</v>
      </c>
      <c r="B2828" s="10" t="s">
        <v>4537</v>
      </c>
      <c r="C2828" s="10" t="s">
        <v>212</v>
      </c>
      <c r="D2828" s="10" t="s">
        <v>4538</v>
      </c>
      <c r="E2828" s="10" t="s">
        <v>4129</v>
      </c>
      <c r="F2828" s="10" t="s">
        <v>294</v>
      </c>
      <c r="G2828" s="10" t="s">
        <v>76</v>
      </c>
      <c r="H2828" s="7" t="s">
        <v>24</v>
      </c>
      <c r="I2828" s="7" t="s">
        <v>25</v>
      </c>
      <c r="J2828" s="13" t="str">
        <f>HYPERLINK("https://www.airitibooks.com/Detail/Detail?PublicationID=P20160421148", "https://www.airitibooks.com/Detail/Detail?PublicationID=P20160421148")</f>
        <v>https://www.airitibooks.com/Detail/Detail?PublicationID=P20160421148</v>
      </c>
      <c r="K2828" s="13" t="str">
        <f>HYPERLINK("https://ntsu.idm.oclc.org/login?url=https://www.airitibooks.com/Detail/Detail?PublicationID=P20160421148", "https://ntsu.idm.oclc.org/login?url=https://www.airitibooks.com/Detail/Detail?PublicationID=P20160421148")</f>
        <v>https://ntsu.idm.oclc.org/login?url=https://www.airitibooks.com/Detail/Detail?PublicationID=P20160421148</v>
      </c>
    </row>
    <row r="2829" spans="1:11" ht="51" x14ac:dyDescent="0.4">
      <c r="A2829" s="10" t="s">
        <v>4559</v>
      </c>
      <c r="B2829" s="10" t="s">
        <v>4560</v>
      </c>
      <c r="C2829" s="10" t="s">
        <v>938</v>
      </c>
      <c r="D2829" s="10" t="s">
        <v>2487</v>
      </c>
      <c r="E2829" s="10" t="s">
        <v>4129</v>
      </c>
      <c r="F2829" s="10" t="s">
        <v>2871</v>
      </c>
      <c r="G2829" s="10" t="s">
        <v>76</v>
      </c>
      <c r="H2829" s="7" t="s">
        <v>24</v>
      </c>
      <c r="I2829" s="7" t="s">
        <v>25</v>
      </c>
      <c r="J2829" s="13" t="str">
        <f>HYPERLINK("https://www.airitibooks.com/Detail/Detail?PublicationID=P20160422039", "https://www.airitibooks.com/Detail/Detail?PublicationID=P20160422039")</f>
        <v>https://www.airitibooks.com/Detail/Detail?PublicationID=P20160422039</v>
      </c>
      <c r="K2829" s="13" t="str">
        <f>HYPERLINK("https://ntsu.idm.oclc.org/login?url=https://www.airitibooks.com/Detail/Detail?PublicationID=P20160422039", "https://ntsu.idm.oclc.org/login?url=https://www.airitibooks.com/Detail/Detail?PublicationID=P20160422039")</f>
        <v>https://ntsu.idm.oclc.org/login?url=https://www.airitibooks.com/Detail/Detail?PublicationID=P20160422039</v>
      </c>
    </row>
    <row r="2830" spans="1:11" ht="51" x14ac:dyDescent="0.4">
      <c r="A2830" s="10" t="s">
        <v>4592</v>
      </c>
      <c r="B2830" s="10" t="s">
        <v>4593</v>
      </c>
      <c r="C2830" s="10" t="s">
        <v>3359</v>
      </c>
      <c r="D2830" s="10" t="s">
        <v>4594</v>
      </c>
      <c r="E2830" s="10" t="s">
        <v>4129</v>
      </c>
      <c r="F2830" s="10" t="s">
        <v>294</v>
      </c>
      <c r="G2830" s="10" t="s">
        <v>76</v>
      </c>
      <c r="H2830" s="7" t="s">
        <v>24</v>
      </c>
      <c r="I2830" s="7" t="s">
        <v>25</v>
      </c>
      <c r="J2830" s="13" t="str">
        <f>HYPERLINK("https://www.airitibooks.com/Detail/Detail?PublicationID=P20160525001", "https://www.airitibooks.com/Detail/Detail?PublicationID=P20160525001")</f>
        <v>https://www.airitibooks.com/Detail/Detail?PublicationID=P20160525001</v>
      </c>
      <c r="K2830" s="13" t="str">
        <f>HYPERLINK("https://ntsu.idm.oclc.org/login?url=https://www.airitibooks.com/Detail/Detail?PublicationID=P20160525001", "https://ntsu.idm.oclc.org/login?url=https://www.airitibooks.com/Detail/Detail?PublicationID=P20160525001")</f>
        <v>https://ntsu.idm.oclc.org/login?url=https://www.airitibooks.com/Detail/Detail?PublicationID=P20160525001</v>
      </c>
    </row>
    <row r="2831" spans="1:11" ht="68" x14ac:dyDescent="0.4">
      <c r="A2831" s="10" t="s">
        <v>4618</v>
      </c>
      <c r="B2831" s="10" t="s">
        <v>4619</v>
      </c>
      <c r="C2831" s="10" t="s">
        <v>4616</v>
      </c>
      <c r="D2831" s="10" t="s">
        <v>4620</v>
      </c>
      <c r="E2831" s="10" t="s">
        <v>4129</v>
      </c>
      <c r="F2831" s="10" t="s">
        <v>4621</v>
      </c>
      <c r="G2831" s="10" t="s">
        <v>76</v>
      </c>
      <c r="H2831" s="7" t="s">
        <v>24</v>
      </c>
      <c r="I2831" s="7" t="s">
        <v>25</v>
      </c>
      <c r="J2831" s="13" t="str">
        <f>HYPERLINK("https://www.airitibooks.com/Detail/Detail?PublicationID=P20160531002", "https://www.airitibooks.com/Detail/Detail?PublicationID=P20160531002")</f>
        <v>https://www.airitibooks.com/Detail/Detail?PublicationID=P20160531002</v>
      </c>
      <c r="K2831" s="13" t="str">
        <f>HYPERLINK("https://ntsu.idm.oclc.org/login?url=https://www.airitibooks.com/Detail/Detail?PublicationID=P20160531002", "https://ntsu.idm.oclc.org/login?url=https://www.airitibooks.com/Detail/Detail?PublicationID=P20160531002")</f>
        <v>https://ntsu.idm.oclc.org/login?url=https://www.airitibooks.com/Detail/Detail?PublicationID=P20160531002</v>
      </c>
    </row>
    <row r="2832" spans="1:11" ht="102" x14ac:dyDescent="0.4">
      <c r="A2832" s="10" t="s">
        <v>4622</v>
      </c>
      <c r="B2832" s="10" t="s">
        <v>4623</v>
      </c>
      <c r="C2832" s="10" t="s">
        <v>4616</v>
      </c>
      <c r="D2832" s="10" t="s">
        <v>4624</v>
      </c>
      <c r="E2832" s="10" t="s">
        <v>4129</v>
      </c>
      <c r="F2832" s="10" t="s">
        <v>4625</v>
      </c>
      <c r="G2832" s="10" t="s">
        <v>76</v>
      </c>
      <c r="H2832" s="7" t="s">
        <v>1467</v>
      </c>
      <c r="I2832" s="7" t="s">
        <v>25</v>
      </c>
      <c r="J2832" s="13" t="str">
        <f>HYPERLINK("https://www.airitibooks.com/Detail/Detail?PublicationID=P20160531006", "https://www.airitibooks.com/Detail/Detail?PublicationID=P20160531006")</f>
        <v>https://www.airitibooks.com/Detail/Detail?PublicationID=P20160531006</v>
      </c>
      <c r="K2832" s="13" t="str">
        <f>HYPERLINK("https://ntsu.idm.oclc.org/login?url=https://www.airitibooks.com/Detail/Detail?PublicationID=P20160531006", "https://ntsu.idm.oclc.org/login?url=https://www.airitibooks.com/Detail/Detail?PublicationID=P20160531006")</f>
        <v>https://ntsu.idm.oclc.org/login?url=https://www.airitibooks.com/Detail/Detail?PublicationID=P20160531006</v>
      </c>
    </row>
    <row r="2833" spans="1:11" ht="51" x14ac:dyDescent="0.4">
      <c r="A2833" s="10" t="s">
        <v>4667</v>
      </c>
      <c r="B2833" s="10" t="s">
        <v>4668</v>
      </c>
      <c r="C2833" s="10" t="s">
        <v>1484</v>
      </c>
      <c r="D2833" s="10" t="s">
        <v>4669</v>
      </c>
      <c r="E2833" s="10" t="s">
        <v>4129</v>
      </c>
      <c r="F2833" s="10" t="s">
        <v>4670</v>
      </c>
      <c r="G2833" s="10" t="s">
        <v>76</v>
      </c>
      <c r="H2833" s="7" t="s">
        <v>24</v>
      </c>
      <c r="I2833" s="7" t="s">
        <v>25</v>
      </c>
      <c r="J2833" s="13" t="str">
        <f>HYPERLINK("https://www.airitibooks.com/Detail/Detail?PublicationID=P20160602067", "https://www.airitibooks.com/Detail/Detail?PublicationID=P20160602067")</f>
        <v>https://www.airitibooks.com/Detail/Detail?PublicationID=P20160602067</v>
      </c>
      <c r="K2833" s="13" t="str">
        <f>HYPERLINK("https://ntsu.idm.oclc.org/login?url=https://www.airitibooks.com/Detail/Detail?PublicationID=P20160602067", "https://ntsu.idm.oclc.org/login?url=https://www.airitibooks.com/Detail/Detail?PublicationID=P20160602067")</f>
        <v>https://ntsu.idm.oclc.org/login?url=https://www.airitibooks.com/Detail/Detail?PublicationID=P20160602067</v>
      </c>
    </row>
    <row r="2834" spans="1:11" ht="51" x14ac:dyDescent="0.4">
      <c r="A2834" s="10" t="s">
        <v>4742</v>
      </c>
      <c r="B2834" s="10" t="s">
        <v>4743</v>
      </c>
      <c r="C2834" s="10" t="s">
        <v>108</v>
      </c>
      <c r="D2834" s="10" t="s">
        <v>4744</v>
      </c>
      <c r="E2834" s="10" t="s">
        <v>4129</v>
      </c>
      <c r="F2834" s="10" t="s">
        <v>4745</v>
      </c>
      <c r="G2834" s="10" t="s">
        <v>76</v>
      </c>
      <c r="H2834" s="7" t="s">
        <v>24</v>
      </c>
      <c r="I2834" s="7" t="s">
        <v>25</v>
      </c>
      <c r="J2834" s="13" t="str">
        <f>HYPERLINK("https://www.airitibooks.com/Detail/Detail?PublicationID=P20160613044", "https://www.airitibooks.com/Detail/Detail?PublicationID=P20160613044")</f>
        <v>https://www.airitibooks.com/Detail/Detail?PublicationID=P20160613044</v>
      </c>
      <c r="K2834" s="13" t="str">
        <f>HYPERLINK("https://ntsu.idm.oclc.org/login?url=https://www.airitibooks.com/Detail/Detail?PublicationID=P20160613044", "https://ntsu.idm.oclc.org/login?url=https://www.airitibooks.com/Detail/Detail?PublicationID=P20160613044")</f>
        <v>https://ntsu.idm.oclc.org/login?url=https://www.airitibooks.com/Detail/Detail?PublicationID=P20160613044</v>
      </c>
    </row>
    <row r="2835" spans="1:11" ht="68" x14ac:dyDescent="0.4">
      <c r="A2835" s="10" t="s">
        <v>5031</v>
      </c>
      <c r="B2835" s="10" t="s">
        <v>5032</v>
      </c>
      <c r="C2835" s="10" t="s">
        <v>4616</v>
      </c>
      <c r="D2835" s="10" t="s">
        <v>5033</v>
      </c>
      <c r="E2835" s="10" t="s">
        <v>4129</v>
      </c>
      <c r="F2835" s="10" t="s">
        <v>1078</v>
      </c>
      <c r="G2835" s="10" t="s">
        <v>76</v>
      </c>
      <c r="H2835" s="7" t="s">
        <v>1467</v>
      </c>
      <c r="I2835" s="7" t="s">
        <v>25</v>
      </c>
      <c r="J2835" s="13" t="str">
        <f>HYPERLINK("https://www.airitibooks.com/Detail/Detail?PublicationID=P20160801004", "https://www.airitibooks.com/Detail/Detail?PublicationID=P20160801004")</f>
        <v>https://www.airitibooks.com/Detail/Detail?PublicationID=P20160801004</v>
      </c>
      <c r="K2835" s="13" t="str">
        <f>HYPERLINK("https://ntsu.idm.oclc.org/login?url=https://www.airitibooks.com/Detail/Detail?PublicationID=P20160801004", "https://ntsu.idm.oclc.org/login?url=https://www.airitibooks.com/Detail/Detail?PublicationID=P20160801004")</f>
        <v>https://ntsu.idm.oclc.org/login?url=https://www.airitibooks.com/Detail/Detail?PublicationID=P20160801004</v>
      </c>
    </row>
    <row r="2836" spans="1:11" ht="51" x14ac:dyDescent="0.4">
      <c r="A2836" s="10" t="s">
        <v>5155</v>
      </c>
      <c r="B2836" s="10" t="s">
        <v>5156</v>
      </c>
      <c r="C2836" s="10" t="s">
        <v>212</v>
      </c>
      <c r="D2836" s="10" t="s">
        <v>5157</v>
      </c>
      <c r="E2836" s="10" t="s">
        <v>4129</v>
      </c>
      <c r="F2836" s="10" t="s">
        <v>294</v>
      </c>
      <c r="G2836" s="10" t="s">
        <v>76</v>
      </c>
      <c r="H2836" s="7" t="s">
        <v>24</v>
      </c>
      <c r="I2836" s="7" t="s">
        <v>25</v>
      </c>
      <c r="J2836" s="13" t="str">
        <f>HYPERLINK("https://www.airitibooks.com/Detail/Detail?PublicationID=P20160806258", "https://www.airitibooks.com/Detail/Detail?PublicationID=P20160806258")</f>
        <v>https://www.airitibooks.com/Detail/Detail?PublicationID=P20160806258</v>
      </c>
      <c r="K2836" s="13" t="str">
        <f>HYPERLINK("https://ntsu.idm.oclc.org/login?url=https://www.airitibooks.com/Detail/Detail?PublicationID=P20160806258", "https://ntsu.idm.oclc.org/login?url=https://www.airitibooks.com/Detail/Detail?PublicationID=P20160806258")</f>
        <v>https://ntsu.idm.oclc.org/login?url=https://www.airitibooks.com/Detail/Detail?PublicationID=P20160806258</v>
      </c>
    </row>
    <row r="2837" spans="1:11" ht="51" x14ac:dyDescent="0.4">
      <c r="A2837" s="10" t="s">
        <v>5184</v>
      </c>
      <c r="B2837" s="10" t="s">
        <v>5185</v>
      </c>
      <c r="C2837" s="10" t="s">
        <v>4616</v>
      </c>
      <c r="D2837" s="10" t="s">
        <v>5186</v>
      </c>
      <c r="E2837" s="10" t="s">
        <v>4129</v>
      </c>
      <c r="F2837" s="10" t="s">
        <v>5187</v>
      </c>
      <c r="G2837" s="10" t="s">
        <v>76</v>
      </c>
      <c r="H2837" s="7" t="s">
        <v>24</v>
      </c>
      <c r="I2837" s="7" t="s">
        <v>25</v>
      </c>
      <c r="J2837" s="13" t="str">
        <f>HYPERLINK("https://www.airitibooks.com/Detail/Detail?PublicationID=P20160824001", "https://www.airitibooks.com/Detail/Detail?PublicationID=P20160824001")</f>
        <v>https://www.airitibooks.com/Detail/Detail?PublicationID=P20160824001</v>
      </c>
      <c r="K2837" s="13" t="str">
        <f>HYPERLINK("https://ntsu.idm.oclc.org/login?url=https://www.airitibooks.com/Detail/Detail?PublicationID=P20160824001", "https://ntsu.idm.oclc.org/login?url=https://www.airitibooks.com/Detail/Detail?PublicationID=P20160824001")</f>
        <v>https://ntsu.idm.oclc.org/login?url=https://www.airitibooks.com/Detail/Detail?PublicationID=P20160824001</v>
      </c>
    </row>
    <row r="2838" spans="1:11" ht="51" x14ac:dyDescent="0.4">
      <c r="A2838" s="10" t="s">
        <v>5188</v>
      </c>
      <c r="B2838" s="10" t="s">
        <v>5189</v>
      </c>
      <c r="C2838" s="10" t="s">
        <v>4616</v>
      </c>
      <c r="D2838" s="10" t="s">
        <v>5190</v>
      </c>
      <c r="E2838" s="10" t="s">
        <v>4129</v>
      </c>
      <c r="F2838" s="10" t="s">
        <v>5092</v>
      </c>
      <c r="G2838" s="10" t="s">
        <v>76</v>
      </c>
      <c r="H2838" s="7" t="s">
        <v>24</v>
      </c>
      <c r="I2838" s="7" t="s">
        <v>25</v>
      </c>
      <c r="J2838" s="13" t="str">
        <f>HYPERLINK("https://www.airitibooks.com/Detail/Detail?PublicationID=P20160824002", "https://www.airitibooks.com/Detail/Detail?PublicationID=P20160824002")</f>
        <v>https://www.airitibooks.com/Detail/Detail?PublicationID=P20160824002</v>
      </c>
      <c r="K2838" s="13" t="str">
        <f>HYPERLINK("https://ntsu.idm.oclc.org/login?url=https://www.airitibooks.com/Detail/Detail?PublicationID=P20160824002", "https://ntsu.idm.oclc.org/login?url=https://www.airitibooks.com/Detail/Detail?PublicationID=P20160824002")</f>
        <v>https://ntsu.idm.oclc.org/login?url=https://www.airitibooks.com/Detail/Detail?PublicationID=P20160824002</v>
      </c>
    </row>
    <row r="2839" spans="1:11" ht="51" x14ac:dyDescent="0.4">
      <c r="A2839" s="10" t="s">
        <v>5224</v>
      </c>
      <c r="B2839" s="10" t="s">
        <v>5225</v>
      </c>
      <c r="C2839" s="10" t="s">
        <v>613</v>
      </c>
      <c r="D2839" s="10" t="s">
        <v>5226</v>
      </c>
      <c r="E2839" s="10" t="s">
        <v>4129</v>
      </c>
      <c r="F2839" s="10" t="s">
        <v>1092</v>
      </c>
      <c r="G2839" s="10" t="s">
        <v>76</v>
      </c>
      <c r="H2839" s="7" t="s">
        <v>24</v>
      </c>
      <c r="I2839" s="7" t="s">
        <v>25</v>
      </c>
      <c r="J2839" s="13" t="str">
        <f>HYPERLINK("https://www.airitibooks.com/Detail/Detail?PublicationID=P20160829107", "https://www.airitibooks.com/Detail/Detail?PublicationID=P20160829107")</f>
        <v>https://www.airitibooks.com/Detail/Detail?PublicationID=P20160829107</v>
      </c>
      <c r="K2839" s="13" t="str">
        <f>HYPERLINK("https://ntsu.idm.oclc.org/login?url=https://www.airitibooks.com/Detail/Detail?PublicationID=P20160829107", "https://ntsu.idm.oclc.org/login?url=https://www.airitibooks.com/Detail/Detail?PublicationID=P20160829107")</f>
        <v>https://ntsu.idm.oclc.org/login?url=https://www.airitibooks.com/Detail/Detail?PublicationID=P20160829107</v>
      </c>
    </row>
    <row r="2840" spans="1:11" ht="51" x14ac:dyDescent="0.4">
      <c r="A2840" s="10" t="s">
        <v>5245</v>
      </c>
      <c r="B2840" s="10" t="s">
        <v>5246</v>
      </c>
      <c r="C2840" s="10" t="s">
        <v>938</v>
      </c>
      <c r="D2840" s="10" t="s">
        <v>5247</v>
      </c>
      <c r="E2840" s="10" t="s">
        <v>4129</v>
      </c>
      <c r="F2840" s="10" t="s">
        <v>5248</v>
      </c>
      <c r="G2840" s="10" t="s">
        <v>76</v>
      </c>
      <c r="H2840" s="7" t="s">
        <v>24</v>
      </c>
      <c r="I2840" s="7" t="s">
        <v>25</v>
      </c>
      <c r="J2840" s="13" t="str">
        <f>HYPERLINK("https://www.airitibooks.com/Detail/Detail?PublicationID=P20160829132", "https://www.airitibooks.com/Detail/Detail?PublicationID=P20160829132")</f>
        <v>https://www.airitibooks.com/Detail/Detail?PublicationID=P20160829132</v>
      </c>
      <c r="K2840" s="13" t="str">
        <f>HYPERLINK("https://ntsu.idm.oclc.org/login?url=https://www.airitibooks.com/Detail/Detail?PublicationID=P20160829132", "https://ntsu.idm.oclc.org/login?url=https://www.airitibooks.com/Detail/Detail?PublicationID=P20160829132")</f>
        <v>https://ntsu.idm.oclc.org/login?url=https://www.airitibooks.com/Detail/Detail?PublicationID=P20160829132</v>
      </c>
    </row>
    <row r="2841" spans="1:11" ht="51" x14ac:dyDescent="0.4">
      <c r="A2841" s="10" t="s">
        <v>5252</v>
      </c>
      <c r="B2841" s="10" t="s">
        <v>5253</v>
      </c>
      <c r="C2841" s="10" t="s">
        <v>938</v>
      </c>
      <c r="D2841" s="10" t="s">
        <v>5254</v>
      </c>
      <c r="E2841" s="10" t="s">
        <v>4129</v>
      </c>
      <c r="F2841" s="10" t="s">
        <v>5255</v>
      </c>
      <c r="G2841" s="10" t="s">
        <v>76</v>
      </c>
      <c r="H2841" s="7" t="s">
        <v>24</v>
      </c>
      <c r="I2841" s="7" t="s">
        <v>25</v>
      </c>
      <c r="J2841" s="13" t="str">
        <f>HYPERLINK("https://www.airitibooks.com/Detail/Detail?PublicationID=P20160829137", "https://www.airitibooks.com/Detail/Detail?PublicationID=P20160829137")</f>
        <v>https://www.airitibooks.com/Detail/Detail?PublicationID=P20160829137</v>
      </c>
      <c r="K2841" s="13" t="str">
        <f>HYPERLINK("https://ntsu.idm.oclc.org/login?url=https://www.airitibooks.com/Detail/Detail?PublicationID=P20160829137", "https://ntsu.idm.oclc.org/login?url=https://www.airitibooks.com/Detail/Detail?PublicationID=P20160829137")</f>
        <v>https://ntsu.idm.oclc.org/login?url=https://www.airitibooks.com/Detail/Detail?PublicationID=P20160829137</v>
      </c>
    </row>
    <row r="2842" spans="1:11" ht="51" x14ac:dyDescent="0.4">
      <c r="A2842" s="10" t="s">
        <v>5256</v>
      </c>
      <c r="B2842" s="10" t="s">
        <v>5257</v>
      </c>
      <c r="C2842" s="10" t="s">
        <v>938</v>
      </c>
      <c r="D2842" s="10" t="s">
        <v>5254</v>
      </c>
      <c r="E2842" s="10" t="s">
        <v>4129</v>
      </c>
      <c r="F2842" s="10" t="s">
        <v>5255</v>
      </c>
      <c r="G2842" s="10" t="s">
        <v>76</v>
      </c>
      <c r="H2842" s="7" t="s">
        <v>24</v>
      </c>
      <c r="I2842" s="7" t="s">
        <v>25</v>
      </c>
      <c r="J2842" s="13" t="str">
        <f>HYPERLINK("https://www.airitibooks.com/Detail/Detail?PublicationID=P20160829138", "https://www.airitibooks.com/Detail/Detail?PublicationID=P20160829138")</f>
        <v>https://www.airitibooks.com/Detail/Detail?PublicationID=P20160829138</v>
      </c>
      <c r="K2842" s="13" t="str">
        <f>HYPERLINK("https://ntsu.idm.oclc.org/login?url=https://www.airitibooks.com/Detail/Detail?PublicationID=P20160829138", "https://ntsu.idm.oclc.org/login?url=https://www.airitibooks.com/Detail/Detail?PublicationID=P20160829138")</f>
        <v>https://ntsu.idm.oclc.org/login?url=https://www.airitibooks.com/Detail/Detail?PublicationID=P20160829138</v>
      </c>
    </row>
    <row r="2843" spans="1:11" ht="51" x14ac:dyDescent="0.4">
      <c r="A2843" s="10" t="s">
        <v>5264</v>
      </c>
      <c r="B2843" s="10" t="s">
        <v>5265</v>
      </c>
      <c r="C2843" s="10" t="s">
        <v>938</v>
      </c>
      <c r="D2843" s="10" t="s">
        <v>5266</v>
      </c>
      <c r="E2843" s="10" t="s">
        <v>4129</v>
      </c>
      <c r="F2843" s="10" t="s">
        <v>5255</v>
      </c>
      <c r="G2843" s="10" t="s">
        <v>76</v>
      </c>
      <c r="H2843" s="7" t="s">
        <v>24</v>
      </c>
      <c r="I2843" s="7" t="s">
        <v>25</v>
      </c>
      <c r="J2843" s="13" t="str">
        <f>HYPERLINK("https://www.airitibooks.com/Detail/Detail?PublicationID=P20160829141", "https://www.airitibooks.com/Detail/Detail?PublicationID=P20160829141")</f>
        <v>https://www.airitibooks.com/Detail/Detail?PublicationID=P20160829141</v>
      </c>
      <c r="K2843" s="13" t="str">
        <f>HYPERLINK("https://ntsu.idm.oclc.org/login?url=https://www.airitibooks.com/Detail/Detail?PublicationID=P20160829141", "https://ntsu.idm.oclc.org/login?url=https://www.airitibooks.com/Detail/Detail?PublicationID=P20160829141")</f>
        <v>https://ntsu.idm.oclc.org/login?url=https://www.airitibooks.com/Detail/Detail?PublicationID=P20160829141</v>
      </c>
    </row>
    <row r="2844" spans="1:11" ht="51" x14ac:dyDescent="0.4">
      <c r="A2844" s="10" t="s">
        <v>5274</v>
      </c>
      <c r="B2844" s="10" t="s">
        <v>5275</v>
      </c>
      <c r="C2844" s="10" t="s">
        <v>938</v>
      </c>
      <c r="D2844" s="10" t="s">
        <v>5276</v>
      </c>
      <c r="E2844" s="10" t="s">
        <v>4129</v>
      </c>
      <c r="F2844" s="10" t="s">
        <v>5277</v>
      </c>
      <c r="G2844" s="10" t="s">
        <v>76</v>
      </c>
      <c r="H2844" s="7" t="s">
        <v>24</v>
      </c>
      <c r="I2844" s="7" t="s">
        <v>25</v>
      </c>
      <c r="J2844" s="13" t="str">
        <f>HYPERLINK("https://www.airitibooks.com/Detail/Detail?PublicationID=P20160829147", "https://www.airitibooks.com/Detail/Detail?PublicationID=P20160829147")</f>
        <v>https://www.airitibooks.com/Detail/Detail?PublicationID=P20160829147</v>
      </c>
      <c r="K2844" s="13" t="str">
        <f>HYPERLINK("https://ntsu.idm.oclc.org/login?url=https://www.airitibooks.com/Detail/Detail?PublicationID=P20160829147", "https://ntsu.idm.oclc.org/login?url=https://www.airitibooks.com/Detail/Detail?PublicationID=P20160829147")</f>
        <v>https://ntsu.idm.oclc.org/login?url=https://www.airitibooks.com/Detail/Detail?PublicationID=P20160829147</v>
      </c>
    </row>
    <row r="2845" spans="1:11" ht="51" x14ac:dyDescent="0.4">
      <c r="A2845" s="10" t="s">
        <v>5280</v>
      </c>
      <c r="B2845" s="10" t="s">
        <v>5281</v>
      </c>
      <c r="C2845" s="10" t="s">
        <v>938</v>
      </c>
      <c r="D2845" s="10" t="s">
        <v>5282</v>
      </c>
      <c r="E2845" s="10" t="s">
        <v>4129</v>
      </c>
      <c r="F2845" s="10" t="s">
        <v>2888</v>
      </c>
      <c r="G2845" s="10" t="s">
        <v>76</v>
      </c>
      <c r="H2845" s="7" t="s">
        <v>24</v>
      </c>
      <c r="I2845" s="7" t="s">
        <v>25</v>
      </c>
      <c r="J2845" s="13" t="str">
        <f>HYPERLINK("https://www.airitibooks.com/Detail/Detail?PublicationID=P20160829149", "https://www.airitibooks.com/Detail/Detail?PublicationID=P20160829149")</f>
        <v>https://www.airitibooks.com/Detail/Detail?PublicationID=P20160829149</v>
      </c>
      <c r="K2845" s="13" t="str">
        <f>HYPERLINK("https://ntsu.idm.oclc.org/login?url=https://www.airitibooks.com/Detail/Detail?PublicationID=P20160829149", "https://ntsu.idm.oclc.org/login?url=https://www.airitibooks.com/Detail/Detail?PublicationID=P20160829149")</f>
        <v>https://ntsu.idm.oclc.org/login?url=https://www.airitibooks.com/Detail/Detail?PublicationID=P20160829149</v>
      </c>
    </row>
    <row r="2846" spans="1:11" ht="51" x14ac:dyDescent="0.4">
      <c r="A2846" s="10" t="s">
        <v>5297</v>
      </c>
      <c r="B2846" s="10" t="s">
        <v>5298</v>
      </c>
      <c r="C2846" s="10" t="s">
        <v>938</v>
      </c>
      <c r="D2846" s="10" t="s">
        <v>4563</v>
      </c>
      <c r="E2846" s="10" t="s">
        <v>4129</v>
      </c>
      <c r="F2846" s="10" t="s">
        <v>5299</v>
      </c>
      <c r="G2846" s="10" t="s">
        <v>76</v>
      </c>
      <c r="H2846" s="7" t="s">
        <v>24</v>
      </c>
      <c r="I2846" s="7" t="s">
        <v>25</v>
      </c>
      <c r="J2846" s="13" t="str">
        <f>HYPERLINK("https://www.airitibooks.com/Detail/Detail?PublicationID=P20160829162", "https://www.airitibooks.com/Detail/Detail?PublicationID=P20160829162")</f>
        <v>https://www.airitibooks.com/Detail/Detail?PublicationID=P20160829162</v>
      </c>
      <c r="K2846" s="13" t="str">
        <f>HYPERLINK("https://ntsu.idm.oclc.org/login?url=https://www.airitibooks.com/Detail/Detail?PublicationID=P20160829162", "https://ntsu.idm.oclc.org/login?url=https://www.airitibooks.com/Detail/Detail?PublicationID=P20160829162")</f>
        <v>https://ntsu.idm.oclc.org/login?url=https://www.airitibooks.com/Detail/Detail?PublicationID=P20160829162</v>
      </c>
    </row>
    <row r="2847" spans="1:11" ht="51" x14ac:dyDescent="0.4">
      <c r="A2847" s="10" t="s">
        <v>5368</v>
      </c>
      <c r="B2847" s="10" t="s">
        <v>5369</v>
      </c>
      <c r="C2847" s="10" t="s">
        <v>938</v>
      </c>
      <c r="D2847" s="10" t="s">
        <v>5370</v>
      </c>
      <c r="E2847" s="10" t="s">
        <v>4129</v>
      </c>
      <c r="F2847" s="10" t="s">
        <v>5371</v>
      </c>
      <c r="G2847" s="10" t="s">
        <v>76</v>
      </c>
      <c r="H2847" s="7" t="s">
        <v>24</v>
      </c>
      <c r="I2847" s="7" t="s">
        <v>25</v>
      </c>
      <c r="J2847" s="13" t="str">
        <f>HYPERLINK("https://www.airitibooks.com/Detail/Detail?PublicationID=P20160907115", "https://www.airitibooks.com/Detail/Detail?PublicationID=P20160907115")</f>
        <v>https://www.airitibooks.com/Detail/Detail?PublicationID=P20160907115</v>
      </c>
      <c r="K2847" s="13" t="str">
        <f>HYPERLINK("https://ntsu.idm.oclc.org/login?url=https://www.airitibooks.com/Detail/Detail?PublicationID=P20160907115", "https://ntsu.idm.oclc.org/login?url=https://www.airitibooks.com/Detail/Detail?PublicationID=P20160907115")</f>
        <v>https://ntsu.idm.oclc.org/login?url=https://www.airitibooks.com/Detail/Detail?PublicationID=P20160907115</v>
      </c>
    </row>
    <row r="2848" spans="1:11" ht="51" x14ac:dyDescent="0.4">
      <c r="A2848" s="10" t="s">
        <v>5436</v>
      </c>
      <c r="B2848" s="10" t="s">
        <v>5437</v>
      </c>
      <c r="C2848" s="10" t="s">
        <v>1262</v>
      </c>
      <c r="D2848" s="10" t="s">
        <v>5438</v>
      </c>
      <c r="E2848" s="10" t="s">
        <v>4129</v>
      </c>
      <c r="F2848" s="10" t="s">
        <v>5439</v>
      </c>
      <c r="G2848" s="10" t="s">
        <v>76</v>
      </c>
      <c r="H2848" s="7" t="s">
        <v>24</v>
      </c>
      <c r="I2848" s="7" t="s">
        <v>25</v>
      </c>
      <c r="J2848" s="13" t="str">
        <f>HYPERLINK("https://www.airitibooks.com/Detail/Detail?PublicationID=P20160913002", "https://www.airitibooks.com/Detail/Detail?PublicationID=P20160913002")</f>
        <v>https://www.airitibooks.com/Detail/Detail?PublicationID=P20160913002</v>
      </c>
      <c r="K2848" s="13" t="str">
        <f>HYPERLINK("https://ntsu.idm.oclc.org/login?url=https://www.airitibooks.com/Detail/Detail?PublicationID=P20160913002", "https://ntsu.idm.oclc.org/login?url=https://www.airitibooks.com/Detail/Detail?PublicationID=P20160913002")</f>
        <v>https://ntsu.idm.oclc.org/login?url=https://www.airitibooks.com/Detail/Detail?PublicationID=P20160913002</v>
      </c>
    </row>
    <row r="2849" spans="1:11" ht="51" x14ac:dyDescent="0.4">
      <c r="A2849" s="10" t="s">
        <v>5440</v>
      </c>
      <c r="B2849" s="10" t="s">
        <v>5441</v>
      </c>
      <c r="C2849" s="10" t="s">
        <v>938</v>
      </c>
      <c r="D2849" s="10" t="s">
        <v>5442</v>
      </c>
      <c r="E2849" s="10" t="s">
        <v>4129</v>
      </c>
      <c r="F2849" s="10" t="s">
        <v>5443</v>
      </c>
      <c r="G2849" s="10" t="s">
        <v>76</v>
      </c>
      <c r="H2849" s="7" t="s">
        <v>24</v>
      </c>
      <c r="I2849" s="7" t="s">
        <v>25</v>
      </c>
      <c r="J2849" s="13" t="str">
        <f>HYPERLINK("https://www.airitibooks.com/Detail/Detail?PublicationID=P20160913005", "https://www.airitibooks.com/Detail/Detail?PublicationID=P20160913005")</f>
        <v>https://www.airitibooks.com/Detail/Detail?PublicationID=P20160913005</v>
      </c>
      <c r="K2849" s="13" t="str">
        <f>HYPERLINK("https://ntsu.idm.oclc.org/login?url=https://www.airitibooks.com/Detail/Detail?PublicationID=P20160913005", "https://ntsu.idm.oclc.org/login?url=https://www.airitibooks.com/Detail/Detail?PublicationID=P20160913005")</f>
        <v>https://ntsu.idm.oclc.org/login?url=https://www.airitibooks.com/Detail/Detail?PublicationID=P20160913005</v>
      </c>
    </row>
    <row r="2850" spans="1:11" ht="51" x14ac:dyDescent="0.4">
      <c r="A2850" s="10" t="s">
        <v>5472</v>
      </c>
      <c r="B2850" s="10" t="s">
        <v>5473</v>
      </c>
      <c r="C2850" s="10" t="s">
        <v>938</v>
      </c>
      <c r="D2850" s="10" t="s">
        <v>5474</v>
      </c>
      <c r="E2850" s="10" t="s">
        <v>4129</v>
      </c>
      <c r="F2850" s="10" t="s">
        <v>4026</v>
      </c>
      <c r="G2850" s="10" t="s">
        <v>76</v>
      </c>
      <c r="H2850" s="7" t="s">
        <v>24</v>
      </c>
      <c r="I2850" s="7" t="s">
        <v>25</v>
      </c>
      <c r="J2850" s="13" t="str">
        <f>HYPERLINK("https://www.airitibooks.com/Detail/Detail?PublicationID=P20160913034", "https://www.airitibooks.com/Detail/Detail?PublicationID=P20160913034")</f>
        <v>https://www.airitibooks.com/Detail/Detail?PublicationID=P20160913034</v>
      </c>
      <c r="K2850" s="13" t="str">
        <f>HYPERLINK("https://ntsu.idm.oclc.org/login?url=https://www.airitibooks.com/Detail/Detail?PublicationID=P20160913034", "https://ntsu.idm.oclc.org/login?url=https://www.airitibooks.com/Detail/Detail?PublicationID=P20160913034")</f>
        <v>https://ntsu.idm.oclc.org/login?url=https://www.airitibooks.com/Detail/Detail?PublicationID=P20160913034</v>
      </c>
    </row>
    <row r="2851" spans="1:11" ht="51" x14ac:dyDescent="0.4">
      <c r="A2851" s="10" t="s">
        <v>5475</v>
      </c>
      <c r="B2851" s="10" t="s">
        <v>5476</v>
      </c>
      <c r="C2851" s="10" t="s">
        <v>938</v>
      </c>
      <c r="D2851" s="10" t="s">
        <v>5477</v>
      </c>
      <c r="E2851" s="10" t="s">
        <v>4129</v>
      </c>
      <c r="F2851" s="10" t="s">
        <v>5478</v>
      </c>
      <c r="G2851" s="10" t="s">
        <v>76</v>
      </c>
      <c r="H2851" s="7" t="s">
        <v>24</v>
      </c>
      <c r="I2851" s="7" t="s">
        <v>25</v>
      </c>
      <c r="J2851" s="13" t="str">
        <f>HYPERLINK("https://www.airitibooks.com/Detail/Detail?PublicationID=P20160913043", "https://www.airitibooks.com/Detail/Detail?PublicationID=P20160913043")</f>
        <v>https://www.airitibooks.com/Detail/Detail?PublicationID=P20160913043</v>
      </c>
      <c r="K2851" s="13" t="str">
        <f>HYPERLINK("https://ntsu.idm.oclc.org/login?url=https://www.airitibooks.com/Detail/Detail?PublicationID=P20160913043", "https://ntsu.idm.oclc.org/login?url=https://www.airitibooks.com/Detail/Detail?PublicationID=P20160913043")</f>
        <v>https://ntsu.idm.oclc.org/login?url=https://www.airitibooks.com/Detail/Detail?PublicationID=P20160913043</v>
      </c>
    </row>
    <row r="2852" spans="1:11" ht="51" x14ac:dyDescent="0.4">
      <c r="A2852" s="10" t="s">
        <v>5483</v>
      </c>
      <c r="B2852" s="10" t="s">
        <v>5484</v>
      </c>
      <c r="C2852" s="10" t="s">
        <v>938</v>
      </c>
      <c r="D2852" s="10" t="s">
        <v>5477</v>
      </c>
      <c r="E2852" s="10" t="s">
        <v>4129</v>
      </c>
      <c r="F2852" s="10" t="s">
        <v>5478</v>
      </c>
      <c r="G2852" s="10" t="s">
        <v>76</v>
      </c>
      <c r="H2852" s="7" t="s">
        <v>24</v>
      </c>
      <c r="I2852" s="7" t="s">
        <v>25</v>
      </c>
      <c r="J2852" s="13" t="str">
        <f>HYPERLINK("https://www.airitibooks.com/Detail/Detail?PublicationID=P20160913047", "https://www.airitibooks.com/Detail/Detail?PublicationID=P20160913047")</f>
        <v>https://www.airitibooks.com/Detail/Detail?PublicationID=P20160913047</v>
      </c>
      <c r="K2852" s="13" t="str">
        <f>HYPERLINK("https://ntsu.idm.oclc.org/login?url=https://www.airitibooks.com/Detail/Detail?PublicationID=P20160913047", "https://ntsu.idm.oclc.org/login?url=https://www.airitibooks.com/Detail/Detail?PublicationID=P20160913047")</f>
        <v>https://ntsu.idm.oclc.org/login?url=https://www.airitibooks.com/Detail/Detail?PublicationID=P20160913047</v>
      </c>
    </row>
    <row r="2853" spans="1:11" ht="51" x14ac:dyDescent="0.4">
      <c r="A2853" s="10" t="s">
        <v>5485</v>
      </c>
      <c r="B2853" s="10" t="s">
        <v>5486</v>
      </c>
      <c r="C2853" s="10" t="s">
        <v>938</v>
      </c>
      <c r="D2853" s="10" t="s">
        <v>975</v>
      </c>
      <c r="E2853" s="10" t="s">
        <v>4129</v>
      </c>
      <c r="F2853" s="10" t="s">
        <v>5487</v>
      </c>
      <c r="G2853" s="10" t="s">
        <v>76</v>
      </c>
      <c r="H2853" s="7" t="s">
        <v>24</v>
      </c>
      <c r="I2853" s="7" t="s">
        <v>25</v>
      </c>
      <c r="J2853" s="13" t="str">
        <f>HYPERLINK("https://www.airitibooks.com/Detail/Detail?PublicationID=P20160913052", "https://www.airitibooks.com/Detail/Detail?PublicationID=P20160913052")</f>
        <v>https://www.airitibooks.com/Detail/Detail?PublicationID=P20160913052</v>
      </c>
      <c r="K2853" s="13" t="str">
        <f>HYPERLINK("https://ntsu.idm.oclc.org/login?url=https://www.airitibooks.com/Detail/Detail?PublicationID=P20160913052", "https://ntsu.idm.oclc.org/login?url=https://www.airitibooks.com/Detail/Detail?PublicationID=P20160913052")</f>
        <v>https://ntsu.idm.oclc.org/login?url=https://www.airitibooks.com/Detail/Detail?PublicationID=P20160913052</v>
      </c>
    </row>
    <row r="2854" spans="1:11" ht="85" x14ac:dyDescent="0.4">
      <c r="A2854" s="10" t="s">
        <v>5510</v>
      </c>
      <c r="B2854" s="10" t="s">
        <v>5511</v>
      </c>
      <c r="C2854" s="10" t="s">
        <v>746</v>
      </c>
      <c r="D2854" s="10" t="s">
        <v>5512</v>
      </c>
      <c r="E2854" s="10" t="s">
        <v>4129</v>
      </c>
      <c r="F2854" s="10" t="s">
        <v>5513</v>
      </c>
      <c r="G2854" s="10" t="s">
        <v>76</v>
      </c>
      <c r="H2854" s="7" t="s">
        <v>24</v>
      </c>
      <c r="I2854" s="7" t="s">
        <v>25</v>
      </c>
      <c r="J2854" s="13" t="str">
        <f>HYPERLINK("https://www.airitibooks.com/Detail/Detail?PublicationID=P20160913063", "https://www.airitibooks.com/Detail/Detail?PublicationID=P20160913063")</f>
        <v>https://www.airitibooks.com/Detail/Detail?PublicationID=P20160913063</v>
      </c>
      <c r="K2854" s="13" t="str">
        <f>HYPERLINK("https://ntsu.idm.oclc.org/login?url=https://www.airitibooks.com/Detail/Detail?PublicationID=P20160913063", "https://ntsu.idm.oclc.org/login?url=https://www.airitibooks.com/Detail/Detail?PublicationID=P20160913063")</f>
        <v>https://ntsu.idm.oclc.org/login?url=https://www.airitibooks.com/Detail/Detail?PublicationID=P20160913063</v>
      </c>
    </row>
    <row r="2855" spans="1:11" ht="68" x14ac:dyDescent="0.4">
      <c r="A2855" s="10" t="s">
        <v>5655</v>
      </c>
      <c r="B2855" s="10" t="s">
        <v>5656</v>
      </c>
      <c r="C2855" s="10" t="s">
        <v>4616</v>
      </c>
      <c r="D2855" s="10" t="s">
        <v>5657</v>
      </c>
      <c r="E2855" s="10" t="s">
        <v>4129</v>
      </c>
      <c r="F2855" s="10" t="s">
        <v>2898</v>
      </c>
      <c r="G2855" s="10" t="s">
        <v>76</v>
      </c>
      <c r="H2855" s="7" t="s">
        <v>1467</v>
      </c>
      <c r="I2855" s="7" t="s">
        <v>25</v>
      </c>
      <c r="J2855" s="13" t="str">
        <f>HYPERLINK("https://www.airitibooks.com/Detail/Detail?PublicationID=P20161107076", "https://www.airitibooks.com/Detail/Detail?PublicationID=P20161107076")</f>
        <v>https://www.airitibooks.com/Detail/Detail?PublicationID=P20161107076</v>
      </c>
      <c r="K2855" s="13" t="str">
        <f>HYPERLINK("https://ntsu.idm.oclc.org/login?url=https://www.airitibooks.com/Detail/Detail?PublicationID=P20161107076", "https://ntsu.idm.oclc.org/login?url=https://www.airitibooks.com/Detail/Detail?PublicationID=P20161107076")</f>
        <v>https://ntsu.idm.oclc.org/login?url=https://www.airitibooks.com/Detail/Detail?PublicationID=P20161107076</v>
      </c>
    </row>
    <row r="2856" spans="1:11" ht="68" x14ac:dyDescent="0.4">
      <c r="A2856" s="10" t="s">
        <v>5679</v>
      </c>
      <c r="B2856" s="10" t="s">
        <v>5680</v>
      </c>
      <c r="C2856" s="10" t="s">
        <v>791</v>
      </c>
      <c r="D2856" s="10" t="s">
        <v>5681</v>
      </c>
      <c r="E2856" s="10" t="s">
        <v>4129</v>
      </c>
      <c r="F2856" s="10" t="s">
        <v>5682</v>
      </c>
      <c r="G2856" s="10" t="s">
        <v>76</v>
      </c>
      <c r="H2856" s="7" t="s">
        <v>24</v>
      </c>
      <c r="I2856" s="7" t="s">
        <v>25</v>
      </c>
      <c r="J2856" s="13" t="str">
        <f>HYPERLINK("https://www.airitibooks.com/Detail/Detail?PublicationID=P20161130035", "https://www.airitibooks.com/Detail/Detail?PublicationID=P20161130035")</f>
        <v>https://www.airitibooks.com/Detail/Detail?PublicationID=P20161130035</v>
      </c>
      <c r="K2856" s="13" t="str">
        <f>HYPERLINK("https://ntsu.idm.oclc.org/login?url=https://www.airitibooks.com/Detail/Detail?PublicationID=P20161130035", "https://ntsu.idm.oclc.org/login?url=https://www.airitibooks.com/Detail/Detail?PublicationID=P20161130035")</f>
        <v>https://ntsu.idm.oclc.org/login?url=https://www.airitibooks.com/Detail/Detail?PublicationID=P20161130035</v>
      </c>
    </row>
    <row r="2857" spans="1:11" ht="85" x14ac:dyDescent="0.4">
      <c r="A2857" s="10" t="s">
        <v>5743</v>
      </c>
      <c r="B2857" s="10" t="s">
        <v>5744</v>
      </c>
      <c r="C2857" s="10" t="s">
        <v>568</v>
      </c>
      <c r="D2857" s="10" t="s">
        <v>5745</v>
      </c>
      <c r="E2857" s="10" t="s">
        <v>4129</v>
      </c>
      <c r="F2857" s="10" t="s">
        <v>5746</v>
      </c>
      <c r="G2857" s="10" t="s">
        <v>76</v>
      </c>
      <c r="H2857" s="7" t="s">
        <v>24</v>
      </c>
      <c r="I2857" s="7" t="s">
        <v>25</v>
      </c>
      <c r="J2857" s="13" t="str">
        <f>HYPERLINK("https://www.airitibooks.com/Detail/Detail?PublicationID=P20161221003", "https://www.airitibooks.com/Detail/Detail?PublicationID=P20161221003")</f>
        <v>https://www.airitibooks.com/Detail/Detail?PublicationID=P20161221003</v>
      </c>
      <c r="K2857" s="13" t="str">
        <f>HYPERLINK("https://ntsu.idm.oclc.org/login?url=https://www.airitibooks.com/Detail/Detail?PublicationID=P20161221003", "https://ntsu.idm.oclc.org/login?url=https://www.airitibooks.com/Detail/Detail?PublicationID=P20161221003")</f>
        <v>https://ntsu.idm.oclc.org/login?url=https://www.airitibooks.com/Detail/Detail?PublicationID=P20161221003</v>
      </c>
    </row>
    <row r="2858" spans="1:11" ht="136" x14ac:dyDescent="0.4">
      <c r="A2858" s="10" t="s">
        <v>5747</v>
      </c>
      <c r="B2858" s="10" t="s">
        <v>5748</v>
      </c>
      <c r="C2858" s="10" t="s">
        <v>568</v>
      </c>
      <c r="D2858" s="10" t="s">
        <v>5749</v>
      </c>
      <c r="E2858" s="10" t="s">
        <v>4129</v>
      </c>
      <c r="F2858" s="10" t="s">
        <v>580</v>
      </c>
      <c r="G2858" s="10" t="s">
        <v>76</v>
      </c>
      <c r="H2858" s="7" t="s">
        <v>24</v>
      </c>
      <c r="I2858" s="7" t="s">
        <v>25</v>
      </c>
      <c r="J2858" s="13" t="str">
        <f>HYPERLINK("https://www.airitibooks.com/Detail/Detail?PublicationID=P20161221004", "https://www.airitibooks.com/Detail/Detail?PublicationID=P20161221004")</f>
        <v>https://www.airitibooks.com/Detail/Detail?PublicationID=P20161221004</v>
      </c>
      <c r="K2858" s="13" t="str">
        <f>HYPERLINK("https://ntsu.idm.oclc.org/login?url=https://www.airitibooks.com/Detail/Detail?PublicationID=P20161221004", "https://ntsu.idm.oclc.org/login?url=https://www.airitibooks.com/Detail/Detail?PublicationID=P20161221004")</f>
        <v>https://ntsu.idm.oclc.org/login?url=https://www.airitibooks.com/Detail/Detail?PublicationID=P20161221004</v>
      </c>
    </row>
    <row r="2859" spans="1:11" ht="68" x14ac:dyDescent="0.4">
      <c r="A2859" s="10" t="s">
        <v>5836</v>
      </c>
      <c r="B2859" s="10" t="s">
        <v>5837</v>
      </c>
      <c r="C2859" s="10" t="s">
        <v>4616</v>
      </c>
      <c r="D2859" s="10" t="s">
        <v>5838</v>
      </c>
      <c r="E2859" s="10" t="s">
        <v>4129</v>
      </c>
      <c r="F2859" s="10" t="s">
        <v>3727</v>
      </c>
      <c r="G2859" s="10" t="s">
        <v>76</v>
      </c>
      <c r="H2859" s="7" t="s">
        <v>24</v>
      </c>
      <c r="I2859" s="7" t="s">
        <v>25</v>
      </c>
      <c r="J2859" s="13" t="str">
        <f>HYPERLINK("https://www.airitibooks.com/Detail/Detail?PublicationID=P20170105001", "https://www.airitibooks.com/Detail/Detail?PublicationID=P20170105001")</f>
        <v>https://www.airitibooks.com/Detail/Detail?PublicationID=P20170105001</v>
      </c>
      <c r="K2859" s="13" t="str">
        <f>HYPERLINK("https://ntsu.idm.oclc.org/login?url=https://www.airitibooks.com/Detail/Detail?PublicationID=P20170105001", "https://ntsu.idm.oclc.org/login?url=https://www.airitibooks.com/Detail/Detail?PublicationID=P20170105001")</f>
        <v>https://ntsu.idm.oclc.org/login?url=https://www.airitibooks.com/Detail/Detail?PublicationID=P20170105001</v>
      </c>
    </row>
    <row r="2860" spans="1:11" ht="102" x14ac:dyDescent="0.4">
      <c r="A2860" s="10" t="s">
        <v>5839</v>
      </c>
      <c r="B2860" s="10" t="s">
        <v>5840</v>
      </c>
      <c r="C2860" s="10" t="s">
        <v>4616</v>
      </c>
      <c r="D2860" s="10" t="s">
        <v>5841</v>
      </c>
      <c r="E2860" s="10" t="s">
        <v>4129</v>
      </c>
      <c r="F2860" s="10" t="s">
        <v>3731</v>
      </c>
      <c r="G2860" s="10" t="s">
        <v>76</v>
      </c>
      <c r="H2860" s="7" t="s">
        <v>1467</v>
      </c>
      <c r="I2860" s="7" t="s">
        <v>25</v>
      </c>
      <c r="J2860" s="13" t="str">
        <f>HYPERLINK("https://www.airitibooks.com/Detail/Detail?PublicationID=P20170105002", "https://www.airitibooks.com/Detail/Detail?PublicationID=P20170105002")</f>
        <v>https://www.airitibooks.com/Detail/Detail?PublicationID=P20170105002</v>
      </c>
      <c r="K2860" s="13" t="str">
        <f>HYPERLINK("https://ntsu.idm.oclc.org/login?url=https://www.airitibooks.com/Detail/Detail?PublicationID=P20170105002", "https://ntsu.idm.oclc.org/login?url=https://www.airitibooks.com/Detail/Detail?PublicationID=P20170105002")</f>
        <v>https://ntsu.idm.oclc.org/login?url=https://www.airitibooks.com/Detail/Detail?PublicationID=P20170105002</v>
      </c>
    </row>
    <row r="2861" spans="1:11" ht="51" x14ac:dyDescent="0.4">
      <c r="A2861" s="10" t="s">
        <v>5844</v>
      </c>
      <c r="B2861" s="10" t="s">
        <v>5845</v>
      </c>
      <c r="C2861" s="10" t="s">
        <v>938</v>
      </c>
      <c r="D2861" s="10" t="s">
        <v>4563</v>
      </c>
      <c r="E2861" s="10" t="s">
        <v>4129</v>
      </c>
      <c r="F2861" s="10" t="s">
        <v>632</v>
      </c>
      <c r="G2861" s="10" t="s">
        <v>76</v>
      </c>
      <c r="H2861" s="7" t="s">
        <v>24</v>
      </c>
      <c r="I2861" s="7" t="s">
        <v>25</v>
      </c>
      <c r="J2861" s="13" t="str">
        <f>HYPERLINK("https://www.airitibooks.com/Detail/Detail?PublicationID=P20170112020", "https://www.airitibooks.com/Detail/Detail?PublicationID=P20170112020")</f>
        <v>https://www.airitibooks.com/Detail/Detail?PublicationID=P20170112020</v>
      </c>
      <c r="K2861" s="13" t="str">
        <f>HYPERLINK("https://ntsu.idm.oclc.org/login?url=https://www.airitibooks.com/Detail/Detail?PublicationID=P20170112020", "https://ntsu.idm.oclc.org/login?url=https://www.airitibooks.com/Detail/Detail?PublicationID=P20170112020")</f>
        <v>https://ntsu.idm.oclc.org/login?url=https://www.airitibooks.com/Detail/Detail?PublicationID=P20170112020</v>
      </c>
    </row>
    <row r="2862" spans="1:11" ht="51" x14ac:dyDescent="0.4">
      <c r="A2862" s="10" t="s">
        <v>5849</v>
      </c>
      <c r="B2862" s="10" t="s">
        <v>5850</v>
      </c>
      <c r="C2862" s="10" t="s">
        <v>938</v>
      </c>
      <c r="D2862" s="10" t="s">
        <v>4025</v>
      </c>
      <c r="E2862" s="10" t="s">
        <v>4129</v>
      </c>
      <c r="F2862" s="10" t="s">
        <v>4026</v>
      </c>
      <c r="G2862" s="10" t="s">
        <v>76</v>
      </c>
      <c r="H2862" s="7" t="s">
        <v>24</v>
      </c>
      <c r="I2862" s="7" t="s">
        <v>25</v>
      </c>
      <c r="J2862" s="13" t="str">
        <f>HYPERLINK("https://www.airitibooks.com/Detail/Detail?PublicationID=P20170112025", "https://www.airitibooks.com/Detail/Detail?PublicationID=P20170112025")</f>
        <v>https://www.airitibooks.com/Detail/Detail?PublicationID=P20170112025</v>
      </c>
      <c r="K2862" s="13" t="str">
        <f>HYPERLINK("https://ntsu.idm.oclc.org/login?url=https://www.airitibooks.com/Detail/Detail?PublicationID=P20170112025", "https://ntsu.idm.oclc.org/login?url=https://www.airitibooks.com/Detail/Detail?PublicationID=P20170112025")</f>
        <v>https://ntsu.idm.oclc.org/login?url=https://www.airitibooks.com/Detail/Detail?PublicationID=P20170112025</v>
      </c>
    </row>
    <row r="2863" spans="1:11" ht="51" x14ac:dyDescent="0.4">
      <c r="A2863" s="10" t="s">
        <v>5851</v>
      </c>
      <c r="B2863" s="10" t="s">
        <v>5852</v>
      </c>
      <c r="C2863" s="10" t="s">
        <v>938</v>
      </c>
      <c r="D2863" s="10" t="s">
        <v>5853</v>
      </c>
      <c r="E2863" s="10" t="s">
        <v>4129</v>
      </c>
      <c r="F2863" s="10" t="s">
        <v>5854</v>
      </c>
      <c r="G2863" s="10" t="s">
        <v>76</v>
      </c>
      <c r="H2863" s="7" t="s">
        <v>24</v>
      </c>
      <c r="I2863" s="7" t="s">
        <v>25</v>
      </c>
      <c r="J2863" s="13" t="str">
        <f>HYPERLINK("https://www.airitibooks.com/Detail/Detail?PublicationID=P20170112029", "https://www.airitibooks.com/Detail/Detail?PublicationID=P20170112029")</f>
        <v>https://www.airitibooks.com/Detail/Detail?PublicationID=P20170112029</v>
      </c>
      <c r="K2863" s="13" t="str">
        <f>HYPERLINK("https://ntsu.idm.oclc.org/login?url=https://www.airitibooks.com/Detail/Detail?PublicationID=P20170112029", "https://ntsu.idm.oclc.org/login?url=https://www.airitibooks.com/Detail/Detail?PublicationID=P20170112029")</f>
        <v>https://ntsu.idm.oclc.org/login?url=https://www.airitibooks.com/Detail/Detail?PublicationID=P20170112029</v>
      </c>
    </row>
    <row r="2864" spans="1:11" ht="51" x14ac:dyDescent="0.4">
      <c r="A2864" s="10" t="s">
        <v>5859</v>
      </c>
      <c r="B2864" s="10" t="s">
        <v>5860</v>
      </c>
      <c r="C2864" s="10" t="s">
        <v>938</v>
      </c>
      <c r="D2864" s="10" t="s">
        <v>5861</v>
      </c>
      <c r="E2864" s="10" t="s">
        <v>4129</v>
      </c>
      <c r="F2864" s="10" t="s">
        <v>632</v>
      </c>
      <c r="G2864" s="10" t="s">
        <v>76</v>
      </c>
      <c r="H2864" s="7" t="s">
        <v>24</v>
      </c>
      <c r="I2864" s="7" t="s">
        <v>25</v>
      </c>
      <c r="J2864" s="13" t="str">
        <f>HYPERLINK("https://www.airitibooks.com/Detail/Detail?PublicationID=P20170112035", "https://www.airitibooks.com/Detail/Detail?PublicationID=P20170112035")</f>
        <v>https://www.airitibooks.com/Detail/Detail?PublicationID=P20170112035</v>
      </c>
      <c r="K2864" s="13" t="str">
        <f>HYPERLINK("https://ntsu.idm.oclc.org/login?url=https://www.airitibooks.com/Detail/Detail?PublicationID=P20170112035", "https://ntsu.idm.oclc.org/login?url=https://www.airitibooks.com/Detail/Detail?PublicationID=P20170112035")</f>
        <v>https://ntsu.idm.oclc.org/login?url=https://www.airitibooks.com/Detail/Detail?PublicationID=P20170112035</v>
      </c>
    </row>
    <row r="2865" spans="1:11" ht="51" x14ac:dyDescent="0.4">
      <c r="A2865" s="10" t="s">
        <v>5878</v>
      </c>
      <c r="B2865" s="10" t="s">
        <v>5879</v>
      </c>
      <c r="C2865" s="10" t="s">
        <v>938</v>
      </c>
      <c r="D2865" s="10" t="s">
        <v>5357</v>
      </c>
      <c r="E2865" s="10" t="s">
        <v>4129</v>
      </c>
      <c r="F2865" s="10" t="s">
        <v>5880</v>
      </c>
      <c r="G2865" s="10" t="s">
        <v>76</v>
      </c>
      <c r="H2865" s="7" t="s">
        <v>24</v>
      </c>
      <c r="I2865" s="7" t="s">
        <v>25</v>
      </c>
      <c r="J2865" s="13" t="str">
        <f>HYPERLINK("https://www.airitibooks.com/Detail/Detail?PublicationID=P20170112051", "https://www.airitibooks.com/Detail/Detail?PublicationID=P20170112051")</f>
        <v>https://www.airitibooks.com/Detail/Detail?PublicationID=P20170112051</v>
      </c>
      <c r="K2865" s="13" t="str">
        <f>HYPERLINK("https://ntsu.idm.oclc.org/login?url=https://www.airitibooks.com/Detail/Detail?PublicationID=P20170112051", "https://ntsu.idm.oclc.org/login?url=https://www.airitibooks.com/Detail/Detail?PublicationID=P20170112051")</f>
        <v>https://ntsu.idm.oclc.org/login?url=https://www.airitibooks.com/Detail/Detail?PublicationID=P20170112051</v>
      </c>
    </row>
    <row r="2866" spans="1:11" ht="51" x14ac:dyDescent="0.4">
      <c r="A2866" s="10" t="s">
        <v>5881</v>
      </c>
      <c r="B2866" s="10" t="s">
        <v>5882</v>
      </c>
      <c r="C2866" s="10" t="s">
        <v>938</v>
      </c>
      <c r="D2866" s="10" t="s">
        <v>5883</v>
      </c>
      <c r="E2866" s="10" t="s">
        <v>4129</v>
      </c>
      <c r="F2866" s="10" t="s">
        <v>5884</v>
      </c>
      <c r="G2866" s="10" t="s">
        <v>76</v>
      </c>
      <c r="H2866" s="7" t="s">
        <v>24</v>
      </c>
      <c r="I2866" s="7" t="s">
        <v>25</v>
      </c>
      <c r="J2866" s="13" t="str">
        <f>HYPERLINK("https://www.airitibooks.com/Detail/Detail?PublicationID=P20170112079", "https://www.airitibooks.com/Detail/Detail?PublicationID=P20170112079")</f>
        <v>https://www.airitibooks.com/Detail/Detail?PublicationID=P20170112079</v>
      </c>
      <c r="K2866" s="13" t="str">
        <f>HYPERLINK("https://ntsu.idm.oclc.org/login?url=https://www.airitibooks.com/Detail/Detail?PublicationID=P20170112079", "https://ntsu.idm.oclc.org/login?url=https://www.airitibooks.com/Detail/Detail?PublicationID=P20170112079")</f>
        <v>https://ntsu.idm.oclc.org/login?url=https://www.airitibooks.com/Detail/Detail?PublicationID=P20170112079</v>
      </c>
    </row>
    <row r="2867" spans="1:11" ht="51" x14ac:dyDescent="0.4">
      <c r="A2867" s="10" t="s">
        <v>5885</v>
      </c>
      <c r="B2867" s="10" t="s">
        <v>5886</v>
      </c>
      <c r="C2867" s="10" t="s">
        <v>938</v>
      </c>
      <c r="D2867" s="10" t="s">
        <v>5883</v>
      </c>
      <c r="E2867" s="10" t="s">
        <v>4129</v>
      </c>
      <c r="F2867" s="10" t="s">
        <v>5887</v>
      </c>
      <c r="G2867" s="10" t="s">
        <v>76</v>
      </c>
      <c r="H2867" s="7" t="s">
        <v>24</v>
      </c>
      <c r="I2867" s="7" t="s">
        <v>25</v>
      </c>
      <c r="J2867" s="13" t="str">
        <f>HYPERLINK("https://www.airitibooks.com/Detail/Detail?PublicationID=P20170112080", "https://www.airitibooks.com/Detail/Detail?PublicationID=P20170112080")</f>
        <v>https://www.airitibooks.com/Detail/Detail?PublicationID=P20170112080</v>
      </c>
      <c r="K2867" s="13" t="str">
        <f>HYPERLINK("https://ntsu.idm.oclc.org/login?url=https://www.airitibooks.com/Detail/Detail?PublicationID=P20170112080", "https://ntsu.idm.oclc.org/login?url=https://www.airitibooks.com/Detail/Detail?PublicationID=P20170112080")</f>
        <v>https://ntsu.idm.oclc.org/login?url=https://www.airitibooks.com/Detail/Detail?PublicationID=P20170112080</v>
      </c>
    </row>
    <row r="2868" spans="1:11" ht="51" x14ac:dyDescent="0.4">
      <c r="A2868" s="10" t="s">
        <v>5888</v>
      </c>
      <c r="B2868" s="10" t="s">
        <v>5889</v>
      </c>
      <c r="C2868" s="10" t="s">
        <v>938</v>
      </c>
      <c r="D2868" s="10" t="s">
        <v>2487</v>
      </c>
      <c r="E2868" s="10" t="s">
        <v>4129</v>
      </c>
      <c r="F2868" s="10" t="s">
        <v>5884</v>
      </c>
      <c r="G2868" s="10" t="s">
        <v>76</v>
      </c>
      <c r="H2868" s="7" t="s">
        <v>24</v>
      </c>
      <c r="I2868" s="7" t="s">
        <v>25</v>
      </c>
      <c r="J2868" s="13" t="str">
        <f>HYPERLINK("https://www.airitibooks.com/Detail/Detail?PublicationID=P20170112081", "https://www.airitibooks.com/Detail/Detail?PublicationID=P20170112081")</f>
        <v>https://www.airitibooks.com/Detail/Detail?PublicationID=P20170112081</v>
      </c>
      <c r="K2868" s="13" t="str">
        <f>HYPERLINK("https://ntsu.idm.oclc.org/login?url=https://www.airitibooks.com/Detail/Detail?PublicationID=P20170112081", "https://ntsu.idm.oclc.org/login?url=https://www.airitibooks.com/Detail/Detail?PublicationID=P20170112081")</f>
        <v>https://ntsu.idm.oclc.org/login?url=https://www.airitibooks.com/Detail/Detail?PublicationID=P20170112081</v>
      </c>
    </row>
    <row r="2869" spans="1:11" ht="51" x14ac:dyDescent="0.4">
      <c r="A2869" s="10" t="s">
        <v>5890</v>
      </c>
      <c r="B2869" s="10" t="s">
        <v>5891</v>
      </c>
      <c r="C2869" s="10" t="s">
        <v>938</v>
      </c>
      <c r="D2869" s="10" t="s">
        <v>971</v>
      </c>
      <c r="E2869" s="10" t="s">
        <v>4129</v>
      </c>
      <c r="F2869" s="10" t="s">
        <v>5892</v>
      </c>
      <c r="G2869" s="10" t="s">
        <v>76</v>
      </c>
      <c r="H2869" s="7" t="s">
        <v>24</v>
      </c>
      <c r="I2869" s="7" t="s">
        <v>25</v>
      </c>
      <c r="J2869" s="13" t="str">
        <f>HYPERLINK("https://www.airitibooks.com/Detail/Detail?PublicationID=P20170112082", "https://www.airitibooks.com/Detail/Detail?PublicationID=P20170112082")</f>
        <v>https://www.airitibooks.com/Detail/Detail?PublicationID=P20170112082</v>
      </c>
      <c r="K2869" s="13" t="str">
        <f>HYPERLINK("https://ntsu.idm.oclc.org/login?url=https://www.airitibooks.com/Detail/Detail?PublicationID=P20170112082", "https://ntsu.idm.oclc.org/login?url=https://www.airitibooks.com/Detail/Detail?PublicationID=P20170112082")</f>
        <v>https://ntsu.idm.oclc.org/login?url=https://www.airitibooks.com/Detail/Detail?PublicationID=P20170112082</v>
      </c>
    </row>
    <row r="2870" spans="1:11" ht="51" x14ac:dyDescent="0.4">
      <c r="A2870" s="10" t="s">
        <v>5893</v>
      </c>
      <c r="B2870" s="10" t="s">
        <v>5894</v>
      </c>
      <c r="C2870" s="10" t="s">
        <v>938</v>
      </c>
      <c r="D2870" s="10" t="s">
        <v>3907</v>
      </c>
      <c r="E2870" s="10" t="s">
        <v>4129</v>
      </c>
      <c r="F2870" s="10" t="s">
        <v>5887</v>
      </c>
      <c r="G2870" s="10" t="s">
        <v>76</v>
      </c>
      <c r="H2870" s="7" t="s">
        <v>24</v>
      </c>
      <c r="I2870" s="7" t="s">
        <v>25</v>
      </c>
      <c r="J2870" s="13" t="str">
        <f>HYPERLINK("https://www.airitibooks.com/Detail/Detail?PublicationID=P20170112083", "https://www.airitibooks.com/Detail/Detail?PublicationID=P20170112083")</f>
        <v>https://www.airitibooks.com/Detail/Detail?PublicationID=P20170112083</v>
      </c>
      <c r="K2870" s="13" t="str">
        <f>HYPERLINK("https://ntsu.idm.oclc.org/login?url=https://www.airitibooks.com/Detail/Detail?PublicationID=P20170112083", "https://ntsu.idm.oclc.org/login?url=https://www.airitibooks.com/Detail/Detail?PublicationID=P20170112083")</f>
        <v>https://ntsu.idm.oclc.org/login?url=https://www.airitibooks.com/Detail/Detail?PublicationID=P20170112083</v>
      </c>
    </row>
    <row r="2871" spans="1:11" ht="51" x14ac:dyDescent="0.4">
      <c r="A2871" s="10" t="s">
        <v>5895</v>
      </c>
      <c r="B2871" s="10" t="s">
        <v>5896</v>
      </c>
      <c r="C2871" s="10" t="s">
        <v>938</v>
      </c>
      <c r="D2871" s="10" t="s">
        <v>3907</v>
      </c>
      <c r="E2871" s="10" t="s">
        <v>4129</v>
      </c>
      <c r="F2871" s="10" t="s">
        <v>5887</v>
      </c>
      <c r="G2871" s="10" t="s">
        <v>76</v>
      </c>
      <c r="H2871" s="7" t="s">
        <v>24</v>
      </c>
      <c r="I2871" s="7" t="s">
        <v>25</v>
      </c>
      <c r="J2871" s="13" t="str">
        <f>HYPERLINK("https://www.airitibooks.com/Detail/Detail?PublicationID=P20170112084", "https://www.airitibooks.com/Detail/Detail?PublicationID=P20170112084")</f>
        <v>https://www.airitibooks.com/Detail/Detail?PublicationID=P20170112084</v>
      </c>
      <c r="K2871" s="13" t="str">
        <f>HYPERLINK("https://ntsu.idm.oclc.org/login?url=https://www.airitibooks.com/Detail/Detail?PublicationID=P20170112084", "https://ntsu.idm.oclc.org/login?url=https://www.airitibooks.com/Detail/Detail?PublicationID=P20170112084")</f>
        <v>https://ntsu.idm.oclc.org/login?url=https://www.airitibooks.com/Detail/Detail?PublicationID=P20170112084</v>
      </c>
    </row>
    <row r="2872" spans="1:11" ht="51" x14ac:dyDescent="0.4">
      <c r="A2872" s="10" t="s">
        <v>5999</v>
      </c>
      <c r="B2872" s="10" t="s">
        <v>6000</v>
      </c>
      <c r="C2872" s="10" t="s">
        <v>2854</v>
      </c>
      <c r="D2872" s="10" t="s">
        <v>6001</v>
      </c>
      <c r="E2872" s="10" t="s">
        <v>4129</v>
      </c>
      <c r="F2872" s="10" t="s">
        <v>6002</v>
      </c>
      <c r="G2872" s="10" t="s">
        <v>76</v>
      </c>
      <c r="H2872" s="7" t="s">
        <v>24</v>
      </c>
      <c r="I2872" s="7" t="s">
        <v>25</v>
      </c>
      <c r="J2872" s="13" t="str">
        <f>HYPERLINK("https://www.airitibooks.com/Detail/Detail?PublicationID=P20170203088", "https://www.airitibooks.com/Detail/Detail?PublicationID=P20170203088")</f>
        <v>https://www.airitibooks.com/Detail/Detail?PublicationID=P20170203088</v>
      </c>
      <c r="K2872" s="13" t="str">
        <f>HYPERLINK("https://ntsu.idm.oclc.org/login?url=https://www.airitibooks.com/Detail/Detail?PublicationID=P20170203088", "https://ntsu.idm.oclc.org/login?url=https://www.airitibooks.com/Detail/Detail?PublicationID=P20170203088")</f>
        <v>https://ntsu.idm.oclc.org/login?url=https://www.airitibooks.com/Detail/Detail?PublicationID=P20170203088</v>
      </c>
    </row>
    <row r="2873" spans="1:11" ht="51" x14ac:dyDescent="0.4">
      <c r="A2873" s="10" t="s">
        <v>6028</v>
      </c>
      <c r="B2873" s="10" t="s">
        <v>6029</v>
      </c>
      <c r="C2873" s="10" t="s">
        <v>938</v>
      </c>
      <c r="D2873" s="10" t="s">
        <v>5861</v>
      </c>
      <c r="E2873" s="10" t="s">
        <v>4129</v>
      </c>
      <c r="F2873" s="10" t="s">
        <v>632</v>
      </c>
      <c r="G2873" s="10" t="s">
        <v>76</v>
      </c>
      <c r="H2873" s="7" t="s">
        <v>24</v>
      </c>
      <c r="I2873" s="7" t="s">
        <v>25</v>
      </c>
      <c r="J2873" s="13" t="str">
        <f>HYPERLINK("https://www.airitibooks.com/Detail/Detail?PublicationID=P20170203110", "https://www.airitibooks.com/Detail/Detail?PublicationID=P20170203110")</f>
        <v>https://www.airitibooks.com/Detail/Detail?PublicationID=P20170203110</v>
      </c>
      <c r="K2873" s="13" t="str">
        <f>HYPERLINK("https://ntsu.idm.oclc.org/login?url=https://www.airitibooks.com/Detail/Detail?PublicationID=P20170203110", "https://ntsu.idm.oclc.org/login?url=https://www.airitibooks.com/Detail/Detail?PublicationID=P20170203110")</f>
        <v>https://ntsu.idm.oclc.org/login?url=https://www.airitibooks.com/Detail/Detail?PublicationID=P20170203110</v>
      </c>
    </row>
    <row r="2874" spans="1:11" ht="68" x14ac:dyDescent="0.4">
      <c r="A2874" s="10" t="s">
        <v>6030</v>
      </c>
      <c r="B2874" s="10" t="s">
        <v>6031</v>
      </c>
      <c r="C2874" s="10" t="s">
        <v>938</v>
      </c>
      <c r="D2874" s="10" t="s">
        <v>6032</v>
      </c>
      <c r="E2874" s="10" t="s">
        <v>4129</v>
      </c>
      <c r="F2874" s="10" t="s">
        <v>632</v>
      </c>
      <c r="G2874" s="10" t="s">
        <v>76</v>
      </c>
      <c r="H2874" s="7" t="s">
        <v>24</v>
      </c>
      <c r="I2874" s="7" t="s">
        <v>25</v>
      </c>
      <c r="J2874" s="13" t="str">
        <f>HYPERLINK("https://www.airitibooks.com/Detail/Detail?PublicationID=P20170203112", "https://www.airitibooks.com/Detail/Detail?PublicationID=P20170203112")</f>
        <v>https://www.airitibooks.com/Detail/Detail?PublicationID=P20170203112</v>
      </c>
      <c r="K2874" s="13" t="str">
        <f>HYPERLINK("https://ntsu.idm.oclc.org/login?url=https://www.airitibooks.com/Detail/Detail?PublicationID=P20170203112", "https://ntsu.idm.oclc.org/login?url=https://www.airitibooks.com/Detail/Detail?PublicationID=P20170203112")</f>
        <v>https://ntsu.idm.oclc.org/login?url=https://www.airitibooks.com/Detail/Detail?PublicationID=P20170203112</v>
      </c>
    </row>
    <row r="2875" spans="1:11" ht="51" x14ac:dyDescent="0.4">
      <c r="A2875" s="10" t="s">
        <v>6038</v>
      </c>
      <c r="B2875" s="10" t="s">
        <v>6039</v>
      </c>
      <c r="C2875" s="10" t="s">
        <v>938</v>
      </c>
      <c r="D2875" s="10" t="s">
        <v>6040</v>
      </c>
      <c r="E2875" s="10" t="s">
        <v>4129</v>
      </c>
      <c r="F2875" s="10" t="s">
        <v>4625</v>
      </c>
      <c r="G2875" s="10" t="s">
        <v>76</v>
      </c>
      <c r="H2875" s="7" t="s">
        <v>24</v>
      </c>
      <c r="I2875" s="7" t="s">
        <v>25</v>
      </c>
      <c r="J2875" s="13" t="str">
        <f>HYPERLINK("https://www.airitibooks.com/Detail/Detail?PublicationID=P20170203127", "https://www.airitibooks.com/Detail/Detail?PublicationID=P20170203127")</f>
        <v>https://www.airitibooks.com/Detail/Detail?PublicationID=P20170203127</v>
      </c>
      <c r="K2875" s="13" t="str">
        <f>HYPERLINK("https://ntsu.idm.oclc.org/login?url=https://www.airitibooks.com/Detail/Detail?PublicationID=P20170203127", "https://ntsu.idm.oclc.org/login?url=https://www.airitibooks.com/Detail/Detail?PublicationID=P20170203127")</f>
        <v>https://ntsu.idm.oclc.org/login?url=https://www.airitibooks.com/Detail/Detail?PublicationID=P20170203127</v>
      </c>
    </row>
    <row r="2876" spans="1:11" ht="51" x14ac:dyDescent="0.4">
      <c r="A2876" s="10" t="s">
        <v>6041</v>
      </c>
      <c r="B2876" s="10" t="s">
        <v>6042</v>
      </c>
      <c r="C2876" s="10" t="s">
        <v>938</v>
      </c>
      <c r="D2876" s="10" t="s">
        <v>6043</v>
      </c>
      <c r="E2876" s="10" t="s">
        <v>4129</v>
      </c>
      <c r="F2876" s="10" t="s">
        <v>6044</v>
      </c>
      <c r="G2876" s="10" t="s">
        <v>76</v>
      </c>
      <c r="H2876" s="7" t="s">
        <v>24</v>
      </c>
      <c r="I2876" s="7" t="s">
        <v>25</v>
      </c>
      <c r="J2876" s="13" t="str">
        <f>HYPERLINK("https://www.airitibooks.com/Detail/Detail?PublicationID=P20170203129", "https://www.airitibooks.com/Detail/Detail?PublicationID=P20170203129")</f>
        <v>https://www.airitibooks.com/Detail/Detail?PublicationID=P20170203129</v>
      </c>
      <c r="K2876" s="13" t="str">
        <f>HYPERLINK("https://ntsu.idm.oclc.org/login?url=https://www.airitibooks.com/Detail/Detail?PublicationID=P20170203129", "https://ntsu.idm.oclc.org/login?url=https://www.airitibooks.com/Detail/Detail?PublicationID=P20170203129")</f>
        <v>https://ntsu.idm.oclc.org/login?url=https://www.airitibooks.com/Detail/Detail?PublicationID=P20170203129</v>
      </c>
    </row>
    <row r="2877" spans="1:11" ht="51" x14ac:dyDescent="0.4">
      <c r="A2877" s="10" t="s">
        <v>6054</v>
      </c>
      <c r="B2877" s="10" t="s">
        <v>6055</v>
      </c>
      <c r="C2877" s="10" t="s">
        <v>371</v>
      </c>
      <c r="D2877" s="10" t="s">
        <v>6056</v>
      </c>
      <c r="E2877" s="10" t="s">
        <v>4129</v>
      </c>
      <c r="F2877" s="10" t="s">
        <v>4602</v>
      </c>
      <c r="G2877" s="10" t="s">
        <v>76</v>
      </c>
      <c r="H2877" s="7" t="s">
        <v>24</v>
      </c>
      <c r="I2877" s="7" t="s">
        <v>25</v>
      </c>
      <c r="J2877" s="13" t="str">
        <f>HYPERLINK("https://www.airitibooks.com/Detail/Detail?PublicationID=P20170203179", "https://www.airitibooks.com/Detail/Detail?PublicationID=P20170203179")</f>
        <v>https://www.airitibooks.com/Detail/Detail?PublicationID=P20170203179</v>
      </c>
      <c r="K2877" s="13" t="str">
        <f>HYPERLINK("https://ntsu.idm.oclc.org/login?url=https://www.airitibooks.com/Detail/Detail?PublicationID=P20170203179", "https://ntsu.idm.oclc.org/login?url=https://www.airitibooks.com/Detail/Detail?PublicationID=P20170203179")</f>
        <v>https://ntsu.idm.oclc.org/login?url=https://www.airitibooks.com/Detail/Detail?PublicationID=P20170203179</v>
      </c>
    </row>
    <row r="2878" spans="1:11" ht="51" x14ac:dyDescent="0.4">
      <c r="A2878" s="10" t="s">
        <v>6108</v>
      </c>
      <c r="B2878" s="10" t="s">
        <v>6109</v>
      </c>
      <c r="C2878" s="10" t="s">
        <v>2367</v>
      </c>
      <c r="D2878" s="10" t="s">
        <v>6110</v>
      </c>
      <c r="E2878" s="10" t="s">
        <v>4129</v>
      </c>
      <c r="F2878" s="10" t="s">
        <v>2007</v>
      </c>
      <c r="G2878" s="10" t="s">
        <v>76</v>
      </c>
      <c r="H2878" s="7" t="s">
        <v>24</v>
      </c>
      <c r="I2878" s="7" t="s">
        <v>25</v>
      </c>
      <c r="J2878" s="13" t="str">
        <f>HYPERLINK("https://www.airitibooks.com/Detail/Detail?PublicationID=P20170203263", "https://www.airitibooks.com/Detail/Detail?PublicationID=P20170203263")</f>
        <v>https://www.airitibooks.com/Detail/Detail?PublicationID=P20170203263</v>
      </c>
      <c r="K2878" s="13" t="str">
        <f>HYPERLINK("https://ntsu.idm.oclc.org/login?url=https://www.airitibooks.com/Detail/Detail?PublicationID=P20170203263", "https://ntsu.idm.oclc.org/login?url=https://www.airitibooks.com/Detail/Detail?PublicationID=P20170203263")</f>
        <v>https://ntsu.idm.oclc.org/login?url=https://www.airitibooks.com/Detail/Detail?PublicationID=P20170203263</v>
      </c>
    </row>
    <row r="2879" spans="1:11" ht="51" x14ac:dyDescent="0.4">
      <c r="A2879" s="10" t="s">
        <v>6117</v>
      </c>
      <c r="B2879" s="10" t="s">
        <v>6118</v>
      </c>
      <c r="C2879" s="10" t="s">
        <v>5389</v>
      </c>
      <c r="D2879" s="10" t="s">
        <v>6119</v>
      </c>
      <c r="E2879" s="10" t="s">
        <v>4129</v>
      </c>
      <c r="F2879" s="10" t="s">
        <v>524</v>
      </c>
      <c r="G2879" s="10" t="s">
        <v>76</v>
      </c>
      <c r="H2879" s="7" t="s">
        <v>24</v>
      </c>
      <c r="I2879" s="7" t="s">
        <v>25</v>
      </c>
      <c r="J2879" s="13" t="str">
        <f>HYPERLINK("https://www.airitibooks.com/Detail/Detail?PublicationID=P20170203267", "https://www.airitibooks.com/Detail/Detail?PublicationID=P20170203267")</f>
        <v>https://www.airitibooks.com/Detail/Detail?PublicationID=P20170203267</v>
      </c>
      <c r="K2879" s="13" t="str">
        <f>HYPERLINK("https://ntsu.idm.oclc.org/login?url=https://www.airitibooks.com/Detail/Detail?PublicationID=P20170203267", "https://ntsu.idm.oclc.org/login?url=https://www.airitibooks.com/Detail/Detail?PublicationID=P20170203267")</f>
        <v>https://ntsu.idm.oclc.org/login?url=https://www.airitibooks.com/Detail/Detail?PublicationID=P20170203267</v>
      </c>
    </row>
    <row r="2880" spans="1:11" ht="51" x14ac:dyDescent="0.4">
      <c r="A2880" s="10" t="s">
        <v>6120</v>
      </c>
      <c r="B2880" s="10" t="s">
        <v>6121</v>
      </c>
      <c r="C2880" s="10" t="s">
        <v>5389</v>
      </c>
      <c r="D2880" s="10" t="s">
        <v>6119</v>
      </c>
      <c r="E2880" s="10" t="s">
        <v>4129</v>
      </c>
      <c r="F2880" s="10" t="s">
        <v>524</v>
      </c>
      <c r="G2880" s="10" t="s">
        <v>76</v>
      </c>
      <c r="H2880" s="7" t="s">
        <v>24</v>
      </c>
      <c r="I2880" s="7" t="s">
        <v>25</v>
      </c>
      <c r="J2880" s="13" t="str">
        <f>HYPERLINK("https://www.airitibooks.com/Detail/Detail?PublicationID=P20170203268", "https://www.airitibooks.com/Detail/Detail?PublicationID=P20170203268")</f>
        <v>https://www.airitibooks.com/Detail/Detail?PublicationID=P20170203268</v>
      </c>
      <c r="K2880" s="13" t="str">
        <f>HYPERLINK("https://ntsu.idm.oclc.org/login?url=https://www.airitibooks.com/Detail/Detail?PublicationID=P20170203268", "https://ntsu.idm.oclc.org/login?url=https://www.airitibooks.com/Detail/Detail?PublicationID=P20170203268")</f>
        <v>https://ntsu.idm.oclc.org/login?url=https://www.airitibooks.com/Detail/Detail?PublicationID=P20170203268</v>
      </c>
    </row>
    <row r="2881" spans="1:11" ht="51" x14ac:dyDescent="0.4">
      <c r="A2881" s="10" t="s">
        <v>6128</v>
      </c>
      <c r="B2881" s="10" t="s">
        <v>6129</v>
      </c>
      <c r="C2881" s="10" t="s">
        <v>5389</v>
      </c>
      <c r="D2881" s="10" t="s">
        <v>6119</v>
      </c>
      <c r="E2881" s="10" t="s">
        <v>4129</v>
      </c>
      <c r="F2881" s="10" t="s">
        <v>6130</v>
      </c>
      <c r="G2881" s="10" t="s">
        <v>76</v>
      </c>
      <c r="H2881" s="7" t="s">
        <v>24</v>
      </c>
      <c r="I2881" s="7" t="s">
        <v>25</v>
      </c>
      <c r="J2881" s="13" t="str">
        <f>HYPERLINK("https://www.airitibooks.com/Detail/Detail?PublicationID=P20170203272", "https://www.airitibooks.com/Detail/Detail?PublicationID=P20170203272")</f>
        <v>https://www.airitibooks.com/Detail/Detail?PublicationID=P20170203272</v>
      </c>
      <c r="K2881" s="13" t="str">
        <f>HYPERLINK("https://ntsu.idm.oclc.org/login?url=https://www.airitibooks.com/Detail/Detail?PublicationID=P20170203272", "https://ntsu.idm.oclc.org/login?url=https://www.airitibooks.com/Detail/Detail?PublicationID=P20170203272")</f>
        <v>https://ntsu.idm.oclc.org/login?url=https://www.airitibooks.com/Detail/Detail?PublicationID=P20170203272</v>
      </c>
    </row>
    <row r="2882" spans="1:11" ht="51" x14ac:dyDescent="0.4">
      <c r="A2882" s="10" t="s">
        <v>6183</v>
      </c>
      <c r="B2882" s="10" t="s">
        <v>6184</v>
      </c>
      <c r="C2882" s="10" t="s">
        <v>1109</v>
      </c>
      <c r="D2882" s="10" t="s">
        <v>1110</v>
      </c>
      <c r="E2882" s="10" t="s">
        <v>4129</v>
      </c>
      <c r="F2882" s="10" t="s">
        <v>6185</v>
      </c>
      <c r="G2882" s="10" t="s">
        <v>76</v>
      </c>
      <c r="H2882" s="7" t="s">
        <v>24</v>
      </c>
      <c r="I2882" s="7" t="s">
        <v>25</v>
      </c>
      <c r="J2882" s="13" t="str">
        <f>HYPERLINK("https://www.airitibooks.com/Detail/Detail?PublicationID=P20170203330", "https://www.airitibooks.com/Detail/Detail?PublicationID=P20170203330")</f>
        <v>https://www.airitibooks.com/Detail/Detail?PublicationID=P20170203330</v>
      </c>
      <c r="K2882" s="13" t="str">
        <f>HYPERLINK("https://ntsu.idm.oclc.org/login?url=https://www.airitibooks.com/Detail/Detail?PublicationID=P20170203330", "https://ntsu.idm.oclc.org/login?url=https://www.airitibooks.com/Detail/Detail?PublicationID=P20170203330")</f>
        <v>https://ntsu.idm.oclc.org/login?url=https://www.airitibooks.com/Detail/Detail?PublicationID=P20170203330</v>
      </c>
    </row>
    <row r="2883" spans="1:11" ht="51" x14ac:dyDescent="0.4">
      <c r="A2883" s="10" t="s">
        <v>6253</v>
      </c>
      <c r="B2883" s="10" t="s">
        <v>6254</v>
      </c>
      <c r="C2883" s="10" t="s">
        <v>2146</v>
      </c>
      <c r="D2883" s="10" t="s">
        <v>6255</v>
      </c>
      <c r="E2883" s="10" t="s">
        <v>4129</v>
      </c>
      <c r="F2883" s="10" t="s">
        <v>6256</v>
      </c>
      <c r="G2883" s="10" t="s">
        <v>76</v>
      </c>
      <c r="H2883" s="7" t="s">
        <v>24</v>
      </c>
      <c r="I2883" s="7" t="s">
        <v>25</v>
      </c>
      <c r="J2883" s="13" t="str">
        <f>HYPERLINK("https://www.airitibooks.com/Detail/Detail?PublicationID=P20170227032", "https://www.airitibooks.com/Detail/Detail?PublicationID=P20170227032")</f>
        <v>https://www.airitibooks.com/Detail/Detail?PublicationID=P20170227032</v>
      </c>
      <c r="K2883" s="13" t="str">
        <f>HYPERLINK("https://ntsu.idm.oclc.org/login?url=https://www.airitibooks.com/Detail/Detail?PublicationID=P20170227032", "https://ntsu.idm.oclc.org/login?url=https://www.airitibooks.com/Detail/Detail?PublicationID=P20170227032")</f>
        <v>https://ntsu.idm.oclc.org/login?url=https://www.airitibooks.com/Detail/Detail?PublicationID=P20170227032</v>
      </c>
    </row>
    <row r="2884" spans="1:11" ht="51" x14ac:dyDescent="0.4">
      <c r="A2884" s="10" t="s">
        <v>6260</v>
      </c>
      <c r="B2884" s="10" t="s">
        <v>6261</v>
      </c>
      <c r="C2884" s="10" t="s">
        <v>661</v>
      </c>
      <c r="D2884" s="10" t="s">
        <v>6262</v>
      </c>
      <c r="E2884" s="10" t="s">
        <v>4129</v>
      </c>
      <c r="F2884" s="10" t="s">
        <v>6263</v>
      </c>
      <c r="G2884" s="10" t="s">
        <v>76</v>
      </c>
      <c r="H2884" s="7" t="s">
        <v>24</v>
      </c>
      <c r="I2884" s="7" t="s">
        <v>25</v>
      </c>
      <c r="J2884" s="13" t="str">
        <f>HYPERLINK("https://www.airitibooks.com/Detail/Detail?PublicationID=P20170227072", "https://www.airitibooks.com/Detail/Detail?PublicationID=P20170227072")</f>
        <v>https://www.airitibooks.com/Detail/Detail?PublicationID=P20170227072</v>
      </c>
      <c r="K2884" s="13" t="str">
        <f>HYPERLINK("https://ntsu.idm.oclc.org/login?url=https://www.airitibooks.com/Detail/Detail?PublicationID=P20170227072", "https://ntsu.idm.oclc.org/login?url=https://www.airitibooks.com/Detail/Detail?PublicationID=P20170227072")</f>
        <v>https://ntsu.idm.oclc.org/login?url=https://www.airitibooks.com/Detail/Detail?PublicationID=P20170227072</v>
      </c>
    </row>
    <row r="2885" spans="1:11" ht="51" x14ac:dyDescent="0.4">
      <c r="A2885" s="10" t="s">
        <v>6305</v>
      </c>
      <c r="B2885" s="10" t="s">
        <v>6306</v>
      </c>
      <c r="C2885" s="10" t="s">
        <v>4803</v>
      </c>
      <c r="D2885" s="10" t="s">
        <v>6307</v>
      </c>
      <c r="E2885" s="10" t="s">
        <v>4129</v>
      </c>
      <c r="F2885" s="10" t="s">
        <v>1111</v>
      </c>
      <c r="G2885" s="10" t="s">
        <v>76</v>
      </c>
      <c r="H2885" s="7" t="s">
        <v>24</v>
      </c>
      <c r="I2885" s="7" t="s">
        <v>25</v>
      </c>
      <c r="J2885" s="13" t="str">
        <f>HYPERLINK("https://www.airitibooks.com/Detail/Detail?PublicationID=P20170316041", "https://www.airitibooks.com/Detail/Detail?PublicationID=P20170316041")</f>
        <v>https://www.airitibooks.com/Detail/Detail?PublicationID=P20170316041</v>
      </c>
      <c r="K2885" s="13" t="str">
        <f>HYPERLINK("https://ntsu.idm.oclc.org/login?url=https://www.airitibooks.com/Detail/Detail?PublicationID=P20170316041", "https://ntsu.idm.oclc.org/login?url=https://www.airitibooks.com/Detail/Detail?PublicationID=P20170316041")</f>
        <v>https://ntsu.idm.oclc.org/login?url=https://www.airitibooks.com/Detail/Detail?PublicationID=P20170316041</v>
      </c>
    </row>
    <row r="2886" spans="1:11" ht="51" x14ac:dyDescent="0.4">
      <c r="A2886" s="10" t="s">
        <v>6381</v>
      </c>
      <c r="B2886" s="10" t="s">
        <v>6382</v>
      </c>
      <c r="C2886" s="10" t="s">
        <v>212</v>
      </c>
      <c r="D2886" s="10" t="s">
        <v>6383</v>
      </c>
      <c r="E2886" s="10" t="s">
        <v>4129</v>
      </c>
      <c r="F2886" s="10" t="s">
        <v>294</v>
      </c>
      <c r="G2886" s="10" t="s">
        <v>76</v>
      </c>
      <c r="H2886" s="7" t="s">
        <v>24</v>
      </c>
      <c r="I2886" s="7" t="s">
        <v>25</v>
      </c>
      <c r="J2886" s="13" t="str">
        <f>HYPERLINK("https://www.airitibooks.com/Detail/Detail?PublicationID=P20170328087", "https://www.airitibooks.com/Detail/Detail?PublicationID=P20170328087")</f>
        <v>https://www.airitibooks.com/Detail/Detail?PublicationID=P20170328087</v>
      </c>
      <c r="K2886" s="13" t="str">
        <f>HYPERLINK("https://ntsu.idm.oclc.org/login?url=https://www.airitibooks.com/Detail/Detail?PublicationID=P20170328087", "https://ntsu.idm.oclc.org/login?url=https://www.airitibooks.com/Detail/Detail?PublicationID=P20170328087")</f>
        <v>https://ntsu.idm.oclc.org/login?url=https://www.airitibooks.com/Detail/Detail?PublicationID=P20170328087</v>
      </c>
    </row>
    <row r="2887" spans="1:11" ht="51" x14ac:dyDescent="0.4">
      <c r="A2887" s="10" t="s">
        <v>5355</v>
      </c>
      <c r="B2887" s="10" t="s">
        <v>6563</v>
      </c>
      <c r="C2887" s="10" t="s">
        <v>938</v>
      </c>
      <c r="D2887" s="10" t="s">
        <v>5357</v>
      </c>
      <c r="E2887" s="10" t="s">
        <v>4129</v>
      </c>
      <c r="F2887" s="10" t="s">
        <v>6564</v>
      </c>
      <c r="G2887" s="10" t="s">
        <v>76</v>
      </c>
      <c r="H2887" s="7" t="s">
        <v>24</v>
      </c>
      <c r="I2887" s="7" t="s">
        <v>25</v>
      </c>
      <c r="J2887" s="13" t="str">
        <f>HYPERLINK("https://www.airitibooks.com/Detail/Detail?PublicationID=P20170517004", "https://www.airitibooks.com/Detail/Detail?PublicationID=P20170517004")</f>
        <v>https://www.airitibooks.com/Detail/Detail?PublicationID=P20170517004</v>
      </c>
      <c r="K2887" s="13" t="str">
        <f>HYPERLINK("https://ntsu.idm.oclc.org/login?url=https://www.airitibooks.com/Detail/Detail?PublicationID=P20170517004", "https://ntsu.idm.oclc.org/login?url=https://www.airitibooks.com/Detail/Detail?PublicationID=P20170517004")</f>
        <v>https://ntsu.idm.oclc.org/login?url=https://www.airitibooks.com/Detail/Detail?PublicationID=P20170517004</v>
      </c>
    </row>
    <row r="2888" spans="1:11" ht="51" x14ac:dyDescent="0.4">
      <c r="A2888" s="10" t="s">
        <v>6565</v>
      </c>
      <c r="B2888" s="10" t="s">
        <v>6566</v>
      </c>
      <c r="C2888" s="10" t="s">
        <v>938</v>
      </c>
      <c r="D2888" s="10" t="s">
        <v>6567</v>
      </c>
      <c r="E2888" s="10" t="s">
        <v>4129</v>
      </c>
      <c r="F2888" s="10" t="s">
        <v>5299</v>
      </c>
      <c r="G2888" s="10" t="s">
        <v>76</v>
      </c>
      <c r="H2888" s="7" t="s">
        <v>24</v>
      </c>
      <c r="I2888" s="7" t="s">
        <v>25</v>
      </c>
      <c r="J2888" s="13" t="str">
        <f>HYPERLINK("https://www.airitibooks.com/Detail/Detail?PublicationID=P20170517005", "https://www.airitibooks.com/Detail/Detail?PublicationID=P20170517005")</f>
        <v>https://www.airitibooks.com/Detail/Detail?PublicationID=P20170517005</v>
      </c>
      <c r="K2888" s="13" t="str">
        <f>HYPERLINK("https://ntsu.idm.oclc.org/login?url=https://www.airitibooks.com/Detail/Detail?PublicationID=P20170517005", "https://ntsu.idm.oclc.org/login?url=https://www.airitibooks.com/Detail/Detail?PublicationID=P20170517005")</f>
        <v>https://ntsu.idm.oclc.org/login?url=https://www.airitibooks.com/Detail/Detail?PublicationID=P20170517005</v>
      </c>
    </row>
    <row r="2889" spans="1:11" ht="51" x14ac:dyDescent="0.4">
      <c r="A2889" s="10" t="s">
        <v>6592</v>
      </c>
      <c r="B2889" s="10" t="s">
        <v>6593</v>
      </c>
      <c r="C2889" s="10" t="s">
        <v>938</v>
      </c>
      <c r="D2889" s="10" t="s">
        <v>6594</v>
      </c>
      <c r="E2889" s="10" t="s">
        <v>4129</v>
      </c>
      <c r="F2889" s="10" t="s">
        <v>6595</v>
      </c>
      <c r="G2889" s="10" t="s">
        <v>76</v>
      </c>
      <c r="H2889" s="7" t="s">
        <v>24</v>
      </c>
      <c r="I2889" s="7" t="s">
        <v>25</v>
      </c>
      <c r="J2889" s="13" t="str">
        <f>HYPERLINK("https://www.airitibooks.com/Detail/Detail?PublicationID=P20170517031", "https://www.airitibooks.com/Detail/Detail?PublicationID=P20170517031")</f>
        <v>https://www.airitibooks.com/Detail/Detail?PublicationID=P20170517031</v>
      </c>
      <c r="K2889" s="13" t="str">
        <f>HYPERLINK("https://ntsu.idm.oclc.org/login?url=https://www.airitibooks.com/Detail/Detail?PublicationID=P20170517031", "https://ntsu.idm.oclc.org/login?url=https://www.airitibooks.com/Detail/Detail?PublicationID=P20170517031")</f>
        <v>https://ntsu.idm.oclc.org/login?url=https://www.airitibooks.com/Detail/Detail?PublicationID=P20170517031</v>
      </c>
    </row>
    <row r="2890" spans="1:11" ht="51" x14ac:dyDescent="0.4">
      <c r="A2890" s="10" t="s">
        <v>6626</v>
      </c>
      <c r="B2890" s="10" t="s">
        <v>6627</v>
      </c>
      <c r="C2890" s="10" t="s">
        <v>544</v>
      </c>
      <c r="D2890" s="10" t="s">
        <v>6628</v>
      </c>
      <c r="E2890" s="10" t="s">
        <v>4129</v>
      </c>
      <c r="F2890" s="10" t="s">
        <v>1884</v>
      </c>
      <c r="G2890" s="10" t="s">
        <v>76</v>
      </c>
      <c r="H2890" s="7" t="s">
        <v>24</v>
      </c>
      <c r="I2890" s="7" t="s">
        <v>25</v>
      </c>
      <c r="J2890" s="13" t="str">
        <f>HYPERLINK("https://www.airitibooks.com/Detail/Detail?PublicationID=P20170517127", "https://www.airitibooks.com/Detail/Detail?PublicationID=P20170517127")</f>
        <v>https://www.airitibooks.com/Detail/Detail?PublicationID=P20170517127</v>
      </c>
      <c r="K2890" s="13" t="str">
        <f>HYPERLINK("https://ntsu.idm.oclc.org/login?url=https://www.airitibooks.com/Detail/Detail?PublicationID=P20170517127", "https://ntsu.idm.oclc.org/login?url=https://www.airitibooks.com/Detail/Detail?PublicationID=P20170517127")</f>
        <v>https://ntsu.idm.oclc.org/login?url=https://www.airitibooks.com/Detail/Detail?PublicationID=P20170517127</v>
      </c>
    </row>
    <row r="2891" spans="1:11" ht="51" x14ac:dyDescent="0.4">
      <c r="A2891" s="10" t="s">
        <v>6632</v>
      </c>
      <c r="B2891" s="10" t="s">
        <v>6633</v>
      </c>
      <c r="C2891" s="10" t="s">
        <v>544</v>
      </c>
      <c r="D2891" s="10" t="s">
        <v>6634</v>
      </c>
      <c r="E2891" s="10" t="s">
        <v>4129</v>
      </c>
      <c r="F2891" s="10" t="s">
        <v>1884</v>
      </c>
      <c r="G2891" s="10" t="s">
        <v>76</v>
      </c>
      <c r="H2891" s="7" t="s">
        <v>24</v>
      </c>
      <c r="I2891" s="7" t="s">
        <v>25</v>
      </c>
      <c r="J2891" s="13" t="str">
        <f>HYPERLINK("https://www.airitibooks.com/Detail/Detail?PublicationID=P20170517133", "https://www.airitibooks.com/Detail/Detail?PublicationID=P20170517133")</f>
        <v>https://www.airitibooks.com/Detail/Detail?PublicationID=P20170517133</v>
      </c>
      <c r="K2891" s="13" t="str">
        <f>HYPERLINK("https://ntsu.idm.oclc.org/login?url=https://www.airitibooks.com/Detail/Detail?PublicationID=P20170517133", "https://ntsu.idm.oclc.org/login?url=https://www.airitibooks.com/Detail/Detail?PublicationID=P20170517133")</f>
        <v>https://ntsu.idm.oclc.org/login?url=https://www.airitibooks.com/Detail/Detail?PublicationID=P20170517133</v>
      </c>
    </row>
    <row r="2892" spans="1:11" ht="51" x14ac:dyDescent="0.4">
      <c r="A2892" s="10" t="s">
        <v>6747</v>
      </c>
      <c r="B2892" s="10" t="s">
        <v>6748</v>
      </c>
      <c r="C2892" s="10" t="s">
        <v>1253</v>
      </c>
      <c r="D2892" s="10" t="s">
        <v>6749</v>
      </c>
      <c r="E2892" s="10" t="s">
        <v>4129</v>
      </c>
      <c r="F2892" s="10" t="s">
        <v>6750</v>
      </c>
      <c r="G2892" s="10" t="s">
        <v>76</v>
      </c>
      <c r="H2892" s="7" t="s">
        <v>24</v>
      </c>
      <c r="I2892" s="7" t="s">
        <v>25</v>
      </c>
      <c r="J2892" s="13" t="str">
        <f>HYPERLINK("https://www.airitibooks.com/Detail/Detail?PublicationID=P20170531042", "https://www.airitibooks.com/Detail/Detail?PublicationID=P20170531042")</f>
        <v>https://www.airitibooks.com/Detail/Detail?PublicationID=P20170531042</v>
      </c>
      <c r="K2892" s="13" t="str">
        <f>HYPERLINK("https://ntsu.idm.oclc.org/login?url=https://www.airitibooks.com/Detail/Detail?PublicationID=P20170531042", "https://ntsu.idm.oclc.org/login?url=https://www.airitibooks.com/Detail/Detail?PublicationID=P20170531042")</f>
        <v>https://ntsu.idm.oclc.org/login?url=https://www.airitibooks.com/Detail/Detail?PublicationID=P20170531042</v>
      </c>
    </row>
    <row r="2893" spans="1:11" ht="51" x14ac:dyDescent="0.4">
      <c r="A2893" s="10" t="s">
        <v>6751</v>
      </c>
      <c r="B2893" s="10" t="s">
        <v>6752</v>
      </c>
      <c r="C2893" s="10" t="s">
        <v>1253</v>
      </c>
      <c r="D2893" s="10" t="s">
        <v>6753</v>
      </c>
      <c r="E2893" s="10" t="s">
        <v>4129</v>
      </c>
      <c r="F2893" s="10" t="s">
        <v>6750</v>
      </c>
      <c r="G2893" s="10" t="s">
        <v>76</v>
      </c>
      <c r="H2893" s="7" t="s">
        <v>24</v>
      </c>
      <c r="I2893" s="7" t="s">
        <v>25</v>
      </c>
      <c r="J2893" s="13" t="str">
        <f>HYPERLINK("https://www.airitibooks.com/Detail/Detail?PublicationID=P20170531053", "https://www.airitibooks.com/Detail/Detail?PublicationID=P20170531053")</f>
        <v>https://www.airitibooks.com/Detail/Detail?PublicationID=P20170531053</v>
      </c>
      <c r="K2893" s="13" t="str">
        <f>HYPERLINK("https://ntsu.idm.oclc.org/login?url=https://www.airitibooks.com/Detail/Detail?PublicationID=P20170531053", "https://ntsu.idm.oclc.org/login?url=https://www.airitibooks.com/Detail/Detail?PublicationID=P20170531053")</f>
        <v>https://ntsu.idm.oclc.org/login?url=https://www.airitibooks.com/Detail/Detail?PublicationID=P20170531053</v>
      </c>
    </row>
    <row r="2894" spans="1:11" ht="51" x14ac:dyDescent="0.4">
      <c r="A2894" s="10" t="s">
        <v>6754</v>
      </c>
      <c r="B2894" s="10" t="s">
        <v>6755</v>
      </c>
      <c r="C2894" s="10" t="s">
        <v>1253</v>
      </c>
      <c r="D2894" s="10" t="s">
        <v>6756</v>
      </c>
      <c r="E2894" s="10" t="s">
        <v>4129</v>
      </c>
      <c r="F2894" s="10" t="s">
        <v>6750</v>
      </c>
      <c r="G2894" s="10" t="s">
        <v>76</v>
      </c>
      <c r="H2894" s="7" t="s">
        <v>24</v>
      </c>
      <c r="I2894" s="7" t="s">
        <v>25</v>
      </c>
      <c r="J2894" s="13" t="str">
        <f>HYPERLINK("https://www.airitibooks.com/Detail/Detail?PublicationID=P20170531055", "https://www.airitibooks.com/Detail/Detail?PublicationID=P20170531055")</f>
        <v>https://www.airitibooks.com/Detail/Detail?PublicationID=P20170531055</v>
      </c>
      <c r="K2894" s="13" t="str">
        <f>HYPERLINK("https://ntsu.idm.oclc.org/login?url=https://www.airitibooks.com/Detail/Detail?PublicationID=P20170531055", "https://ntsu.idm.oclc.org/login?url=https://www.airitibooks.com/Detail/Detail?PublicationID=P20170531055")</f>
        <v>https://ntsu.idm.oclc.org/login?url=https://www.airitibooks.com/Detail/Detail?PublicationID=P20170531055</v>
      </c>
    </row>
    <row r="2895" spans="1:11" ht="68" x14ac:dyDescent="0.4">
      <c r="A2895" s="10" t="s">
        <v>6926</v>
      </c>
      <c r="B2895" s="10" t="s">
        <v>6927</v>
      </c>
      <c r="C2895" s="10" t="s">
        <v>1504</v>
      </c>
      <c r="D2895" s="10" t="s">
        <v>6928</v>
      </c>
      <c r="E2895" s="10" t="s">
        <v>4129</v>
      </c>
      <c r="F2895" s="10" t="s">
        <v>6359</v>
      </c>
      <c r="G2895" s="10" t="s">
        <v>76</v>
      </c>
      <c r="H2895" s="7" t="s">
        <v>24</v>
      </c>
      <c r="I2895" s="7" t="s">
        <v>25</v>
      </c>
      <c r="J2895" s="13" t="str">
        <f>HYPERLINK("https://www.airitibooks.com/Detail/Detail?PublicationID=P20170706075", "https://www.airitibooks.com/Detail/Detail?PublicationID=P20170706075")</f>
        <v>https://www.airitibooks.com/Detail/Detail?PublicationID=P20170706075</v>
      </c>
      <c r="K2895" s="13" t="str">
        <f>HYPERLINK("https://ntsu.idm.oclc.org/login?url=https://www.airitibooks.com/Detail/Detail?PublicationID=P20170706075", "https://ntsu.idm.oclc.org/login?url=https://www.airitibooks.com/Detail/Detail?PublicationID=P20170706075")</f>
        <v>https://ntsu.idm.oclc.org/login?url=https://www.airitibooks.com/Detail/Detail?PublicationID=P20170706075</v>
      </c>
    </row>
    <row r="2896" spans="1:11" ht="51" x14ac:dyDescent="0.4">
      <c r="A2896" s="10" t="s">
        <v>6984</v>
      </c>
      <c r="B2896" s="10" t="s">
        <v>6985</v>
      </c>
      <c r="C2896" s="10" t="s">
        <v>1504</v>
      </c>
      <c r="D2896" s="10" t="s">
        <v>6986</v>
      </c>
      <c r="E2896" s="10" t="s">
        <v>4129</v>
      </c>
      <c r="F2896" s="10" t="s">
        <v>5097</v>
      </c>
      <c r="G2896" s="10" t="s">
        <v>76</v>
      </c>
      <c r="H2896" s="7" t="s">
        <v>24</v>
      </c>
      <c r="I2896" s="7" t="s">
        <v>25</v>
      </c>
      <c r="J2896" s="13" t="str">
        <f>HYPERLINK("https://www.airitibooks.com/Detail/Detail?PublicationID=P20170706113", "https://www.airitibooks.com/Detail/Detail?PublicationID=P20170706113")</f>
        <v>https://www.airitibooks.com/Detail/Detail?PublicationID=P20170706113</v>
      </c>
      <c r="K2896" s="13" t="str">
        <f>HYPERLINK("https://ntsu.idm.oclc.org/login?url=https://www.airitibooks.com/Detail/Detail?PublicationID=P20170706113", "https://ntsu.idm.oclc.org/login?url=https://www.airitibooks.com/Detail/Detail?PublicationID=P20170706113")</f>
        <v>https://ntsu.idm.oclc.org/login?url=https://www.airitibooks.com/Detail/Detail?PublicationID=P20170706113</v>
      </c>
    </row>
    <row r="2897" spans="1:11" ht="68" x14ac:dyDescent="0.4">
      <c r="A2897" s="10" t="s">
        <v>7083</v>
      </c>
      <c r="B2897" s="10" t="s">
        <v>7084</v>
      </c>
      <c r="C2897" s="10" t="s">
        <v>7085</v>
      </c>
      <c r="D2897" s="10" t="s">
        <v>7086</v>
      </c>
      <c r="E2897" s="10" t="s">
        <v>4129</v>
      </c>
      <c r="F2897" s="10" t="s">
        <v>7087</v>
      </c>
      <c r="G2897" s="10" t="s">
        <v>76</v>
      </c>
      <c r="H2897" s="7" t="s">
        <v>24</v>
      </c>
      <c r="I2897" s="7" t="s">
        <v>25</v>
      </c>
      <c r="J2897" s="13" t="str">
        <f>HYPERLINK("https://www.airitibooks.com/Detail/Detail?PublicationID=P20170929065", "https://www.airitibooks.com/Detail/Detail?PublicationID=P20170929065")</f>
        <v>https://www.airitibooks.com/Detail/Detail?PublicationID=P20170929065</v>
      </c>
      <c r="K2897" s="13" t="str">
        <f>HYPERLINK("https://ntsu.idm.oclc.org/login?url=https://www.airitibooks.com/Detail/Detail?PublicationID=P20170929065", "https://ntsu.idm.oclc.org/login?url=https://www.airitibooks.com/Detail/Detail?PublicationID=P20170929065")</f>
        <v>https://ntsu.idm.oclc.org/login?url=https://www.airitibooks.com/Detail/Detail?PublicationID=P20170929065</v>
      </c>
    </row>
    <row r="2898" spans="1:11" ht="51" x14ac:dyDescent="0.4">
      <c r="A2898" s="10" t="s">
        <v>7256</v>
      </c>
      <c r="B2898" s="10" t="s">
        <v>7257</v>
      </c>
      <c r="C2898" s="10" t="s">
        <v>3832</v>
      </c>
      <c r="D2898" s="10" t="s">
        <v>7258</v>
      </c>
      <c r="E2898" s="10" t="s">
        <v>4129</v>
      </c>
      <c r="F2898" s="10" t="s">
        <v>7259</v>
      </c>
      <c r="G2898" s="10" t="s">
        <v>76</v>
      </c>
      <c r="H2898" s="7" t="s">
        <v>24</v>
      </c>
      <c r="I2898" s="7" t="s">
        <v>25</v>
      </c>
      <c r="J2898" s="13" t="str">
        <f>HYPERLINK("https://www.airitibooks.com/Detail/Detail?PublicationID=P20170929396", "https://www.airitibooks.com/Detail/Detail?PublicationID=P20170929396")</f>
        <v>https://www.airitibooks.com/Detail/Detail?PublicationID=P20170929396</v>
      </c>
      <c r="K2898" s="13" t="str">
        <f>HYPERLINK("https://ntsu.idm.oclc.org/login?url=https://www.airitibooks.com/Detail/Detail?PublicationID=P20170929396", "https://ntsu.idm.oclc.org/login?url=https://www.airitibooks.com/Detail/Detail?PublicationID=P20170929396")</f>
        <v>https://ntsu.idm.oclc.org/login?url=https://www.airitibooks.com/Detail/Detail?PublicationID=P20170929396</v>
      </c>
    </row>
    <row r="2899" spans="1:11" ht="51" x14ac:dyDescent="0.4">
      <c r="A2899" s="10" t="s">
        <v>7745</v>
      </c>
      <c r="B2899" s="10" t="s">
        <v>7746</v>
      </c>
      <c r="C2899" s="10" t="s">
        <v>467</v>
      </c>
      <c r="D2899" s="10" t="s">
        <v>7747</v>
      </c>
      <c r="E2899" s="10" t="s">
        <v>4129</v>
      </c>
      <c r="F2899" s="10" t="s">
        <v>4147</v>
      </c>
      <c r="G2899" s="10" t="s">
        <v>76</v>
      </c>
      <c r="H2899" s="7" t="s">
        <v>24</v>
      </c>
      <c r="I2899" s="7" t="s">
        <v>25</v>
      </c>
      <c r="J2899" s="13" t="str">
        <f>HYPERLINK("https://www.airitibooks.com/Detail/Detail?PublicationID=P20171118275", "https://www.airitibooks.com/Detail/Detail?PublicationID=P20171118275")</f>
        <v>https://www.airitibooks.com/Detail/Detail?PublicationID=P20171118275</v>
      </c>
      <c r="K2899" s="13" t="str">
        <f>HYPERLINK("https://ntsu.idm.oclc.org/login?url=https://www.airitibooks.com/Detail/Detail?PublicationID=P20171118275", "https://ntsu.idm.oclc.org/login?url=https://www.airitibooks.com/Detail/Detail?PublicationID=P20171118275")</f>
        <v>https://ntsu.idm.oclc.org/login?url=https://www.airitibooks.com/Detail/Detail?PublicationID=P20171118275</v>
      </c>
    </row>
    <row r="2900" spans="1:11" ht="51" x14ac:dyDescent="0.4">
      <c r="A2900" s="10" t="s">
        <v>8059</v>
      </c>
      <c r="B2900" s="10" t="s">
        <v>8060</v>
      </c>
      <c r="C2900" s="10" t="s">
        <v>990</v>
      </c>
      <c r="D2900" s="10" t="s">
        <v>8061</v>
      </c>
      <c r="E2900" s="10" t="s">
        <v>4129</v>
      </c>
      <c r="F2900" s="10" t="s">
        <v>8062</v>
      </c>
      <c r="G2900" s="10" t="s">
        <v>76</v>
      </c>
      <c r="H2900" s="7" t="s">
        <v>24</v>
      </c>
      <c r="I2900" s="7" t="s">
        <v>25</v>
      </c>
      <c r="J2900" s="13" t="str">
        <f>HYPERLINK("https://www.airitibooks.com/Detail/Detail?PublicationID=P20171211021", "https://www.airitibooks.com/Detail/Detail?PublicationID=P20171211021")</f>
        <v>https://www.airitibooks.com/Detail/Detail?PublicationID=P20171211021</v>
      </c>
      <c r="K2900" s="13" t="str">
        <f>HYPERLINK("https://ntsu.idm.oclc.org/login?url=https://www.airitibooks.com/Detail/Detail?PublicationID=P20171211021", "https://ntsu.idm.oclc.org/login?url=https://www.airitibooks.com/Detail/Detail?PublicationID=P20171211021")</f>
        <v>https://ntsu.idm.oclc.org/login?url=https://www.airitibooks.com/Detail/Detail?PublicationID=P20171211021</v>
      </c>
    </row>
    <row r="2901" spans="1:11" ht="51" x14ac:dyDescent="0.4">
      <c r="A2901" s="10" t="s">
        <v>8734</v>
      </c>
      <c r="B2901" s="10" t="s">
        <v>8735</v>
      </c>
      <c r="C2901" s="10" t="s">
        <v>990</v>
      </c>
      <c r="D2901" s="10" t="s">
        <v>8736</v>
      </c>
      <c r="E2901" s="10" t="s">
        <v>4129</v>
      </c>
      <c r="F2901" s="10" t="s">
        <v>8737</v>
      </c>
      <c r="G2901" s="10" t="s">
        <v>76</v>
      </c>
      <c r="H2901" s="7" t="s">
        <v>24</v>
      </c>
      <c r="I2901" s="7" t="s">
        <v>25</v>
      </c>
      <c r="J2901" s="13" t="str">
        <f>HYPERLINK("https://www.airitibooks.com/Detail/Detail?PublicationID=P20180313002", "https://www.airitibooks.com/Detail/Detail?PublicationID=P20180313002")</f>
        <v>https://www.airitibooks.com/Detail/Detail?PublicationID=P20180313002</v>
      </c>
      <c r="K2901" s="13" t="str">
        <f>HYPERLINK("https://ntsu.idm.oclc.org/login?url=https://www.airitibooks.com/Detail/Detail?PublicationID=P20180313002", "https://ntsu.idm.oclc.org/login?url=https://www.airitibooks.com/Detail/Detail?PublicationID=P20180313002")</f>
        <v>https://ntsu.idm.oclc.org/login?url=https://www.airitibooks.com/Detail/Detail?PublicationID=P20180313002</v>
      </c>
    </row>
    <row r="2902" spans="1:11" ht="119" x14ac:dyDescent="0.4">
      <c r="A2902" s="10" t="s">
        <v>9122</v>
      </c>
      <c r="B2902" s="10" t="s">
        <v>9123</v>
      </c>
      <c r="C2902" s="10" t="s">
        <v>791</v>
      </c>
      <c r="D2902" s="10" t="s">
        <v>9124</v>
      </c>
      <c r="E2902" s="10" t="s">
        <v>4129</v>
      </c>
      <c r="F2902" s="10" t="s">
        <v>9125</v>
      </c>
      <c r="G2902" s="10" t="s">
        <v>76</v>
      </c>
      <c r="H2902" s="7" t="s">
        <v>24</v>
      </c>
      <c r="I2902" s="7" t="s">
        <v>25</v>
      </c>
      <c r="J2902" s="13" t="str">
        <f>HYPERLINK("https://www.airitibooks.com/Detail/Detail?PublicationID=P20180427044", "https://www.airitibooks.com/Detail/Detail?PublicationID=P20180427044")</f>
        <v>https://www.airitibooks.com/Detail/Detail?PublicationID=P20180427044</v>
      </c>
      <c r="K2902" s="13" t="str">
        <f>HYPERLINK("https://ntsu.idm.oclc.org/login?url=https://www.airitibooks.com/Detail/Detail?PublicationID=P20180427044", "https://ntsu.idm.oclc.org/login?url=https://www.airitibooks.com/Detail/Detail?PublicationID=P20180427044")</f>
        <v>https://ntsu.idm.oclc.org/login?url=https://www.airitibooks.com/Detail/Detail?PublicationID=P20180427044</v>
      </c>
    </row>
    <row r="2903" spans="1:11" ht="51" x14ac:dyDescent="0.4">
      <c r="A2903" s="10" t="s">
        <v>9143</v>
      </c>
      <c r="B2903" s="10" t="s">
        <v>9144</v>
      </c>
      <c r="C2903" s="10" t="s">
        <v>9145</v>
      </c>
      <c r="D2903" s="10" t="s">
        <v>9146</v>
      </c>
      <c r="E2903" s="10" t="s">
        <v>4129</v>
      </c>
      <c r="F2903" s="10" t="s">
        <v>774</v>
      </c>
      <c r="G2903" s="10" t="s">
        <v>76</v>
      </c>
      <c r="H2903" s="7" t="s">
        <v>24</v>
      </c>
      <c r="I2903" s="7" t="s">
        <v>25</v>
      </c>
      <c r="J2903" s="13" t="str">
        <f>HYPERLINK("https://www.airitibooks.com/Detail/Detail?PublicationID=P20180508007", "https://www.airitibooks.com/Detail/Detail?PublicationID=P20180508007")</f>
        <v>https://www.airitibooks.com/Detail/Detail?PublicationID=P20180508007</v>
      </c>
      <c r="K2903" s="13" t="str">
        <f>HYPERLINK("https://ntsu.idm.oclc.org/login?url=https://www.airitibooks.com/Detail/Detail?PublicationID=P20180508007", "https://ntsu.idm.oclc.org/login?url=https://www.airitibooks.com/Detail/Detail?PublicationID=P20180508007")</f>
        <v>https://ntsu.idm.oclc.org/login?url=https://www.airitibooks.com/Detail/Detail?PublicationID=P20180508007</v>
      </c>
    </row>
    <row r="2904" spans="1:11" ht="51" x14ac:dyDescent="0.4">
      <c r="A2904" s="10" t="s">
        <v>9197</v>
      </c>
      <c r="B2904" s="10" t="s">
        <v>9198</v>
      </c>
      <c r="C2904" s="10" t="s">
        <v>3705</v>
      </c>
      <c r="D2904" s="10" t="s">
        <v>9199</v>
      </c>
      <c r="E2904" s="10" t="s">
        <v>4129</v>
      </c>
      <c r="F2904" s="10" t="s">
        <v>9200</v>
      </c>
      <c r="G2904" s="10" t="s">
        <v>76</v>
      </c>
      <c r="H2904" s="7" t="s">
        <v>24</v>
      </c>
      <c r="I2904" s="7" t="s">
        <v>25</v>
      </c>
      <c r="J2904" s="13" t="str">
        <f>HYPERLINK("https://www.airitibooks.com/Detail/Detail?PublicationID=P20180511062", "https://www.airitibooks.com/Detail/Detail?PublicationID=P20180511062")</f>
        <v>https://www.airitibooks.com/Detail/Detail?PublicationID=P20180511062</v>
      </c>
      <c r="K2904" s="13" t="str">
        <f>HYPERLINK("https://ntsu.idm.oclc.org/login?url=https://www.airitibooks.com/Detail/Detail?PublicationID=P20180511062", "https://ntsu.idm.oclc.org/login?url=https://www.airitibooks.com/Detail/Detail?PublicationID=P20180511062")</f>
        <v>https://ntsu.idm.oclc.org/login?url=https://www.airitibooks.com/Detail/Detail?PublicationID=P20180511062</v>
      </c>
    </row>
    <row r="2905" spans="1:11" ht="51" x14ac:dyDescent="0.4">
      <c r="A2905" s="10" t="s">
        <v>9201</v>
      </c>
      <c r="B2905" s="10" t="s">
        <v>9202</v>
      </c>
      <c r="C2905" s="10" t="s">
        <v>3705</v>
      </c>
      <c r="D2905" s="10" t="s">
        <v>9203</v>
      </c>
      <c r="E2905" s="10" t="s">
        <v>4129</v>
      </c>
      <c r="F2905" s="10" t="s">
        <v>9204</v>
      </c>
      <c r="G2905" s="10" t="s">
        <v>76</v>
      </c>
      <c r="H2905" s="7" t="s">
        <v>24</v>
      </c>
      <c r="I2905" s="7" t="s">
        <v>25</v>
      </c>
      <c r="J2905" s="13" t="str">
        <f>HYPERLINK("https://www.airitibooks.com/Detail/Detail?PublicationID=P20180511063", "https://www.airitibooks.com/Detail/Detail?PublicationID=P20180511063")</f>
        <v>https://www.airitibooks.com/Detail/Detail?PublicationID=P20180511063</v>
      </c>
      <c r="K2905" s="13" t="str">
        <f>HYPERLINK("https://ntsu.idm.oclc.org/login?url=https://www.airitibooks.com/Detail/Detail?PublicationID=P20180511063", "https://ntsu.idm.oclc.org/login?url=https://www.airitibooks.com/Detail/Detail?PublicationID=P20180511063")</f>
        <v>https://ntsu.idm.oclc.org/login?url=https://www.airitibooks.com/Detail/Detail?PublicationID=P20180511063</v>
      </c>
    </row>
    <row r="2906" spans="1:11" ht="51" x14ac:dyDescent="0.4">
      <c r="A2906" s="10" t="s">
        <v>9205</v>
      </c>
      <c r="B2906" s="10" t="s">
        <v>9206</v>
      </c>
      <c r="C2906" s="10" t="s">
        <v>3705</v>
      </c>
      <c r="D2906" s="10" t="s">
        <v>9207</v>
      </c>
      <c r="E2906" s="10" t="s">
        <v>4129</v>
      </c>
      <c r="F2906" s="10" t="s">
        <v>3727</v>
      </c>
      <c r="G2906" s="10" t="s">
        <v>76</v>
      </c>
      <c r="H2906" s="7" t="s">
        <v>24</v>
      </c>
      <c r="I2906" s="7" t="s">
        <v>25</v>
      </c>
      <c r="J2906" s="13" t="str">
        <f>HYPERLINK("https://www.airitibooks.com/Detail/Detail?PublicationID=P20180511064", "https://www.airitibooks.com/Detail/Detail?PublicationID=P20180511064")</f>
        <v>https://www.airitibooks.com/Detail/Detail?PublicationID=P20180511064</v>
      </c>
      <c r="K2906" s="13" t="str">
        <f>HYPERLINK("https://ntsu.idm.oclc.org/login?url=https://www.airitibooks.com/Detail/Detail?PublicationID=P20180511064", "https://ntsu.idm.oclc.org/login?url=https://www.airitibooks.com/Detail/Detail?PublicationID=P20180511064")</f>
        <v>https://ntsu.idm.oclc.org/login?url=https://www.airitibooks.com/Detail/Detail?PublicationID=P20180511064</v>
      </c>
    </row>
    <row r="2907" spans="1:11" ht="51" x14ac:dyDescent="0.4">
      <c r="A2907" s="10" t="s">
        <v>9370</v>
      </c>
      <c r="B2907" s="10" t="s">
        <v>9371</v>
      </c>
      <c r="C2907" s="10" t="s">
        <v>467</v>
      </c>
      <c r="D2907" s="10" t="s">
        <v>9372</v>
      </c>
      <c r="E2907" s="10" t="s">
        <v>4129</v>
      </c>
      <c r="F2907" s="10" t="s">
        <v>9373</v>
      </c>
      <c r="G2907" s="10" t="s">
        <v>76</v>
      </c>
      <c r="H2907" s="7" t="s">
        <v>24</v>
      </c>
      <c r="I2907" s="7" t="s">
        <v>25</v>
      </c>
      <c r="J2907" s="13" t="str">
        <f>HYPERLINK("https://www.airitibooks.com/Detail/Detail?PublicationID=P20180604034", "https://www.airitibooks.com/Detail/Detail?PublicationID=P20180604034")</f>
        <v>https://www.airitibooks.com/Detail/Detail?PublicationID=P20180604034</v>
      </c>
      <c r="K2907" s="13" t="str">
        <f>HYPERLINK("https://ntsu.idm.oclc.org/login?url=https://www.airitibooks.com/Detail/Detail?PublicationID=P20180604034", "https://ntsu.idm.oclc.org/login?url=https://www.airitibooks.com/Detail/Detail?PublicationID=P20180604034")</f>
        <v>https://ntsu.idm.oclc.org/login?url=https://www.airitibooks.com/Detail/Detail?PublicationID=P20180604034</v>
      </c>
    </row>
    <row r="2908" spans="1:11" ht="51" x14ac:dyDescent="0.4">
      <c r="A2908" s="10" t="s">
        <v>9634</v>
      </c>
      <c r="B2908" s="10" t="s">
        <v>9635</v>
      </c>
      <c r="C2908" s="10" t="s">
        <v>1047</v>
      </c>
      <c r="D2908" s="10" t="s">
        <v>9636</v>
      </c>
      <c r="E2908" s="10" t="s">
        <v>4129</v>
      </c>
      <c r="F2908" s="10" t="s">
        <v>9637</v>
      </c>
      <c r="G2908" s="10" t="s">
        <v>76</v>
      </c>
      <c r="H2908" s="7" t="s">
        <v>24</v>
      </c>
      <c r="I2908" s="7" t="s">
        <v>25</v>
      </c>
      <c r="J2908" s="13" t="str">
        <f>HYPERLINK("https://www.airitibooks.com/Detail/Detail?PublicationID=P20180809193", "https://www.airitibooks.com/Detail/Detail?PublicationID=P20180809193")</f>
        <v>https://www.airitibooks.com/Detail/Detail?PublicationID=P20180809193</v>
      </c>
      <c r="K2908" s="13" t="str">
        <f>HYPERLINK("https://ntsu.idm.oclc.org/login?url=https://www.airitibooks.com/Detail/Detail?PublicationID=P20180809193", "https://ntsu.idm.oclc.org/login?url=https://www.airitibooks.com/Detail/Detail?PublicationID=P20180809193")</f>
        <v>https://ntsu.idm.oclc.org/login?url=https://www.airitibooks.com/Detail/Detail?PublicationID=P20180809193</v>
      </c>
    </row>
    <row r="2909" spans="1:11" ht="51" x14ac:dyDescent="0.4">
      <c r="A2909" s="10" t="s">
        <v>9658</v>
      </c>
      <c r="B2909" s="10" t="s">
        <v>9659</v>
      </c>
      <c r="C2909" s="10" t="s">
        <v>240</v>
      </c>
      <c r="D2909" s="10" t="s">
        <v>9660</v>
      </c>
      <c r="E2909" s="10" t="s">
        <v>4129</v>
      </c>
      <c r="F2909" s="10" t="s">
        <v>9661</v>
      </c>
      <c r="G2909" s="10" t="s">
        <v>76</v>
      </c>
      <c r="H2909" s="7" t="s">
        <v>24</v>
      </c>
      <c r="I2909" s="7" t="s">
        <v>25</v>
      </c>
      <c r="J2909" s="13" t="str">
        <f>HYPERLINK("https://www.airitibooks.com/Detail/Detail?PublicationID=P20180814089", "https://www.airitibooks.com/Detail/Detail?PublicationID=P20180814089")</f>
        <v>https://www.airitibooks.com/Detail/Detail?PublicationID=P20180814089</v>
      </c>
      <c r="K2909" s="13" t="str">
        <f>HYPERLINK("https://ntsu.idm.oclc.org/login?url=https://www.airitibooks.com/Detail/Detail?PublicationID=P20180814089", "https://ntsu.idm.oclc.org/login?url=https://www.airitibooks.com/Detail/Detail?PublicationID=P20180814089")</f>
        <v>https://ntsu.idm.oclc.org/login?url=https://www.airitibooks.com/Detail/Detail?PublicationID=P20180814089</v>
      </c>
    </row>
    <row r="2910" spans="1:11" ht="51" x14ac:dyDescent="0.4">
      <c r="A2910" s="10" t="s">
        <v>9685</v>
      </c>
      <c r="B2910" s="10" t="s">
        <v>9686</v>
      </c>
      <c r="C2910" s="10" t="s">
        <v>568</v>
      </c>
      <c r="D2910" s="10" t="s">
        <v>9687</v>
      </c>
      <c r="E2910" s="10" t="s">
        <v>4129</v>
      </c>
      <c r="F2910" s="10" t="s">
        <v>224</v>
      </c>
      <c r="G2910" s="10" t="s">
        <v>76</v>
      </c>
      <c r="H2910" s="7" t="s">
        <v>24</v>
      </c>
      <c r="I2910" s="7" t="s">
        <v>25</v>
      </c>
      <c r="J2910" s="13" t="str">
        <f>HYPERLINK("https://www.airitibooks.com/Detail/Detail?PublicationID=P20180816014", "https://www.airitibooks.com/Detail/Detail?PublicationID=P20180816014")</f>
        <v>https://www.airitibooks.com/Detail/Detail?PublicationID=P20180816014</v>
      </c>
      <c r="K2910" s="13" t="str">
        <f>HYPERLINK("https://ntsu.idm.oclc.org/login?url=https://www.airitibooks.com/Detail/Detail?PublicationID=P20180816014", "https://ntsu.idm.oclc.org/login?url=https://www.airitibooks.com/Detail/Detail?PublicationID=P20180816014")</f>
        <v>https://ntsu.idm.oclc.org/login?url=https://www.airitibooks.com/Detail/Detail?PublicationID=P20180816014</v>
      </c>
    </row>
    <row r="2911" spans="1:11" ht="51" x14ac:dyDescent="0.4">
      <c r="A2911" s="10" t="s">
        <v>10111</v>
      </c>
      <c r="B2911" s="10" t="s">
        <v>10112</v>
      </c>
      <c r="C2911" s="10" t="s">
        <v>9828</v>
      </c>
      <c r="D2911" s="10" t="s">
        <v>10113</v>
      </c>
      <c r="E2911" s="10" t="s">
        <v>4129</v>
      </c>
      <c r="F2911" s="10" t="s">
        <v>2332</v>
      </c>
      <c r="G2911" s="10" t="s">
        <v>76</v>
      </c>
      <c r="H2911" s="7" t="s">
        <v>1031</v>
      </c>
      <c r="I2911" s="7" t="s">
        <v>25</v>
      </c>
      <c r="J2911" s="13" t="str">
        <f>HYPERLINK("https://www.airitibooks.com/Detail/Detail?PublicationID=P20181116048", "https://www.airitibooks.com/Detail/Detail?PublicationID=P20181116048")</f>
        <v>https://www.airitibooks.com/Detail/Detail?PublicationID=P20181116048</v>
      </c>
      <c r="K2911" s="13" t="str">
        <f>HYPERLINK("https://ntsu.idm.oclc.org/login?url=https://www.airitibooks.com/Detail/Detail?PublicationID=P20181116048", "https://ntsu.idm.oclc.org/login?url=https://www.airitibooks.com/Detail/Detail?PublicationID=P20181116048")</f>
        <v>https://ntsu.idm.oclc.org/login?url=https://www.airitibooks.com/Detail/Detail?PublicationID=P20181116048</v>
      </c>
    </row>
    <row r="2912" spans="1:11" ht="51" x14ac:dyDescent="0.4">
      <c r="A2912" s="10" t="s">
        <v>10136</v>
      </c>
      <c r="B2912" s="10" t="s">
        <v>10137</v>
      </c>
      <c r="C2912" s="10" t="s">
        <v>9828</v>
      </c>
      <c r="D2912" s="10" t="s">
        <v>10138</v>
      </c>
      <c r="E2912" s="10" t="s">
        <v>4129</v>
      </c>
      <c r="F2912" s="10" t="s">
        <v>2898</v>
      </c>
      <c r="G2912" s="10" t="s">
        <v>76</v>
      </c>
      <c r="H2912" s="7" t="s">
        <v>1031</v>
      </c>
      <c r="I2912" s="7" t="s">
        <v>25</v>
      </c>
      <c r="J2912" s="13" t="str">
        <f>HYPERLINK("https://www.airitibooks.com/Detail/Detail?PublicationID=P20181120064", "https://www.airitibooks.com/Detail/Detail?PublicationID=P20181120064")</f>
        <v>https://www.airitibooks.com/Detail/Detail?PublicationID=P20181120064</v>
      </c>
      <c r="K2912" s="13" t="str">
        <f>HYPERLINK("https://ntsu.idm.oclc.org/login?url=https://www.airitibooks.com/Detail/Detail?PublicationID=P20181120064", "https://ntsu.idm.oclc.org/login?url=https://www.airitibooks.com/Detail/Detail?PublicationID=P20181120064")</f>
        <v>https://ntsu.idm.oclc.org/login?url=https://www.airitibooks.com/Detail/Detail?PublicationID=P20181120064</v>
      </c>
    </row>
    <row r="2913" spans="1:11" ht="51" x14ac:dyDescent="0.4">
      <c r="A2913" s="10" t="s">
        <v>10145</v>
      </c>
      <c r="B2913" s="10" t="s">
        <v>10146</v>
      </c>
      <c r="C2913" s="10" t="s">
        <v>9828</v>
      </c>
      <c r="D2913" s="10" t="s">
        <v>10147</v>
      </c>
      <c r="E2913" s="10" t="s">
        <v>4129</v>
      </c>
      <c r="F2913" s="10" t="s">
        <v>9821</v>
      </c>
      <c r="G2913" s="10" t="s">
        <v>76</v>
      </c>
      <c r="H2913" s="7" t="s">
        <v>1031</v>
      </c>
      <c r="I2913" s="7" t="s">
        <v>25</v>
      </c>
      <c r="J2913" s="13" t="str">
        <f>HYPERLINK("https://www.airitibooks.com/Detail/Detail?PublicationID=P20181121074", "https://www.airitibooks.com/Detail/Detail?PublicationID=P20181121074")</f>
        <v>https://www.airitibooks.com/Detail/Detail?PublicationID=P20181121074</v>
      </c>
      <c r="K2913" s="13" t="str">
        <f>HYPERLINK("https://ntsu.idm.oclc.org/login?url=https://www.airitibooks.com/Detail/Detail?PublicationID=P20181121074", "https://ntsu.idm.oclc.org/login?url=https://www.airitibooks.com/Detail/Detail?PublicationID=P20181121074")</f>
        <v>https://ntsu.idm.oclc.org/login?url=https://www.airitibooks.com/Detail/Detail?PublicationID=P20181121074</v>
      </c>
    </row>
    <row r="2914" spans="1:11" ht="51" x14ac:dyDescent="0.4">
      <c r="A2914" s="10" t="s">
        <v>10148</v>
      </c>
      <c r="B2914" s="10" t="s">
        <v>10149</v>
      </c>
      <c r="C2914" s="10" t="s">
        <v>9828</v>
      </c>
      <c r="D2914" s="10" t="s">
        <v>10150</v>
      </c>
      <c r="E2914" s="10" t="s">
        <v>4129</v>
      </c>
      <c r="F2914" s="10" t="s">
        <v>9821</v>
      </c>
      <c r="G2914" s="10" t="s">
        <v>76</v>
      </c>
      <c r="H2914" s="7" t="s">
        <v>1031</v>
      </c>
      <c r="I2914" s="7" t="s">
        <v>25</v>
      </c>
      <c r="J2914" s="13" t="str">
        <f>HYPERLINK("https://www.airitibooks.com/Detail/Detail?PublicationID=P20181121075", "https://www.airitibooks.com/Detail/Detail?PublicationID=P20181121075")</f>
        <v>https://www.airitibooks.com/Detail/Detail?PublicationID=P20181121075</v>
      </c>
      <c r="K2914" s="13" t="str">
        <f>HYPERLINK("https://ntsu.idm.oclc.org/login?url=https://www.airitibooks.com/Detail/Detail?PublicationID=P20181121075", "https://ntsu.idm.oclc.org/login?url=https://www.airitibooks.com/Detail/Detail?PublicationID=P20181121075")</f>
        <v>https://ntsu.idm.oclc.org/login?url=https://www.airitibooks.com/Detail/Detail?PublicationID=P20181121075</v>
      </c>
    </row>
    <row r="2915" spans="1:11" ht="51" x14ac:dyDescent="0.4">
      <c r="A2915" s="10" t="s">
        <v>10182</v>
      </c>
      <c r="B2915" s="10" t="s">
        <v>10183</v>
      </c>
      <c r="C2915" s="10" t="s">
        <v>9828</v>
      </c>
      <c r="D2915" s="10" t="s">
        <v>10184</v>
      </c>
      <c r="E2915" s="10" t="s">
        <v>4129</v>
      </c>
      <c r="F2915" s="10" t="s">
        <v>4606</v>
      </c>
      <c r="G2915" s="10" t="s">
        <v>76</v>
      </c>
      <c r="H2915" s="7" t="s">
        <v>1031</v>
      </c>
      <c r="I2915" s="7" t="s">
        <v>25</v>
      </c>
      <c r="J2915" s="13" t="str">
        <f>HYPERLINK("https://www.airitibooks.com/Detail/Detail?PublicationID=P20181127116", "https://www.airitibooks.com/Detail/Detail?PublicationID=P20181127116")</f>
        <v>https://www.airitibooks.com/Detail/Detail?PublicationID=P20181127116</v>
      </c>
      <c r="K2915" s="13" t="str">
        <f>HYPERLINK("https://ntsu.idm.oclc.org/login?url=https://www.airitibooks.com/Detail/Detail?PublicationID=P20181127116", "https://ntsu.idm.oclc.org/login?url=https://www.airitibooks.com/Detail/Detail?PublicationID=P20181127116")</f>
        <v>https://ntsu.idm.oclc.org/login?url=https://www.airitibooks.com/Detail/Detail?PublicationID=P20181127116</v>
      </c>
    </row>
    <row r="2916" spans="1:11" ht="85" x14ac:dyDescent="0.4">
      <c r="A2916" s="10" t="s">
        <v>10350</v>
      </c>
      <c r="B2916" s="10" t="s">
        <v>10351</v>
      </c>
      <c r="C2916" s="10" t="s">
        <v>5901</v>
      </c>
      <c r="D2916" s="10" t="s">
        <v>10352</v>
      </c>
      <c r="E2916" s="10" t="s">
        <v>4129</v>
      </c>
      <c r="F2916" s="10" t="s">
        <v>5248</v>
      </c>
      <c r="G2916" s="10" t="s">
        <v>76</v>
      </c>
      <c r="H2916" s="7" t="s">
        <v>24</v>
      </c>
      <c r="I2916" s="7" t="s">
        <v>25</v>
      </c>
      <c r="J2916" s="13" t="str">
        <f>HYPERLINK("https://www.airitibooks.com/Detail/Detail?PublicationID=P20181214030", "https://www.airitibooks.com/Detail/Detail?PublicationID=P20181214030")</f>
        <v>https://www.airitibooks.com/Detail/Detail?PublicationID=P20181214030</v>
      </c>
      <c r="K2916" s="13" t="str">
        <f>HYPERLINK("https://ntsu.idm.oclc.org/login?url=https://www.airitibooks.com/Detail/Detail?PublicationID=P20181214030", "https://ntsu.idm.oclc.org/login?url=https://www.airitibooks.com/Detail/Detail?PublicationID=P20181214030")</f>
        <v>https://ntsu.idm.oclc.org/login?url=https://www.airitibooks.com/Detail/Detail?PublicationID=P20181214030</v>
      </c>
    </row>
    <row r="2917" spans="1:11" ht="68" x14ac:dyDescent="0.4">
      <c r="A2917" s="10" t="s">
        <v>10382</v>
      </c>
      <c r="B2917" s="10" t="s">
        <v>10383</v>
      </c>
      <c r="C2917" s="10" t="s">
        <v>10384</v>
      </c>
      <c r="D2917" s="10" t="s">
        <v>10385</v>
      </c>
      <c r="E2917" s="10" t="s">
        <v>4129</v>
      </c>
      <c r="F2917" s="10" t="s">
        <v>10386</v>
      </c>
      <c r="G2917" s="10" t="s">
        <v>76</v>
      </c>
      <c r="H2917" s="7" t="s">
        <v>24</v>
      </c>
      <c r="I2917" s="7" t="s">
        <v>25</v>
      </c>
      <c r="J2917" s="13" t="str">
        <f>HYPERLINK("https://www.airitibooks.com/Detail/Detail?PublicationID=P20181220023", "https://www.airitibooks.com/Detail/Detail?PublicationID=P20181220023")</f>
        <v>https://www.airitibooks.com/Detail/Detail?PublicationID=P20181220023</v>
      </c>
      <c r="K2917" s="13" t="str">
        <f>HYPERLINK("https://ntsu.idm.oclc.org/login?url=https://www.airitibooks.com/Detail/Detail?PublicationID=P20181220023", "https://ntsu.idm.oclc.org/login?url=https://www.airitibooks.com/Detail/Detail?PublicationID=P20181220023")</f>
        <v>https://ntsu.idm.oclc.org/login?url=https://www.airitibooks.com/Detail/Detail?PublicationID=P20181220023</v>
      </c>
    </row>
    <row r="2918" spans="1:11" ht="51" x14ac:dyDescent="0.4">
      <c r="A2918" s="10" t="s">
        <v>11226</v>
      </c>
      <c r="B2918" s="10" t="s">
        <v>11227</v>
      </c>
      <c r="C2918" s="10" t="s">
        <v>11228</v>
      </c>
      <c r="D2918" s="10" t="s">
        <v>11229</v>
      </c>
      <c r="E2918" s="10" t="s">
        <v>4129</v>
      </c>
      <c r="F2918" s="10" t="s">
        <v>105</v>
      </c>
      <c r="G2918" s="10" t="s">
        <v>76</v>
      </c>
      <c r="H2918" s="7" t="s">
        <v>24</v>
      </c>
      <c r="I2918" s="7" t="s">
        <v>25</v>
      </c>
      <c r="J2918" s="13" t="str">
        <f>HYPERLINK("https://www.airitibooks.com/Detail/Detail?PublicationID=P20190503019", "https://www.airitibooks.com/Detail/Detail?PublicationID=P20190503019")</f>
        <v>https://www.airitibooks.com/Detail/Detail?PublicationID=P20190503019</v>
      </c>
      <c r="K2918" s="13" t="str">
        <f>HYPERLINK("https://ntsu.idm.oclc.org/login?url=https://www.airitibooks.com/Detail/Detail?PublicationID=P20190503019", "https://ntsu.idm.oclc.org/login?url=https://www.airitibooks.com/Detail/Detail?PublicationID=P20190503019")</f>
        <v>https://ntsu.idm.oclc.org/login?url=https://www.airitibooks.com/Detail/Detail?PublicationID=P20190503019</v>
      </c>
    </row>
    <row r="2919" spans="1:11" ht="51" x14ac:dyDescent="0.4">
      <c r="A2919" s="10" t="s">
        <v>11233</v>
      </c>
      <c r="B2919" s="10" t="s">
        <v>11234</v>
      </c>
      <c r="C2919" s="10" t="s">
        <v>11228</v>
      </c>
      <c r="D2919" s="10" t="s">
        <v>11235</v>
      </c>
      <c r="E2919" s="10" t="s">
        <v>4129</v>
      </c>
      <c r="F2919" s="10" t="s">
        <v>10412</v>
      </c>
      <c r="G2919" s="10" t="s">
        <v>76</v>
      </c>
      <c r="H2919" s="7" t="s">
        <v>24</v>
      </c>
      <c r="I2919" s="7" t="s">
        <v>25</v>
      </c>
      <c r="J2919" s="13" t="str">
        <f>HYPERLINK("https://www.airitibooks.com/Detail/Detail?PublicationID=P20190503021", "https://www.airitibooks.com/Detail/Detail?PublicationID=P20190503021")</f>
        <v>https://www.airitibooks.com/Detail/Detail?PublicationID=P20190503021</v>
      </c>
      <c r="K2919" s="13" t="str">
        <f>HYPERLINK("https://ntsu.idm.oclc.org/login?url=https://www.airitibooks.com/Detail/Detail?PublicationID=P20190503021", "https://ntsu.idm.oclc.org/login?url=https://www.airitibooks.com/Detail/Detail?PublicationID=P20190503021")</f>
        <v>https://ntsu.idm.oclc.org/login?url=https://www.airitibooks.com/Detail/Detail?PublicationID=P20190503021</v>
      </c>
    </row>
    <row r="2920" spans="1:11" ht="51" x14ac:dyDescent="0.4">
      <c r="A2920" s="10" t="s">
        <v>11242</v>
      </c>
      <c r="B2920" s="10" t="s">
        <v>11243</v>
      </c>
      <c r="C2920" s="10" t="s">
        <v>11228</v>
      </c>
      <c r="D2920" s="10" t="s">
        <v>11244</v>
      </c>
      <c r="E2920" s="10" t="s">
        <v>4129</v>
      </c>
      <c r="F2920" s="10" t="s">
        <v>5371</v>
      </c>
      <c r="G2920" s="10" t="s">
        <v>76</v>
      </c>
      <c r="H2920" s="7" t="s">
        <v>24</v>
      </c>
      <c r="I2920" s="7" t="s">
        <v>25</v>
      </c>
      <c r="J2920" s="13" t="str">
        <f>HYPERLINK("https://www.airitibooks.com/Detail/Detail?PublicationID=P20190503028", "https://www.airitibooks.com/Detail/Detail?PublicationID=P20190503028")</f>
        <v>https://www.airitibooks.com/Detail/Detail?PublicationID=P20190503028</v>
      </c>
      <c r="K2920" s="13" t="str">
        <f>HYPERLINK("https://ntsu.idm.oclc.org/login?url=https://www.airitibooks.com/Detail/Detail?PublicationID=P20190503028", "https://ntsu.idm.oclc.org/login?url=https://www.airitibooks.com/Detail/Detail?PublicationID=P20190503028")</f>
        <v>https://ntsu.idm.oclc.org/login?url=https://www.airitibooks.com/Detail/Detail?PublicationID=P20190503028</v>
      </c>
    </row>
    <row r="2921" spans="1:11" ht="51" x14ac:dyDescent="0.4">
      <c r="A2921" s="10" t="s">
        <v>11251</v>
      </c>
      <c r="B2921" s="10" t="s">
        <v>11252</v>
      </c>
      <c r="C2921" s="10" t="s">
        <v>11228</v>
      </c>
      <c r="D2921" s="10" t="s">
        <v>11253</v>
      </c>
      <c r="E2921" s="10" t="s">
        <v>4129</v>
      </c>
      <c r="F2921" s="10" t="s">
        <v>7835</v>
      </c>
      <c r="G2921" s="10" t="s">
        <v>76</v>
      </c>
      <c r="H2921" s="7" t="s">
        <v>24</v>
      </c>
      <c r="I2921" s="7" t="s">
        <v>25</v>
      </c>
      <c r="J2921" s="13" t="str">
        <f>HYPERLINK("https://www.airitibooks.com/Detail/Detail?PublicationID=P20190503031", "https://www.airitibooks.com/Detail/Detail?PublicationID=P20190503031")</f>
        <v>https://www.airitibooks.com/Detail/Detail?PublicationID=P20190503031</v>
      </c>
      <c r="K2921" s="13" t="str">
        <f>HYPERLINK("https://ntsu.idm.oclc.org/login?url=https://www.airitibooks.com/Detail/Detail?PublicationID=P20190503031", "https://ntsu.idm.oclc.org/login?url=https://www.airitibooks.com/Detail/Detail?PublicationID=P20190503031")</f>
        <v>https://ntsu.idm.oclc.org/login?url=https://www.airitibooks.com/Detail/Detail?PublicationID=P20190503031</v>
      </c>
    </row>
    <row r="2922" spans="1:11" ht="51" x14ac:dyDescent="0.4">
      <c r="A2922" s="10" t="s">
        <v>11523</v>
      </c>
      <c r="B2922" s="10" t="s">
        <v>11524</v>
      </c>
      <c r="C2922" s="10" t="s">
        <v>9828</v>
      </c>
      <c r="D2922" s="10" t="s">
        <v>11525</v>
      </c>
      <c r="E2922" s="10" t="s">
        <v>4129</v>
      </c>
      <c r="F2922" s="10" t="s">
        <v>10171</v>
      </c>
      <c r="G2922" s="10" t="s">
        <v>76</v>
      </c>
      <c r="H2922" s="7" t="s">
        <v>1031</v>
      </c>
      <c r="I2922" s="7" t="s">
        <v>25</v>
      </c>
      <c r="J2922" s="13" t="str">
        <f>HYPERLINK("https://www.airitibooks.com/Detail/Detail?PublicationID=P20190523162", "https://www.airitibooks.com/Detail/Detail?PublicationID=P20190523162")</f>
        <v>https://www.airitibooks.com/Detail/Detail?PublicationID=P20190523162</v>
      </c>
      <c r="K2922" s="13" t="str">
        <f>HYPERLINK("https://ntsu.idm.oclc.org/login?url=https://www.airitibooks.com/Detail/Detail?PublicationID=P20190523162", "https://ntsu.idm.oclc.org/login?url=https://www.airitibooks.com/Detail/Detail?PublicationID=P20190523162")</f>
        <v>https://ntsu.idm.oclc.org/login?url=https://www.airitibooks.com/Detail/Detail?PublicationID=P20190523162</v>
      </c>
    </row>
    <row r="2923" spans="1:11" ht="51" x14ac:dyDescent="0.4">
      <c r="A2923" s="10" t="s">
        <v>11873</v>
      </c>
      <c r="B2923" s="10" t="s">
        <v>11874</v>
      </c>
      <c r="C2923" s="10" t="s">
        <v>9828</v>
      </c>
      <c r="D2923" s="10" t="s">
        <v>11875</v>
      </c>
      <c r="E2923" s="10" t="s">
        <v>4129</v>
      </c>
      <c r="F2923" s="10" t="s">
        <v>5277</v>
      </c>
      <c r="G2923" s="10" t="s">
        <v>76</v>
      </c>
      <c r="H2923" s="7" t="s">
        <v>1031</v>
      </c>
      <c r="I2923" s="7" t="s">
        <v>25</v>
      </c>
      <c r="J2923" s="13" t="str">
        <f>HYPERLINK("https://www.airitibooks.com/Detail/Detail?PublicationID=P20190620330", "https://www.airitibooks.com/Detail/Detail?PublicationID=P20190620330")</f>
        <v>https://www.airitibooks.com/Detail/Detail?PublicationID=P20190620330</v>
      </c>
      <c r="K2923" s="13" t="str">
        <f>HYPERLINK("https://ntsu.idm.oclc.org/login?url=https://www.airitibooks.com/Detail/Detail?PublicationID=P20190620330", "https://ntsu.idm.oclc.org/login?url=https://www.airitibooks.com/Detail/Detail?PublicationID=P20190620330")</f>
        <v>https://ntsu.idm.oclc.org/login?url=https://www.airitibooks.com/Detail/Detail?PublicationID=P20190620330</v>
      </c>
    </row>
    <row r="2924" spans="1:11" ht="51" x14ac:dyDescent="0.4">
      <c r="A2924" s="10" t="s">
        <v>11876</v>
      </c>
      <c r="B2924" s="10" t="s">
        <v>11877</v>
      </c>
      <c r="C2924" s="10" t="s">
        <v>9828</v>
      </c>
      <c r="D2924" s="10" t="s">
        <v>11878</v>
      </c>
      <c r="E2924" s="10" t="s">
        <v>4129</v>
      </c>
      <c r="F2924" s="10" t="s">
        <v>9081</v>
      </c>
      <c r="G2924" s="10" t="s">
        <v>76</v>
      </c>
      <c r="H2924" s="7" t="s">
        <v>1031</v>
      </c>
      <c r="I2924" s="7" t="s">
        <v>25</v>
      </c>
      <c r="J2924" s="13" t="str">
        <f>HYPERLINK("https://www.airitibooks.com/Detail/Detail?PublicationID=P20190620351", "https://www.airitibooks.com/Detail/Detail?PublicationID=P20190620351")</f>
        <v>https://www.airitibooks.com/Detail/Detail?PublicationID=P20190620351</v>
      </c>
      <c r="K2924" s="13" t="str">
        <f>HYPERLINK("https://ntsu.idm.oclc.org/login?url=https://www.airitibooks.com/Detail/Detail?PublicationID=P20190620351", "https://ntsu.idm.oclc.org/login?url=https://www.airitibooks.com/Detail/Detail?PublicationID=P20190620351")</f>
        <v>https://ntsu.idm.oclc.org/login?url=https://www.airitibooks.com/Detail/Detail?PublicationID=P20190620351</v>
      </c>
    </row>
    <row r="2925" spans="1:11" ht="51" x14ac:dyDescent="0.4">
      <c r="A2925" s="10" t="s">
        <v>11882</v>
      </c>
      <c r="B2925" s="10" t="s">
        <v>11883</v>
      </c>
      <c r="C2925" s="10" t="s">
        <v>9828</v>
      </c>
      <c r="D2925" s="10" t="s">
        <v>11884</v>
      </c>
      <c r="E2925" s="10" t="s">
        <v>4129</v>
      </c>
      <c r="F2925" s="10" t="s">
        <v>9081</v>
      </c>
      <c r="G2925" s="10" t="s">
        <v>76</v>
      </c>
      <c r="H2925" s="7" t="s">
        <v>1031</v>
      </c>
      <c r="I2925" s="7" t="s">
        <v>25</v>
      </c>
      <c r="J2925" s="13" t="str">
        <f>HYPERLINK("https://www.airitibooks.com/Detail/Detail?PublicationID=P20190620354", "https://www.airitibooks.com/Detail/Detail?PublicationID=P20190620354")</f>
        <v>https://www.airitibooks.com/Detail/Detail?PublicationID=P20190620354</v>
      </c>
      <c r="K2925" s="13" t="str">
        <f>HYPERLINK("https://ntsu.idm.oclc.org/login?url=https://www.airitibooks.com/Detail/Detail?PublicationID=P20190620354", "https://ntsu.idm.oclc.org/login?url=https://www.airitibooks.com/Detail/Detail?PublicationID=P20190620354")</f>
        <v>https://ntsu.idm.oclc.org/login?url=https://www.airitibooks.com/Detail/Detail?PublicationID=P20190620354</v>
      </c>
    </row>
    <row r="2926" spans="1:11" ht="51" x14ac:dyDescent="0.4">
      <c r="A2926" s="10" t="s">
        <v>11885</v>
      </c>
      <c r="B2926" s="10" t="s">
        <v>11886</v>
      </c>
      <c r="C2926" s="10" t="s">
        <v>9828</v>
      </c>
      <c r="D2926" s="10" t="s">
        <v>11887</v>
      </c>
      <c r="E2926" s="10" t="s">
        <v>4129</v>
      </c>
      <c r="F2926" s="10" t="s">
        <v>9081</v>
      </c>
      <c r="G2926" s="10" t="s">
        <v>76</v>
      </c>
      <c r="H2926" s="7" t="s">
        <v>1031</v>
      </c>
      <c r="I2926" s="7" t="s">
        <v>25</v>
      </c>
      <c r="J2926" s="13" t="str">
        <f>HYPERLINK("https://www.airitibooks.com/Detail/Detail?PublicationID=P20190620357", "https://www.airitibooks.com/Detail/Detail?PublicationID=P20190620357")</f>
        <v>https://www.airitibooks.com/Detail/Detail?PublicationID=P20190620357</v>
      </c>
      <c r="K2926" s="13" t="str">
        <f>HYPERLINK("https://ntsu.idm.oclc.org/login?url=https://www.airitibooks.com/Detail/Detail?PublicationID=P20190620357", "https://ntsu.idm.oclc.org/login?url=https://www.airitibooks.com/Detail/Detail?PublicationID=P20190620357")</f>
        <v>https://ntsu.idm.oclc.org/login?url=https://www.airitibooks.com/Detail/Detail?PublicationID=P20190620357</v>
      </c>
    </row>
    <row r="2927" spans="1:11" ht="51" x14ac:dyDescent="0.4">
      <c r="A2927" s="10" t="s">
        <v>12533</v>
      </c>
      <c r="B2927" s="10" t="s">
        <v>12534</v>
      </c>
      <c r="C2927" s="10" t="s">
        <v>12510</v>
      </c>
      <c r="D2927" s="10" t="s">
        <v>12535</v>
      </c>
      <c r="E2927" s="10" t="s">
        <v>4129</v>
      </c>
      <c r="F2927" s="10" t="s">
        <v>9821</v>
      </c>
      <c r="G2927" s="10" t="s">
        <v>76</v>
      </c>
      <c r="H2927" s="7" t="s">
        <v>1031</v>
      </c>
      <c r="I2927" s="7" t="s">
        <v>25</v>
      </c>
      <c r="J2927" s="13" t="str">
        <f>HYPERLINK("https://www.airitibooks.com/Detail/Detail?PublicationID=P20191005202", "https://www.airitibooks.com/Detail/Detail?PublicationID=P20191005202")</f>
        <v>https://www.airitibooks.com/Detail/Detail?PublicationID=P20191005202</v>
      </c>
      <c r="K2927" s="13" t="str">
        <f>HYPERLINK("https://ntsu.idm.oclc.org/login?url=https://www.airitibooks.com/Detail/Detail?PublicationID=P20191005202", "https://ntsu.idm.oclc.org/login?url=https://www.airitibooks.com/Detail/Detail?PublicationID=P20191005202")</f>
        <v>https://ntsu.idm.oclc.org/login?url=https://www.airitibooks.com/Detail/Detail?PublicationID=P20191005202</v>
      </c>
    </row>
    <row r="2928" spans="1:11" ht="51" x14ac:dyDescent="0.4">
      <c r="A2928" s="10" t="s">
        <v>13509</v>
      </c>
      <c r="B2928" s="10" t="s">
        <v>13510</v>
      </c>
      <c r="C2928" s="10" t="s">
        <v>9828</v>
      </c>
      <c r="D2928" s="10" t="s">
        <v>13511</v>
      </c>
      <c r="E2928" s="10" t="s">
        <v>4129</v>
      </c>
      <c r="F2928" s="10" t="s">
        <v>3731</v>
      </c>
      <c r="G2928" s="10" t="s">
        <v>76</v>
      </c>
      <c r="H2928" s="7" t="s">
        <v>1031</v>
      </c>
      <c r="I2928" s="7" t="s">
        <v>25</v>
      </c>
      <c r="J2928" s="13" t="str">
        <f>HYPERLINK("https://www.airitibooks.com/Detail/Detail?PublicationID=P20200215224", "https://www.airitibooks.com/Detail/Detail?PublicationID=P20200215224")</f>
        <v>https://www.airitibooks.com/Detail/Detail?PublicationID=P20200215224</v>
      </c>
      <c r="K2928" s="13" t="str">
        <f>HYPERLINK("https://ntsu.idm.oclc.org/login?url=https://www.airitibooks.com/Detail/Detail?PublicationID=P20200215224", "https://ntsu.idm.oclc.org/login?url=https://www.airitibooks.com/Detail/Detail?PublicationID=P20200215224")</f>
        <v>https://ntsu.idm.oclc.org/login?url=https://www.airitibooks.com/Detail/Detail?PublicationID=P20200215224</v>
      </c>
    </row>
    <row r="2929" spans="1:11" ht="51" x14ac:dyDescent="0.4">
      <c r="A2929" s="10" t="s">
        <v>13512</v>
      </c>
      <c r="B2929" s="10" t="s">
        <v>13513</v>
      </c>
      <c r="C2929" s="10" t="s">
        <v>9828</v>
      </c>
      <c r="D2929" s="10" t="s">
        <v>13514</v>
      </c>
      <c r="E2929" s="10" t="s">
        <v>4129</v>
      </c>
      <c r="F2929" s="10" t="s">
        <v>7446</v>
      </c>
      <c r="G2929" s="10" t="s">
        <v>76</v>
      </c>
      <c r="H2929" s="7" t="s">
        <v>1031</v>
      </c>
      <c r="I2929" s="7" t="s">
        <v>25</v>
      </c>
      <c r="J2929" s="13" t="str">
        <f>HYPERLINK("https://www.airitibooks.com/Detail/Detail?PublicationID=P20200215225", "https://www.airitibooks.com/Detail/Detail?PublicationID=P20200215225")</f>
        <v>https://www.airitibooks.com/Detail/Detail?PublicationID=P20200215225</v>
      </c>
      <c r="K2929" s="13" t="str">
        <f>HYPERLINK("https://ntsu.idm.oclc.org/login?url=https://www.airitibooks.com/Detail/Detail?PublicationID=P20200215225", "https://ntsu.idm.oclc.org/login?url=https://www.airitibooks.com/Detail/Detail?PublicationID=P20200215225")</f>
        <v>https://ntsu.idm.oclc.org/login?url=https://www.airitibooks.com/Detail/Detail?PublicationID=P20200215225</v>
      </c>
    </row>
    <row r="2930" spans="1:11" ht="51" x14ac:dyDescent="0.4">
      <c r="A2930" s="10" t="s">
        <v>13581</v>
      </c>
      <c r="B2930" s="10" t="s">
        <v>13582</v>
      </c>
      <c r="C2930" s="10" t="s">
        <v>9828</v>
      </c>
      <c r="D2930" s="10" t="s">
        <v>13583</v>
      </c>
      <c r="E2930" s="10" t="s">
        <v>4129</v>
      </c>
      <c r="F2930" s="10" t="s">
        <v>2332</v>
      </c>
      <c r="G2930" s="10" t="s">
        <v>76</v>
      </c>
      <c r="H2930" s="7" t="s">
        <v>1031</v>
      </c>
      <c r="I2930" s="7" t="s">
        <v>25</v>
      </c>
      <c r="J2930" s="13" t="str">
        <f>HYPERLINK("https://www.airitibooks.com/Detail/Detail?PublicationID=P20200221551", "https://www.airitibooks.com/Detail/Detail?PublicationID=P20200221551")</f>
        <v>https://www.airitibooks.com/Detail/Detail?PublicationID=P20200221551</v>
      </c>
      <c r="K2930" s="13" t="str">
        <f>HYPERLINK("https://ntsu.idm.oclc.org/login?url=https://www.airitibooks.com/Detail/Detail?PublicationID=P20200221551", "https://ntsu.idm.oclc.org/login?url=https://www.airitibooks.com/Detail/Detail?PublicationID=P20200221551")</f>
        <v>https://ntsu.idm.oclc.org/login?url=https://www.airitibooks.com/Detail/Detail?PublicationID=P20200221551</v>
      </c>
    </row>
    <row r="2931" spans="1:11" ht="51" x14ac:dyDescent="0.4">
      <c r="A2931" s="10" t="s">
        <v>14031</v>
      </c>
      <c r="B2931" s="10" t="s">
        <v>14032</v>
      </c>
      <c r="C2931" s="10" t="s">
        <v>3705</v>
      </c>
      <c r="D2931" s="10" t="s">
        <v>14033</v>
      </c>
      <c r="E2931" s="10" t="s">
        <v>4129</v>
      </c>
      <c r="F2931" s="10" t="s">
        <v>14034</v>
      </c>
      <c r="G2931" s="10" t="s">
        <v>76</v>
      </c>
      <c r="H2931" s="7" t="s">
        <v>24</v>
      </c>
      <c r="I2931" s="7" t="s">
        <v>25</v>
      </c>
      <c r="J2931" s="13" t="str">
        <f>HYPERLINK("https://www.airitibooks.com/Detail/Detail?PublicationID=P20200430228", "https://www.airitibooks.com/Detail/Detail?PublicationID=P20200430228")</f>
        <v>https://www.airitibooks.com/Detail/Detail?PublicationID=P20200430228</v>
      </c>
      <c r="K2931" s="13" t="str">
        <f>HYPERLINK("https://ntsu.idm.oclc.org/login?url=https://www.airitibooks.com/Detail/Detail?PublicationID=P20200430228", "https://ntsu.idm.oclc.org/login?url=https://www.airitibooks.com/Detail/Detail?PublicationID=P20200430228")</f>
        <v>https://ntsu.idm.oclc.org/login?url=https://www.airitibooks.com/Detail/Detail?PublicationID=P20200430228</v>
      </c>
    </row>
    <row r="2932" spans="1:11" ht="51" x14ac:dyDescent="0.4">
      <c r="A2932" s="10" t="s">
        <v>14120</v>
      </c>
      <c r="B2932" s="10" t="s">
        <v>14121</v>
      </c>
      <c r="C2932" s="10" t="s">
        <v>14114</v>
      </c>
      <c r="D2932" s="10" t="s">
        <v>14122</v>
      </c>
      <c r="E2932" s="10" t="s">
        <v>4129</v>
      </c>
      <c r="F2932" s="10" t="s">
        <v>7835</v>
      </c>
      <c r="G2932" s="10" t="s">
        <v>76</v>
      </c>
      <c r="H2932" s="7" t="s">
        <v>1031</v>
      </c>
      <c r="I2932" s="7" t="s">
        <v>25</v>
      </c>
      <c r="J2932" s="13" t="str">
        <f>HYPERLINK("https://www.airitibooks.com/Detail/Detail?PublicationID=P20200514252", "https://www.airitibooks.com/Detail/Detail?PublicationID=P20200514252")</f>
        <v>https://www.airitibooks.com/Detail/Detail?PublicationID=P20200514252</v>
      </c>
      <c r="K2932" s="13" t="str">
        <f>HYPERLINK("https://ntsu.idm.oclc.org/login?url=https://www.airitibooks.com/Detail/Detail?PublicationID=P20200514252", "https://ntsu.idm.oclc.org/login?url=https://www.airitibooks.com/Detail/Detail?PublicationID=P20200514252")</f>
        <v>https://ntsu.idm.oclc.org/login?url=https://www.airitibooks.com/Detail/Detail?PublicationID=P20200514252</v>
      </c>
    </row>
    <row r="2933" spans="1:11" ht="51" x14ac:dyDescent="0.4">
      <c r="A2933" s="10" t="s">
        <v>14624</v>
      </c>
      <c r="B2933" s="10" t="s">
        <v>14625</v>
      </c>
      <c r="C2933" s="10" t="s">
        <v>9828</v>
      </c>
      <c r="D2933" s="10" t="s">
        <v>14626</v>
      </c>
      <c r="E2933" s="10" t="s">
        <v>4129</v>
      </c>
      <c r="F2933" s="10" t="s">
        <v>2332</v>
      </c>
      <c r="G2933" s="10" t="s">
        <v>76</v>
      </c>
      <c r="H2933" s="7" t="s">
        <v>1031</v>
      </c>
      <c r="I2933" s="7" t="s">
        <v>25</v>
      </c>
      <c r="J2933" s="13" t="str">
        <f>HYPERLINK("https://www.airitibooks.com/Detail/Detail?PublicationID=P20200820077", "https://www.airitibooks.com/Detail/Detail?PublicationID=P20200820077")</f>
        <v>https://www.airitibooks.com/Detail/Detail?PublicationID=P20200820077</v>
      </c>
      <c r="K2933" s="13" t="str">
        <f>HYPERLINK("https://ntsu.idm.oclc.org/login?url=https://www.airitibooks.com/Detail/Detail?PublicationID=P20200820077", "https://ntsu.idm.oclc.org/login?url=https://www.airitibooks.com/Detail/Detail?PublicationID=P20200820077")</f>
        <v>https://ntsu.idm.oclc.org/login?url=https://www.airitibooks.com/Detail/Detail?PublicationID=P20200820077</v>
      </c>
    </row>
    <row r="2934" spans="1:11" ht="51" x14ac:dyDescent="0.4">
      <c r="A2934" s="10" t="s">
        <v>14807</v>
      </c>
      <c r="B2934" s="10" t="s">
        <v>14808</v>
      </c>
      <c r="C2934" s="10" t="s">
        <v>14330</v>
      </c>
      <c r="D2934" s="10" t="s">
        <v>14809</v>
      </c>
      <c r="E2934" s="10" t="s">
        <v>4129</v>
      </c>
      <c r="F2934" s="10" t="s">
        <v>4602</v>
      </c>
      <c r="G2934" s="10" t="s">
        <v>76</v>
      </c>
      <c r="H2934" s="7" t="s">
        <v>1031</v>
      </c>
      <c r="I2934" s="7" t="s">
        <v>25</v>
      </c>
      <c r="J2934" s="13" t="str">
        <f>HYPERLINK("https://www.airitibooks.com/Detail/Detail?PublicationID=P20201026057", "https://www.airitibooks.com/Detail/Detail?PublicationID=P20201026057")</f>
        <v>https://www.airitibooks.com/Detail/Detail?PublicationID=P20201026057</v>
      </c>
      <c r="K2934" s="13" t="str">
        <f>HYPERLINK("https://ntsu.idm.oclc.org/login?url=https://www.airitibooks.com/Detail/Detail?PublicationID=P20201026057", "https://ntsu.idm.oclc.org/login?url=https://www.airitibooks.com/Detail/Detail?PublicationID=P20201026057")</f>
        <v>https://ntsu.idm.oclc.org/login?url=https://www.airitibooks.com/Detail/Detail?PublicationID=P20201026057</v>
      </c>
    </row>
    <row r="2935" spans="1:11" ht="51" x14ac:dyDescent="0.4">
      <c r="A2935" s="10" t="s">
        <v>15578</v>
      </c>
      <c r="B2935" s="10" t="s">
        <v>15579</v>
      </c>
      <c r="C2935" s="10" t="s">
        <v>15293</v>
      </c>
      <c r="D2935" s="10" t="s">
        <v>15580</v>
      </c>
      <c r="E2935" s="10" t="s">
        <v>4129</v>
      </c>
      <c r="F2935" s="10" t="s">
        <v>2874</v>
      </c>
      <c r="G2935" s="10" t="s">
        <v>76</v>
      </c>
      <c r="H2935" s="7" t="s">
        <v>1031</v>
      </c>
      <c r="I2935" s="7" t="s">
        <v>25</v>
      </c>
      <c r="J2935" s="13" t="str">
        <f>HYPERLINK("https://www.airitibooks.com/Detail/Detail?PublicationID=P20210802100", "https://www.airitibooks.com/Detail/Detail?PublicationID=P20210802100")</f>
        <v>https://www.airitibooks.com/Detail/Detail?PublicationID=P20210802100</v>
      </c>
      <c r="K2935" s="13" t="str">
        <f>HYPERLINK("https://ntsu.idm.oclc.org/login?url=https://www.airitibooks.com/Detail/Detail?PublicationID=P20210802100", "https://ntsu.idm.oclc.org/login?url=https://www.airitibooks.com/Detail/Detail?PublicationID=P20210802100")</f>
        <v>https://ntsu.idm.oclc.org/login?url=https://www.airitibooks.com/Detail/Detail?PublicationID=P20210802100</v>
      </c>
    </row>
    <row r="2936" spans="1:11" ht="51" x14ac:dyDescent="0.4">
      <c r="A2936" s="10" t="s">
        <v>4541</v>
      </c>
      <c r="B2936" s="10" t="s">
        <v>4542</v>
      </c>
      <c r="C2936" s="10" t="s">
        <v>1203</v>
      </c>
      <c r="D2936" s="10" t="s">
        <v>2085</v>
      </c>
      <c r="E2936" s="10" t="s">
        <v>4129</v>
      </c>
      <c r="F2936" s="10" t="s">
        <v>946</v>
      </c>
      <c r="G2936" s="10" t="s">
        <v>55</v>
      </c>
      <c r="H2936" s="7" t="s">
        <v>24</v>
      </c>
      <c r="I2936" s="7" t="s">
        <v>25</v>
      </c>
      <c r="J2936" s="13" t="str">
        <f>HYPERLINK("https://www.airitibooks.com/Detail/Detail?PublicationID=P20160421150", "https://www.airitibooks.com/Detail/Detail?PublicationID=P20160421150")</f>
        <v>https://www.airitibooks.com/Detail/Detail?PublicationID=P20160421150</v>
      </c>
      <c r="K2936" s="13" t="str">
        <f>HYPERLINK("https://ntsu.idm.oclc.org/login?url=https://www.airitibooks.com/Detail/Detail?PublicationID=P20160421150", "https://ntsu.idm.oclc.org/login?url=https://www.airitibooks.com/Detail/Detail?PublicationID=P20160421150")</f>
        <v>https://ntsu.idm.oclc.org/login?url=https://www.airitibooks.com/Detail/Detail?PublicationID=P20160421150</v>
      </c>
    </row>
    <row r="2937" spans="1:11" ht="51" x14ac:dyDescent="0.4">
      <c r="A2937" s="10" t="s">
        <v>5161</v>
      </c>
      <c r="B2937" s="10" t="s">
        <v>5162</v>
      </c>
      <c r="C2937" s="10" t="s">
        <v>1203</v>
      </c>
      <c r="D2937" s="10" t="s">
        <v>5163</v>
      </c>
      <c r="E2937" s="10" t="s">
        <v>4129</v>
      </c>
      <c r="F2937" s="10" t="s">
        <v>1439</v>
      </c>
      <c r="G2937" s="10" t="s">
        <v>55</v>
      </c>
      <c r="H2937" s="7" t="s">
        <v>24</v>
      </c>
      <c r="I2937" s="7" t="s">
        <v>25</v>
      </c>
      <c r="J2937" s="13" t="str">
        <f>HYPERLINK("https://www.airitibooks.com/Detail/Detail?PublicationID=P20160806261", "https://www.airitibooks.com/Detail/Detail?PublicationID=P20160806261")</f>
        <v>https://www.airitibooks.com/Detail/Detail?PublicationID=P20160806261</v>
      </c>
      <c r="K2937" s="13" t="str">
        <f>HYPERLINK("https://ntsu.idm.oclc.org/login?url=https://www.airitibooks.com/Detail/Detail?PublicationID=P20160806261", "https://ntsu.idm.oclc.org/login?url=https://www.airitibooks.com/Detail/Detail?PublicationID=P20160806261")</f>
        <v>https://ntsu.idm.oclc.org/login?url=https://www.airitibooks.com/Detail/Detail?PublicationID=P20160806261</v>
      </c>
    </row>
    <row r="2938" spans="1:11" ht="51" x14ac:dyDescent="0.4">
      <c r="A2938" s="10" t="s">
        <v>5488</v>
      </c>
      <c r="B2938" s="10" t="s">
        <v>5489</v>
      </c>
      <c r="C2938" s="10" t="s">
        <v>130</v>
      </c>
      <c r="D2938" s="10" t="s">
        <v>5490</v>
      </c>
      <c r="E2938" s="10" t="s">
        <v>4129</v>
      </c>
      <c r="F2938" s="10" t="s">
        <v>2205</v>
      </c>
      <c r="G2938" s="10" t="s">
        <v>55</v>
      </c>
      <c r="H2938" s="7" t="s">
        <v>24</v>
      </c>
      <c r="I2938" s="7" t="s">
        <v>25</v>
      </c>
      <c r="J2938" s="13" t="str">
        <f>HYPERLINK("https://www.airitibooks.com/Detail/Detail?PublicationID=P20160913053", "https://www.airitibooks.com/Detail/Detail?PublicationID=P20160913053")</f>
        <v>https://www.airitibooks.com/Detail/Detail?PublicationID=P20160913053</v>
      </c>
      <c r="K2938" s="13" t="str">
        <f>HYPERLINK("https://ntsu.idm.oclc.org/login?url=https://www.airitibooks.com/Detail/Detail?PublicationID=P20160913053", "https://ntsu.idm.oclc.org/login?url=https://www.airitibooks.com/Detail/Detail?PublicationID=P20160913053")</f>
        <v>https://ntsu.idm.oclc.org/login?url=https://www.airitibooks.com/Detail/Detail?PublicationID=P20160913053</v>
      </c>
    </row>
    <row r="2939" spans="1:11" ht="51" x14ac:dyDescent="0.4">
      <c r="A2939" s="10" t="s">
        <v>6125</v>
      </c>
      <c r="B2939" s="10" t="s">
        <v>6126</v>
      </c>
      <c r="C2939" s="10" t="s">
        <v>5389</v>
      </c>
      <c r="D2939" s="10" t="s">
        <v>6119</v>
      </c>
      <c r="E2939" s="10" t="s">
        <v>4129</v>
      </c>
      <c r="F2939" s="10" t="s">
        <v>6127</v>
      </c>
      <c r="G2939" s="10" t="s">
        <v>55</v>
      </c>
      <c r="H2939" s="7" t="s">
        <v>24</v>
      </c>
      <c r="I2939" s="7" t="s">
        <v>25</v>
      </c>
      <c r="J2939" s="13" t="str">
        <f>HYPERLINK("https://www.airitibooks.com/Detail/Detail?PublicationID=P20170203271", "https://www.airitibooks.com/Detail/Detail?PublicationID=P20170203271")</f>
        <v>https://www.airitibooks.com/Detail/Detail?PublicationID=P20170203271</v>
      </c>
      <c r="K2939" s="13" t="str">
        <f>HYPERLINK("https://ntsu.idm.oclc.org/login?url=https://www.airitibooks.com/Detail/Detail?PublicationID=P20170203271", "https://ntsu.idm.oclc.org/login?url=https://www.airitibooks.com/Detail/Detail?PublicationID=P20170203271")</f>
        <v>https://ntsu.idm.oclc.org/login?url=https://www.airitibooks.com/Detail/Detail?PublicationID=P20170203271</v>
      </c>
    </row>
    <row r="2940" spans="1:11" ht="51" x14ac:dyDescent="0.4">
      <c r="A2940" s="10" t="s">
        <v>6131</v>
      </c>
      <c r="B2940" s="10" t="s">
        <v>6132</v>
      </c>
      <c r="C2940" s="10" t="s">
        <v>5389</v>
      </c>
      <c r="D2940" s="10" t="s">
        <v>6119</v>
      </c>
      <c r="E2940" s="10" t="s">
        <v>4129</v>
      </c>
      <c r="F2940" s="10" t="s">
        <v>46</v>
      </c>
      <c r="G2940" s="10" t="s">
        <v>55</v>
      </c>
      <c r="H2940" s="7" t="s">
        <v>24</v>
      </c>
      <c r="I2940" s="7" t="s">
        <v>25</v>
      </c>
      <c r="J2940" s="13" t="str">
        <f>HYPERLINK("https://www.airitibooks.com/Detail/Detail?PublicationID=P20170203273", "https://www.airitibooks.com/Detail/Detail?PublicationID=P20170203273")</f>
        <v>https://www.airitibooks.com/Detail/Detail?PublicationID=P20170203273</v>
      </c>
      <c r="K2940" s="13" t="str">
        <f>HYPERLINK("https://ntsu.idm.oclc.org/login?url=https://www.airitibooks.com/Detail/Detail?PublicationID=P20170203273", "https://ntsu.idm.oclc.org/login?url=https://www.airitibooks.com/Detail/Detail?PublicationID=P20170203273")</f>
        <v>https://ntsu.idm.oclc.org/login?url=https://www.airitibooks.com/Detail/Detail?PublicationID=P20170203273</v>
      </c>
    </row>
    <row r="2941" spans="1:11" ht="51" x14ac:dyDescent="0.4">
      <c r="A2941" s="10" t="s">
        <v>6520</v>
      </c>
      <c r="B2941" s="10" t="s">
        <v>6521</v>
      </c>
      <c r="C2941" s="10" t="s">
        <v>3670</v>
      </c>
      <c r="D2941" s="10" t="s">
        <v>6522</v>
      </c>
      <c r="E2941" s="10" t="s">
        <v>4129</v>
      </c>
      <c r="F2941" s="10" t="s">
        <v>6523</v>
      </c>
      <c r="G2941" s="10" t="s">
        <v>55</v>
      </c>
      <c r="H2941" s="7" t="s">
        <v>24</v>
      </c>
      <c r="I2941" s="7" t="s">
        <v>25</v>
      </c>
      <c r="J2941" s="13" t="str">
        <f>HYPERLINK("https://www.airitibooks.com/Detail/Detail?PublicationID=P20170502054", "https://www.airitibooks.com/Detail/Detail?PublicationID=P20170502054")</f>
        <v>https://www.airitibooks.com/Detail/Detail?PublicationID=P20170502054</v>
      </c>
      <c r="K2941" s="13" t="str">
        <f>HYPERLINK("https://ntsu.idm.oclc.org/login?url=https://www.airitibooks.com/Detail/Detail?PublicationID=P20170502054", "https://ntsu.idm.oclc.org/login?url=https://www.airitibooks.com/Detail/Detail?PublicationID=P20170502054")</f>
        <v>https://ntsu.idm.oclc.org/login?url=https://www.airitibooks.com/Detail/Detail?PublicationID=P20170502054</v>
      </c>
    </row>
    <row r="2942" spans="1:11" ht="51" x14ac:dyDescent="0.4">
      <c r="A2942" s="10" t="s">
        <v>6524</v>
      </c>
      <c r="B2942" s="10" t="s">
        <v>6525</v>
      </c>
      <c r="C2942" s="10" t="s">
        <v>3670</v>
      </c>
      <c r="D2942" s="10" t="s">
        <v>6526</v>
      </c>
      <c r="E2942" s="10" t="s">
        <v>4129</v>
      </c>
      <c r="F2942" s="10" t="s">
        <v>6523</v>
      </c>
      <c r="G2942" s="10" t="s">
        <v>55</v>
      </c>
      <c r="H2942" s="7" t="s">
        <v>24</v>
      </c>
      <c r="I2942" s="7" t="s">
        <v>25</v>
      </c>
      <c r="J2942" s="13" t="str">
        <f>HYPERLINK("https://www.airitibooks.com/Detail/Detail?PublicationID=P20170502055", "https://www.airitibooks.com/Detail/Detail?PublicationID=P20170502055")</f>
        <v>https://www.airitibooks.com/Detail/Detail?PublicationID=P20170502055</v>
      </c>
      <c r="K2942" s="13" t="str">
        <f>HYPERLINK("https://ntsu.idm.oclc.org/login?url=https://www.airitibooks.com/Detail/Detail?PublicationID=P20170502055", "https://ntsu.idm.oclc.org/login?url=https://www.airitibooks.com/Detail/Detail?PublicationID=P20170502055")</f>
        <v>https://ntsu.idm.oclc.org/login?url=https://www.airitibooks.com/Detail/Detail?PublicationID=P20170502055</v>
      </c>
    </row>
    <row r="2943" spans="1:11" ht="68" x14ac:dyDescent="0.4">
      <c r="A2943" s="10" t="s">
        <v>6833</v>
      </c>
      <c r="B2943" s="10" t="s">
        <v>6834</v>
      </c>
      <c r="C2943" s="10" t="s">
        <v>1504</v>
      </c>
      <c r="D2943" s="10" t="s">
        <v>6835</v>
      </c>
      <c r="E2943" s="10" t="s">
        <v>4129</v>
      </c>
      <c r="F2943" s="10" t="s">
        <v>2191</v>
      </c>
      <c r="G2943" s="10" t="s">
        <v>55</v>
      </c>
      <c r="H2943" s="7" t="s">
        <v>24</v>
      </c>
      <c r="I2943" s="7" t="s">
        <v>25</v>
      </c>
      <c r="J2943" s="13" t="str">
        <f>HYPERLINK("https://www.airitibooks.com/Detail/Detail?PublicationID=P20170706016", "https://www.airitibooks.com/Detail/Detail?PublicationID=P20170706016")</f>
        <v>https://www.airitibooks.com/Detail/Detail?PublicationID=P20170706016</v>
      </c>
      <c r="K2943" s="13" t="str">
        <f>HYPERLINK("https://ntsu.idm.oclc.org/login?url=https://www.airitibooks.com/Detail/Detail?PublicationID=P20170706016", "https://ntsu.idm.oclc.org/login?url=https://www.airitibooks.com/Detail/Detail?PublicationID=P20170706016")</f>
        <v>https://ntsu.idm.oclc.org/login?url=https://www.airitibooks.com/Detail/Detail?PublicationID=P20170706016</v>
      </c>
    </row>
    <row r="2944" spans="1:11" ht="68" x14ac:dyDescent="0.4">
      <c r="A2944" s="10" t="s">
        <v>6852</v>
      </c>
      <c r="B2944" s="10" t="s">
        <v>6853</v>
      </c>
      <c r="C2944" s="10" t="s">
        <v>1504</v>
      </c>
      <c r="D2944" s="10" t="s">
        <v>2214</v>
      </c>
      <c r="E2944" s="10" t="s">
        <v>4129</v>
      </c>
      <c r="F2944" s="10" t="s">
        <v>2205</v>
      </c>
      <c r="G2944" s="10" t="s">
        <v>55</v>
      </c>
      <c r="H2944" s="7" t="s">
        <v>24</v>
      </c>
      <c r="I2944" s="7" t="s">
        <v>25</v>
      </c>
      <c r="J2944" s="13" t="str">
        <f>HYPERLINK("https://www.airitibooks.com/Detail/Detail?PublicationID=P20170706026", "https://www.airitibooks.com/Detail/Detail?PublicationID=P20170706026")</f>
        <v>https://www.airitibooks.com/Detail/Detail?PublicationID=P20170706026</v>
      </c>
      <c r="K2944" s="13" t="str">
        <f>HYPERLINK("https://ntsu.idm.oclc.org/login?url=https://www.airitibooks.com/Detail/Detail?PublicationID=P20170706026", "https://ntsu.idm.oclc.org/login?url=https://www.airitibooks.com/Detail/Detail?PublicationID=P20170706026")</f>
        <v>https://ntsu.idm.oclc.org/login?url=https://www.airitibooks.com/Detail/Detail?PublicationID=P20170706026</v>
      </c>
    </row>
    <row r="2945" spans="1:11" ht="51" x14ac:dyDescent="0.4">
      <c r="A2945" s="10" t="s">
        <v>6854</v>
      </c>
      <c r="B2945" s="10" t="s">
        <v>6855</v>
      </c>
      <c r="C2945" s="10" t="s">
        <v>1504</v>
      </c>
      <c r="D2945" s="10" t="s">
        <v>1509</v>
      </c>
      <c r="E2945" s="10" t="s">
        <v>4129</v>
      </c>
      <c r="F2945" s="10" t="s">
        <v>2508</v>
      </c>
      <c r="G2945" s="10" t="s">
        <v>55</v>
      </c>
      <c r="H2945" s="7" t="s">
        <v>24</v>
      </c>
      <c r="I2945" s="7" t="s">
        <v>25</v>
      </c>
      <c r="J2945" s="13" t="str">
        <f>HYPERLINK("https://www.airitibooks.com/Detail/Detail?PublicationID=P20170706027", "https://www.airitibooks.com/Detail/Detail?PublicationID=P20170706027")</f>
        <v>https://www.airitibooks.com/Detail/Detail?PublicationID=P20170706027</v>
      </c>
      <c r="K2945" s="13" t="str">
        <f>HYPERLINK("https://ntsu.idm.oclc.org/login?url=https://www.airitibooks.com/Detail/Detail?PublicationID=P20170706027", "https://ntsu.idm.oclc.org/login?url=https://www.airitibooks.com/Detail/Detail?PublicationID=P20170706027")</f>
        <v>https://ntsu.idm.oclc.org/login?url=https://www.airitibooks.com/Detail/Detail?PublicationID=P20170706027</v>
      </c>
    </row>
    <row r="2946" spans="1:11" ht="51" x14ac:dyDescent="0.4">
      <c r="A2946" s="10" t="s">
        <v>6856</v>
      </c>
      <c r="B2946" s="10" t="s">
        <v>6857</v>
      </c>
      <c r="C2946" s="10" t="s">
        <v>1504</v>
      </c>
      <c r="D2946" s="10" t="s">
        <v>6848</v>
      </c>
      <c r="E2946" s="10" t="s">
        <v>4129</v>
      </c>
      <c r="F2946" s="10" t="s">
        <v>2205</v>
      </c>
      <c r="G2946" s="10" t="s">
        <v>55</v>
      </c>
      <c r="H2946" s="7" t="s">
        <v>24</v>
      </c>
      <c r="I2946" s="7" t="s">
        <v>25</v>
      </c>
      <c r="J2946" s="13" t="str">
        <f>HYPERLINK("https://www.airitibooks.com/Detail/Detail?PublicationID=P20170706028", "https://www.airitibooks.com/Detail/Detail?PublicationID=P20170706028")</f>
        <v>https://www.airitibooks.com/Detail/Detail?PublicationID=P20170706028</v>
      </c>
      <c r="K2946" s="13" t="str">
        <f>HYPERLINK("https://ntsu.idm.oclc.org/login?url=https://www.airitibooks.com/Detail/Detail?PublicationID=P20170706028", "https://ntsu.idm.oclc.org/login?url=https://www.airitibooks.com/Detail/Detail?PublicationID=P20170706028")</f>
        <v>https://ntsu.idm.oclc.org/login?url=https://www.airitibooks.com/Detail/Detail?PublicationID=P20170706028</v>
      </c>
    </row>
    <row r="2947" spans="1:11" ht="68" x14ac:dyDescent="0.4">
      <c r="A2947" s="10" t="s">
        <v>6870</v>
      </c>
      <c r="B2947" s="10" t="s">
        <v>6871</v>
      </c>
      <c r="C2947" s="10" t="s">
        <v>1504</v>
      </c>
      <c r="D2947" s="10" t="s">
        <v>2214</v>
      </c>
      <c r="E2947" s="10" t="s">
        <v>4129</v>
      </c>
      <c r="F2947" s="10" t="s">
        <v>2205</v>
      </c>
      <c r="G2947" s="10" t="s">
        <v>55</v>
      </c>
      <c r="H2947" s="7" t="s">
        <v>24</v>
      </c>
      <c r="I2947" s="7" t="s">
        <v>25</v>
      </c>
      <c r="J2947" s="13" t="str">
        <f>HYPERLINK("https://www.airitibooks.com/Detail/Detail?PublicationID=P20170706033", "https://www.airitibooks.com/Detail/Detail?PublicationID=P20170706033")</f>
        <v>https://www.airitibooks.com/Detail/Detail?PublicationID=P20170706033</v>
      </c>
      <c r="K2947" s="13" t="str">
        <f>HYPERLINK("https://ntsu.idm.oclc.org/login?url=https://www.airitibooks.com/Detail/Detail?PublicationID=P20170706033", "https://ntsu.idm.oclc.org/login?url=https://www.airitibooks.com/Detail/Detail?PublicationID=P20170706033")</f>
        <v>https://ntsu.idm.oclc.org/login?url=https://www.airitibooks.com/Detail/Detail?PublicationID=P20170706033</v>
      </c>
    </row>
    <row r="2948" spans="1:11" ht="51" x14ac:dyDescent="0.4">
      <c r="A2948" s="10" t="s">
        <v>6872</v>
      </c>
      <c r="B2948" s="10" t="s">
        <v>6873</v>
      </c>
      <c r="C2948" s="10" t="s">
        <v>1504</v>
      </c>
      <c r="D2948" s="10" t="s">
        <v>6848</v>
      </c>
      <c r="E2948" s="10" t="s">
        <v>4129</v>
      </c>
      <c r="F2948" s="10" t="s">
        <v>2205</v>
      </c>
      <c r="G2948" s="10" t="s">
        <v>55</v>
      </c>
      <c r="H2948" s="7" t="s">
        <v>24</v>
      </c>
      <c r="I2948" s="7" t="s">
        <v>25</v>
      </c>
      <c r="J2948" s="13" t="str">
        <f>HYPERLINK("https://www.airitibooks.com/Detail/Detail?PublicationID=P20170706035", "https://www.airitibooks.com/Detail/Detail?PublicationID=P20170706035")</f>
        <v>https://www.airitibooks.com/Detail/Detail?PublicationID=P20170706035</v>
      </c>
      <c r="K2948" s="13" t="str">
        <f>HYPERLINK("https://ntsu.idm.oclc.org/login?url=https://www.airitibooks.com/Detail/Detail?PublicationID=P20170706035", "https://ntsu.idm.oclc.org/login?url=https://www.airitibooks.com/Detail/Detail?PublicationID=P20170706035")</f>
        <v>https://ntsu.idm.oclc.org/login?url=https://www.airitibooks.com/Detail/Detail?PublicationID=P20170706035</v>
      </c>
    </row>
    <row r="2949" spans="1:11" ht="51" x14ac:dyDescent="0.4">
      <c r="A2949" s="10" t="s">
        <v>6885</v>
      </c>
      <c r="B2949" s="10" t="s">
        <v>6886</v>
      </c>
      <c r="C2949" s="10" t="s">
        <v>1504</v>
      </c>
      <c r="D2949" s="10" t="s">
        <v>6848</v>
      </c>
      <c r="E2949" s="10" t="s">
        <v>4129</v>
      </c>
      <c r="F2949" s="10" t="s">
        <v>2205</v>
      </c>
      <c r="G2949" s="10" t="s">
        <v>55</v>
      </c>
      <c r="H2949" s="7" t="s">
        <v>24</v>
      </c>
      <c r="I2949" s="7" t="s">
        <v>25</v>
      </c>
      <c r="J2949" s="13" t="str">
        <f>HYPERLINK("https://www.airitibooks.com/Detail/Detail?PublicationID=P20170706042", "https://www.airitibooks.com/Detail/Detail?PublicationID=P20170706042")</f>
        <v>https://www.airitibooks.com/Detail/Detail?PublicationID=P20170706042</v>
      </c>
      <c r="K2949" s="13" t="str">
        <f>HYPERLINK("https://ntsu.idm.oclc.org/login?url=https://www.airitibooks.com/Detail/Detail?PublicationID=P20170706042", "https://ntsu.idm.oclc.org/login?url=https://www.airitibooks.com/Detail/Detail?PublicationID=P20170706042")</f>
        <v>https://ntsu.idm.oclc.org/login?url=https://www.airitibooks.com/Detail/Detail?PublicationID=P20170706042</v>
      </c>
    </row>
    <row r="2950" spans="1:11" ht="51" x14ac:dyDescent="0.4">
      <c r="A2950" s="10" t="s">
        <v>6889</v>
      </c>
      <c r="B2950" s="10" t="s">
        <v>6890</v>
      </c>
      <c r="C2950" s="10" t="s">
        <v>1504</v>
      </c>
      <c r="D2950" s="10" t="s">
        <v>5009</v>
      </c>
      <c r="E2950" s="10" t="s">
        <v>4129</v>
      </c>
      <c r="F2950" s="10" t="s">
        <v>2205</v>
      </c>
      <c r="G2950" s="10" t="s">
        <v>55</v>
      </c>
      <c r="H2950" s="7" t="s">
        <v>24</v>
      </c>
      <c r="I2950" s="7" t="s">
        <v>25</v>
      </c>
      <c r="J2950" s="13" t="str">
        <f>HYPERLINK("https://www.airitibooks.com/Detail/Detail?PublicationID=P20170706044", "https://www.airitibooks.com/Detail/Detail?PublicationID=P20170706044")</f>
        <v>https://www.airitibooks.com/Detail/Detail?PublicationID=P20170706044</v>
      </c>
      <c r="K2950" s="13" t="str">
        <f>HYPERLINK("https://ntsu.idm.oclc.org/login?url=https://www.airitibooks.com/Detail/Detail?PublicationID=P20170706044", "https://ntsu.idm.oclc.org/login?url=https://www.airitibooks.com/Detail/Detail?PublicationID=P20170706044")</f>
        <v>https://ntsu.idm.oclc.org/login?url=https://www.airitibooks.com/Detail/Detail?PublicationID=P20170706044</v>
      </c>
    </row>
    <row r="2951" spans="1:11" ht="51" x14ac:dyDescent="0.4">
      <c r="A2951" s="10" t="s">
        <v>6900</v>
      </c>
      <c r="B2951" s="10" t="s">
        <v>6901</v>
      </c>
      <c r="C2951" s="10" t="s">
        <v>1504</v>
      </c>
      <c r="D2951" s="10" t="s">
        <v>1509</v>
      </c>
      <c r="E2951" s="10" t="s">
        <v>4129</v>
      </c>
      <c r="F2951" s="10" t="s">
        <v>6902</v>
      </c>
      <c r="G2951" s="10" t="s">
        <v>55</v>
      </c>
      <c r="H2951" s="7" t="s">
        <v>24</v>
      </c>
      <c r="I2951" s="7" t="s">
        <v>25</v>
      </c>
      <c r="J2951" s="13" t="str">
        <f>HYPERLINK("https://www.airitibooks.com/Detail/Detail?PublicationID=P20170706055", "https://www.airitibooks.com/Detail/Detail?PublicationID=P20170706055")</f>
        <v>https://www.airitibooks.com/Detail/Detail?PublicationID=P20170706055</v>
      </c>
      <c r="K2951" s="13" t="str">
        <f>HYPERLINK("https://ntsu.idm.oclc.org/login?url=https://www.airitibooks.com/Detail/Detail?PublicationID=P20170706055", "https://ntsu.idm.oclc.org/login?url=https://www.airitibooks.com/Detail/Detail?PublicationID=P20170706055")</f>
        <v>https://ntsu.idm.oclc.org/login?url=https://www.airitibooks.com/Detail/Detail?PublicationID=P20170706055</v>
      </c>
    </row>
    <row r="2952" spans="1:11" ht="68" x14ac:dyDescent="0.4">
      <c r="A2952" s="10" t="s">
        <v>6903</v>
      </c>
      <c r="B2952" s="10" t="s">
        <v>6904</v>
      </c>
      <c r="C2952" s="10" t="s">
        <v>1504</v>
      </c>
      <c r="D2952" s="10" t="s">
        <v>2241</v>
      </c>
      <c r="E2952" s="10" t="s">
        <v>4129</v>
      </c>
      <c r="F2952" s="10" t="s">
        <v>2176</v>
      </c>
      <c r="G2952" s="10" t="s">
        <v>55</v>
      </c>
      <c r="H2952" s="7" t="s">
        <v>24</v>
      </c>
      <c r="I2952" s="7" t="s">
        <v>25</v>
      </c>
      <c r="J2952" s="13" t="str">
        <f>HYPERLINK("https://www.airitibooks.com/Detail/Detail?PublicationID=P20170706059", "https://www.airitibooks.com/Detail/Detail?PublicationID=P20170706059")</f>
        <v>https://www.airitibooks.com/Detail/Detail?PublicationID=P20170706059</v>
      </c>
      <c r="K2952" s="13" t="str">
        <f>HYPERLINK("https://ntsu.idm.oclc.org/login?url=https://www.airitibooks.com/Detail/Detail?PublicationID=P20170706059", "https://ntsu.idm.oclc.org/login?url=https://www.airitibooks.com/Detail/Detail?PublicationID=P20170706059")</f>
        <v>https://ntsu.idm.oclc.org/login?url=https://www.airitibooks.com/Detail/Detail?PublicationID=P20170706059</v>
      </c>
    </row>
    <row r="2953" spans="1:11" ht="51" x14ac:dyDescent="0.4">
      <c r="A2953" s="10" t="s">
        <v>6905</v>
      </c>
      <c r="B2953" s="10" t="s">
        <v>6906</v>
      </c>
      <c r="C2953" s="10" t="s">
        <v>1504</v>
      </c>
      <c r="D2953" s="10" t="s">
        <v>6907</v>
      </c>
      <c r="E2953" s="10" t="s">
        <v>4129</v>
      </c>
      <c r="F2953" s="10" t="s">
        <v>2176</v>
      </c>
      <c r="G2953" s="10" t="s">
        <v>55</v>
      </c>
      <c r="H2953" s="7" t="s">
        <v>24</v>
      </c>
      <c r="I2953" s="7" t="s">
        <v>25</v>
      </c>
      <c r="J2953" s="13" t="str">
        <f>HYPERLINK("https://www.airitibooks.com/Detail/Detail?PublicationID=P20170706060", "https://www.airitibooks.com/Detail/Detail?PublicationID=P20170706060")</f>
        <v>https://www.airitibooks.com/Detail/Detail?PublicationID=P20170706060</v>
      </c>
      <c r="K2953" s="13" t="str">
        <f>HYPERLINK("https://ntsu.idm.oclc.org/login?url=https://www.airitibooks.com/Detail/Detail?PublicationID=P20170706060", "https://ntsu.idm.oclc.org/login?url=https://www.airitibooks.com/Detail/Detail?PublicationID=P20170706060")</f>
        <v>https://ntsu.idm.oclc.org/login?url=https://www.airitibooks.com/Detail/Detail?PublicationID=P20170706060</v>
      </c>
    </row>
    <row r="2954" spans="1:11" ht="51" x14ac:dyDescent="0.4">
      <c r="A2954" s="10" t="s">
        <v>6908</v>
      </c>
      <c r="B2954" s="10" t="s">
        <v>6909</v>
      </c>
      <c r="C2954" s="10" t="s">
        <v>1504</v>
      </c>
      <c r="D2954" s="10" t="s">
        <v>6910</v>
      </c>
      <c r="E2954" s="10" t="s">
        <v>4129</v>
      </c>
      <c r="F2954" s="10" t="s">
        <v>2508</v>
      </c>
      <c r="G2954" s="10" t="s">
        <v>55</v>
      </c>
      <c r="H2954" s="7" t="s">
        <v>24</v>
      </c>
      <c r="I2954" s="7" t="s">
        <v>25</v>
      </c>
      <c r="J2954" s="13" t="str">
        <f>HYPERLINK("https://www.airitibooks.com/Detail/Detail?PublicationID=P20170706062", "https://www.airitibooks.com/Detail/Detail?PublicationID=P20170706062")</f>
        <v>https://www.airitibooks.com/Detail/Detail?PublicationID=P20170706062</v>
      </c>
      <c r="K2954" s="13" t="str">
        <f>HYPERLINK("https://ntsu.idm.oclc.org/login?url=https://www.airitibooks.com/Detail/Detail?PublicationID=P20170706062", "https://ntsu.idm.oclc.org/login?url=https://www.airitibooks.com/Detail/Detail?PublicationID=P20170706062")</f>
        <v>https://ntsu.idm.oclc.org/login?url=https://www.airitibooks.com/Detail/Detail?PublicationID=P20170706062</v>
      </c>
    </row>
    <row r="2955" spans="1:11" ht="68" x14ac:dyDescent="0.4">
      <c r="A2955" s="10" t="s">
        <v>6911</v>
      </c>
      <c r="B2955" s="10" t="s">
        <v>6912</v>
      </c>
      <c r="C2955" s="10" t="s">
        <v>1504</v>
      </c>
      <c r="D2955" s="10" t="s">
        <v>6913</v>
      </c>
      <c r="E2955" s="10" t="s">
        <v>4129</v>
      </c>
      <c r="F2955" s="10" t="s">
        <v>6548</v>
      </c>
      <c r="G2955" s="10" t="s">
        <v>55</v>
      </c>
      <c r="H2955" s="7" t="s">
        <v>24</v>
      </c>
      <c r="I2955" s="7" t="s">
        <v>25</v>
      </c>
      <c r="J2955" s="13" t="str">
        <f>HYPERLINK("https://www.airitibooks.com/Detail/Detail?PublicationID=P20170706064", "https://www.airitibooks.com/Detail/Detail?PublicationID=P20170706064")</f>
        <v>https://www.airitibooks.com/Detail/Detail?PublicationID=P20170706064</v>
      </c>
      <c r="K2955" s="13" t="str">
        <f>HYPERLINK("https://ntsu.idm.oclc.org/login?url=https://www.airitibooks.com/Detail/Detail?PublicationID=P20170706064", "https://ntsu.idm.oclc.org/login?url=https://www.airitibooks.com/Detail/Detail?PublicationID=P20170706064")</f>
        <v>https://ntsu.idm.oclc.org/login?url=https://www.airitibooks.com/Detail/Detail?PublicationID=P20170706064</v>
      </c>
    </row>
    <row r="2956" spans="1:11" ht="51" x14ac:dyDescent="0.4">
      <c r="A2956" s="10" t="s">
        <v>6914</v>
      </c>
      <c r="B2956" s="10" t="s">
        <v>6915</v>
      </c>
      <c r="C2956" s="10" t="s">
        <v>1504</v>
      </c>
      <c r="D2956" s="10" t="s">
        <v>1509</v>
      </c>
      <c r="E2956" s="10" t="s">
        <v>4129</v>
      </c>
      <c r="F2956" s="10" t="s">
        <v>2247</v>
      </c>
      <c r="G2956" s="10" t="s">
        <v>55</v>
      </c>
      <c r="H2956" s="7" t="s">
        <v>24</v>
      </c>
      <c r="I2956" s="7" t="s">
        <v>25</v>
      </c>
      <c r="J2956" s="13" t="str">
        <f>HYPERLINK("https://www.airitibooks.com/Detail/Detail?PublicationID=P20170706066", "https://www.airitibooks.com/Detail/Detail?PublicationID=P20170706066")</f>
        <v>https://www.airitibooks.com/Detail/Detail?PublicationID=P20170706066</v>
      </c>
      <c r="K2956" s="13" t="str">
        <f>HYPERLINK("https://ntsu.idm.oclc.org/login?url=https://www.airitibooks.com/Detail/Detail?PublicationID=P20170706066", "https://ntsu.idm.oclc.org/login?url=https://www.airitibooks.com/Detail/Detail?PublicationID=P20170706066")</f>
        <v>https://ntsu.idm.oclc.org/login?url=https://www.airitibooks.com/Detail/Detail?PublicationID=P20170706066</v>
      </c>
    </row>
    <row r="2957" spans="1:11" ht="51" x14ac:dyDescent="0.4">
      <c r="A2957" s="10" t="s">
        <v>6919</v>
      </c>
      <c r="B2957" s="10" t="s">
        <v>6920</v>
      </c>
      <c r="C2957" s="10" t="s">
        <v>1504</v>
      </c>
      <c r="D2957" s="10" t="s">
        <v>6921</v>
      </c>
      <c r="E2957" s="10" t="s">
        <v>4129</v>
      </c>
      <c r="F2957" s="10" t="s">
        <v>6922</v>
      </c>
      <c r="G2957" s="10" t="s">
        <v>55</v>
      </c>
      <c r="H2957" s="7" t="s">
        <v>24</v>
      </c>
      <c r="I2957" s="7" t="s">
        <v>25</v>
      </c>
      <c r="J2957" s="13" t="str">
        <f>HYPERLINK("https://www.airitibooks.com/Detail/Detail?PublicationID=P20170706069", "https://www.airitibooks.com/Detail/Detail?PublicationID=P20170706069")</f>
        <v>https://www.airitibooks.com/Detail/Detail?PublicationID=P20170706069</v>
      </c>
      <c r="K2957" s="13" t="str">
        <f>HYPERLINK("https://ntsu.idm.oclc.org/login?url=https://www.airitibooks.com/Detail/Detail?PublicationID=P20170706069", "https://ntsu.idm.oclc.org/login?url=https://www.airitibooks.com/Detail/Detail?PublicationID=P20170706069")</f>
        <v>https://ntsu.idm.oclc.org/login?url=https://www.airitibooks.com/Detail/Detail?PublicationID=P20170706069</v>
      </c>
    </row>
    <row r="2958" spans="1:11" ht="51" x14ac:dyDescent="0.4">
      <c r="A2958" s="10" t="s">
        <v>6923</v>
      </c>
      <c r="B2958" s="10" t="s">
        <v>6924</v>
      </c>
      <c r="C2958" s="10" t="s">
        <v>1504</v>
      </c>
      <c r="D2958" s="10" t="s">
        <v>6925</v>
      </c>
      <c r="E2958" s="10" t="s">
        <v>4129</v>
      </c>
      <c r="F2958" s="10" t="s">
        <v>2201</v>
      </c>
      <c r="G2958" s="10" t="s">
        <v>55</v>
      </c>
      <c r="H2958" s="7" t="s">
        <v>24</v>
      </c>
      <c r="I2958" s="7" t="s">
        <v>25</v>
      </c>
      <c r="J2958" s="13" t="str">
        <f>HYPERLINK("https://www.airitibooks.com/Detail/Detail?PublicationID=P20170706070", "https://www.airitibooks.com/Detail/Detail?PublicationID=P20170706070")</f>
        <v>https://www.airitibooks.com/Detail/Detail?PublicationID=P20170706070</v>
      </c>
      <c r="K2958" s="13" t="str">
        <f>HYPERLINK("https://ntsu.idm.oclc.org/login?url=https://www.airitibooks.com/Detail/Detail?PublicationID=P20170706070", "https://ntsu.idm.oclc.org/login?url=https://www.airitibooks.com/Detail/Detail?PublicationID=P20170706070")</f>
        <v>https://ntsu.idm.oclc.org/login?url=https://www.airitibooks.com/Detail/Detail?PublicationID=P20170706070</v>
      </c>
    </row>
    <row r="2959" spans="1:11" ht="51" x14ac:dyDescent="0.4">
      <c r="A2959" s="10" t="s">
        <v>6935</v>
      </c>
      <c r="B2959" s="10" t="s">
        <v>6936</v>
      </c>
      <c r="C2959" s="10" t="s">
        <v>1504</v>
      </c>
      <c r="D2959" s="10" t="s">
        <v>6937</v>
      </c>
      <c r="E2959" s="10" t="s">
        <v>4129</v>
      </c>
      <c r="F2959" s="10" t="s">
        <v>2184</v>
      </c>
      <c r="G2959" s="10" t="s">
        <v>55</v>
      </c>
      <c r="H2959" s="7" t="s">
        <v>24</v>
      </c>
      <c r="I2959" s="7" t="s">
        <v>25</v>
      </c>
      <c r="J2959" s="13" t="str">
        <f>HYPERLINK("https://www.airitibooks.com/Detail/Detail?PublicationID=P20170706084", "https://www.airitibooks.com/Detail/Detail?PublicationID=P20170706084")</f>
        <v>https://www.airitibooks.com/Detail/Detail?PublicationID=P20170706084</v>
      </c>
      <c r="K2959" s="13" t="str">
        <f>HYPERLINK("https://ntsu.idm.oclc.org/login?url=https://www.airitibooks.com/Detail/Detail?PublicationID=P20170706084", "https://ntsu.idm.oclc.org/login?url=https://www.airitibooks.com/Detail/Detail?PublicationID=P20170706084")</f>
        <v>https://ntsu.idm.oclc.org/login?url=https://www.airitibooks.com/Detail/Detail?PublicationID=P20170706084</v>
      </c>
    </row>
    <row r="2960" spans="1:11" ht="51" x14ac:dyDescent="0.4">
      <c r="A2960" s="10" t="s">
        <v>6960</v>
      </c>
      <c r="B2960" s="10" t="s">
        <v>6961</v>
      </c>
      <c r="C2960" s="10" t="s">
        <v>1504</v>
      </c>
      <c r="D2960" s="10" t="s">
        <v>6962</v>
      </c>
      <c r="E2960" s="10" t="s">
        <v>4129</v>
      </c>
      <c r="F2960" s="10" t="s">
        <v>6963</v>
      </c>
      <c r="G2960" s="10" t="s">
        <v>55</v>
      </c>
      <c r="H2960" s="7" t="s">
        <v>24</v>
      </c>
      <c r="I2960" s="7" t="s">
        <v>25</v>
      </c>
      <c r="J2960" s="13" t="str">
        <f>HYPERLINK("https://www.airitibooks.com/Detail/Detail?PublicationID=P20170706095", "https://www.airitibooks.com/Detail/Detail?PublicationID=P20170706095")</f>
        <v>https://www.airitibooks.com/Detail/Detail?PublicationID=P20170706095</v>
      </c>
      <c r="K2960" s="13" t="str">
        <f>HYPERLINK("https://ntsu.idm.oclc.org/login?url=https://www.airitibooks.com/Detail/Detail?PublicationID=P20170706095", "https://ntsu.idm.oclc.org/login?url=https://www.airitibooks.com/Detail/Detail?PublicationID=P20170706095")</f>
        <v>https://ntsu.idm.oclc.org/login?url=https://www.airitibooks.com/Detail/Detail?PublicationID=P20170706095</v>
      </c>
    </row>
    <row r="2961" spans="1:11" ht="68" x14ac:dyDescent="0.4">
      <c r="A2961" s="10" t="s">
        <v>6977</v>
      </c>
      <c r="B2961" s="10" t="s">
        <v>6978</v>
      </c>
      <c r="C2961" s="10" t="s">
        <v>1504</v>
      </c>
      <c r="D2961" s="10" t="s">
        <v>6979</v>
      </c>
      <c r="E2961" s="10" t="s">
        <v>4129</v>
      </c>
      <c r="F2961" s="10" t="s">
        <v>6980</v>
      </c>
      <c r="G2961" s="10" t="s">
        <v>55</v>
      </c>
      <c r="H2961" s="7" t="s">
        <v>24</v>
      </c>
      <c r="I2961" s="7" t="s">
        <v>25</v>
      </c>
      <c r="J2961" s="13" t="str">
        <f>HYPERLINK("https://www.airitibooks.com/Detail/Detail?PublicationID=P20170706108", "https://www.airitibooks.com/Detail/Detail?PublicationID=P20170706108")</f>
        <v>https://www.airitibooks.com/Detail/Detail?PublicationID=P20170706108</v>
      </c>
      <c r="K2961" s="13" t="str">
        <f>HYPERLINK("https://ntsu.idm.oclc.org/login?url=https://www.airitibooks.com/Detail/Detail?PublicationID=P20170706108", "https://ntsu.idm.oclc.org/login?url=https://www.airitibooks.com/Detail/Detail?PublicationID=P20170706108")</f>
        <v>https://ntsu.idm.oclc.org/login?url=https://www.airitibooks.com/Detail/Detail?PublicationID=P20170706108</v>
      </c>
    </row>
    <row r="2962" spans="1:11" ht="51" x14ac:dyDescent="0.4">
      <c r="A2962" s="10" t="s">
        <v>11071</v>
      </c>
      <c r="B2962" s="10" t="s">
        <v>11072</v>
      </c>
      <c r="C2962" s="10" t="s">
        <v>11037</v>
      </c>
      <c r="D2962" s="10" t="s">
        <v>11073</v>
      </c>
      <c r="E2962" s="10" t="s">
        <v>4129</v>
      </c>
      <c r="F2962" s="10" t="s">
        <v>11039</v>
      </c>
      <c r="G2962" s="10" t="s">
        <v>55</v>
      </c>
      <c r="H2962" s="7" t="s">
        <v>1031</v>
      </c>
      <c r="I2962" s="7" t="s">
        <v>25</v>
      </c>
      <c r="J2962" s="13" t="str">
        <f>HYPERLINK("https://www.airitibooks.com/Detail/Detail?PublicationID=P20190419071", "https://www.airitibooks.com/Detail/Detail?PublicationID=P20190419071")</f>
        <v>https://www.airitibooks.com/Detail/Detail?PublicationID=P20190419071</v>
      </c>
      <c r="K2962" s="13" t="str">
        <f>HYPERLINK("https://ntsu.idm.oclc.org/login?url=https://www.airitibooks.com/Detail/Detail?PublicationID=P20190419071", "https://ntsu.idm.oclc.org/login?url=https://www.airitibooks.com/Detail/Detail?PublicationID=P20190419071")</f>
        <v>https://ntsu.idm.oclc.org/login?url=https://www.airitibooks.com/Detail/Detail?PublicationID=P20190419071</v>
      </c>
    </row>
    <row r="2963" spans="1:11" ht="51" x14ac:dyDescent="0.4">
      <c r="A2963" s="10" t="s">
        <v>13115</v>
      </c>
      <c r="B2963" s="10" t="s">
        <v>13116</v>
      </c>
      <c r="C2963" s="10" t="s">
        <v>13117</v>
      </c>
      <c r="D2963" s="10" t="s">
        <v>13118</v>
      </c>
      <c r="E2963" s="10" t="s">
        <v>4129</v>
      </c>
      <c r="F2963" s="10" t="s">
        <v>13119</v>
      </c>
      <c r="G2963" s="10" t="s">
        <v>55</v>
      </c>
      <c r="H2963" s="7" t="s">
        <v>1031</v>
      </c>
      <c r="I2963" s="7" t="s">
        <v>25</v>
      </c>
      <c r="J2963" s="13" t="str">
        <f>HYPERLINK("https://www.airitibooks.com/Detail/Detail?PublicationID=P20191225077", "https://www.airitibooks.com/Detail/Detail?PublicationID=P20191225077")</f>
        <v>https://www.airitibooks.com/Detail/Detail?PublicationID=P20191225077</v>
      </c>
      <c r="K2963" s="13" t="str">
        <f>HYPERLINK("https://ntsu.idm.oclc.org/login?url=https://www.airitibooks.com/Detail/Detail?PublicationID=P20191225077", "https://ntsu.idm.oclc.org/login?url=https://www.airitibooks.com/Detail/Detail?PublicationID=P20191225077")</f>
        <v>https://ntsu.idm.oclc.org/login?url=https://www.airitibooks.com/Detail/Detail?PublicationID=P20191225077</v>
      </c>
    </row>
    <row r="2964" spans="1:11" ht="51" x14ac:dyDescent="0.4">
      <c r="A2964" s="10" t="s">
        <v>13123</v>
      </c>
      <c r="B2964" s="10" t="s">
        <v>13124</v>
      </c>
      <c r="C2964" s="10" t="s">
        <v>13117</v>
      </c>
      <c r="D2964" s="10" t="s">
        <v>13125</v>
      </c>
      <c r="E2964" s="10" t="s">
        <v>4129</v>
      </c>
      <c r="F2964" s="10" t="s">
        <v>13126</v>
      </c>
      <c r="G2964" s="10" t="s">
        <v>55</v>
      </c>
      <c r="H2964" s="7" t="s">
        <v>1031</v>
      </c>
      <c r="I2964" s="7" t="s">
        <v>25</v>
      </c>
      <c r="J2964" s="13" t="str">
        <f>HYPERLINK("https://www.airitibooks.com/Detail/Detail?PublicationID=P20191225083", "https://www.airitibooks.com/Detail/Detail?PublicationID=P20191225083")</f>
        <v>https://www.airitibooks.com/Detail/Detail?PublicationID=P20191225083</v>
      </c>
      <c r="K2964" s="13" t="str">
        <f>HYPERLINK("https://ntsu.idm.oclc.org/login?url=https://www.airitibooks.com/Detail/Detail?PublicationID=P20191225083", "https://ntsu.idm.oclc.org/login?url=https://www.airitibooks.com/Detail/Detail?PublicationID=P20191225083")</f>
        <v>https://ntsu.idm.oclc.org/login?url=https://www.airitibooks.com/Detail/Detail?PublicationID=P20191225083</v>
      </c>
    </row>
    <row r="2965" spans="1:11" ht="51" x14ac:dyDescent="0.4">
      <c r="A2965" s="10" t="s">
        <v>4512</v>
      </c>
      <c r="B2965" s="10" t="s">
        <v>4513</v>
      </c>
      <c r="C2965" s="10" t="s">
        <v>838</v>
      </c>
      <c r="D2965" s="10" t="s">
        <v>4514</v>
      </c>
      <c r="E2965" s="10" t="s">
        <v>4129</v>
      </c>
      <c r="F2965" s="10" t="s">
        <v>144</v>
      </c>
      <c r="G2965" s="10" t="s">
        <v>87</v>
      </c>
      <c r="H2965" s="7" t="s">
        <v>24</v>
      </c>
      <c r="I2965" s="7" t="s">
        <v>25</v>
      </c>
      <c r="J2965" s="13" t="str">
        <f>HYPERLINK("https://www.airitibooks.com/Detail/Detail?PublicationID=P20160421131", "https://www.airitibooks.com/Detail/Detail?PublicationID=P20160421131")</f>
        <v>https://www.airitibooks.com/Detail/Detail?PublicationID=P20160421131</v>
      </c>
      <c r="K2965" s="13" t="str">
        <f>HYPERLINK("https://ntsu.idm.oclc.org/login?url=https://www.airitibooks.com/Detail/Detail?PublicationID=P20160421131", "https://ntsu.idm.oclc.org/login?url=https://www.airitibooks.com/Detail/Detail?PublicationID=P20160421131")</f>
        <v>https://ntsu.idm.oclc.org/login?url=https://www.airitibooks.com/Detail/Detail?PublicationID=P20160421131</v>
      </c>
    </row>
    <row r="2966" spans="1:11" ht="51" x14ac:dyDescent="0.4">
      <c r="A2966" s="10" t="s">
        <v>4520</v>
      </c>
      <c r="B2966" s="10" t="s">
        <v>4521</v>
      </c>
      <c r="C2966" s="10" t="s">
        <v>428</v>
      </c>
      <c r="D2966" s="10" t="s">
        <v>4522</v>
      </c>
      <c r="E2966" s="10" t="s">
        <v>4129</v>
      </c>
      <c r="F2966" s="10" t="s">
        <v>399</v>
      </c>
      <c r="G2966" s="10" t="s">
        <v>87</v>
      </c>
      <c r="H2966" s="7" t="s">
        <v>24</v>
      </c>
      <c r="I2966" s="7" t="s">
        <v>25</v>
      </c>
      <c r="J2966" s="13" t="str">
        <f>HYPERLINK("https://www.airitibooks.com/Detail/Detail?PublicationID=P20160421134", "https://www.airitibooks.com/Detail/Detail?PublicationID=P20160421134")</f>
        <v>https://www.airitibooks.com/Detail/Detail?PublicationID=P20160421134</v>
      </c>
      <c r="K2966" s="13" t="str">
        <f>HYPERLINK("https://ntsu.idm.oclc.org/login?url=https://www.airitibooks.com/Detail/Detail?PublicationID=P20160421134", "https://ntsu.idm.oclc.org/login?url=https://www.airitibooks.com/Detail/Detail?PublicationID=P20160421134")</f>
        <v>https://ntsu.idm.oclc.org/login?url=https://www.airitibooks.com/Detail/Detail?PublicationID=P20160421134</v>
      </c>
    </row>
    <row r="2967" spans="1:11" ht="51" x14ac:dyDescent="0.4">
      <c r="A2967" s="10" t="s">
        <v>4528</v>
      </c>
      <c r="B2967" s="10" t="s">
        <v>4529</v>
      </c>
      <c r="C2967" s="10" t="s">
        <v>297</v>
      </c>
      <c r="D2967" s="10" t="s">
        <v>4530</v>
      </c>
      <c r="E2967" s="10" t="s">
        <v>4129</v>
      </c>
      <c r="F2967" s="10" t="s">
        <v>4531</v>
      </c>
      <c r="G2967" s="10" t="s">
        <v>87</v>
      </c>
      <c r="H2967" s="7" t="s">
        <v>24</v>
      </c>
      <c r="I2967" s="7" t="s">
        <v>25</v>
      </c>
      <c r="J2967" s="13" t="str">
        <f>HYPERLINK("https://www.airitibooks.com/Detail/Detail?PublicationID=P20160421142", "https://www.airitibooks.com/Detail/Detail?PublicationID=P20160421142")</f>
        <v>https://www.airitibooks.com/Detail/Detail?PublicationID=P20160421142</v>
      </c>
      <c r="K2967" s="13" t="str">
        <f>HYPERLINK("https://ntsu.idm.oclc.org/login?url=https://www.airitibooks.com/Detail/Detail?PublicationID=P20160421142", "https://ntsu.idm.oclc.org/login?url=https://www.airitibooks.com/Detail/Detail?PublicationID=P20160421142")</f>
        <v>https://ntsu.idm.oclc.org/login?url=https://www.airitibooks.com/Detail/Detail?PublicationID=P20160421142</v>
      </c>
    </row>
    <row r="2968" spans="1:11" ht="51" x14ac:dyDescent="0.4">
      <c r="A2968" s="10" t="s">
        <v>4545</v>
      </c>
      <c r="B2968" s="10" t="s">
        <v>4546</v>
      </c>
      <c r="C2968" s="10" t="s">
        <v>439</v>
      </c>
      <c r="D2968" s="10" t="s">
        <v>2094</v>
      </c>
      <c r="E2968" s="10" t="s">
        <v>4129</v>
      </c>
      <c r="F2968" s="10" t="s">
        <v>399</v>
      </c>
      <c r="G2968" s="10" t="s">
        <v>87</v>
      </c>
      <c r="H2968" s="7" t="s">
        <v>24</v>
      </c>
      <c r="I2968" s="7" t="s">
        <v>25</v>
      </c>
      <c r="J2968" s="13" t="str">
        <f>HYPERLINK("https://www.airitibooks.com/Detail/Detail?PublicationID=P20160421155", "https://www.airitibooks.com/Detail/Detail?PublicationID=P20160421155")</f>
        <v>https://www.airitibooks.com/Detail/Detail?PublicationID=P20160421155</v>
      </c>
      <c r="K2968" s="13" t="str">
        <f>HYPERLINK("https://ntsu.idm.oclc.org/login?url=https://www.airitibooks.com/Detail/Detail?PublicationID=P20160421155", "https://ntsu.idm.oclc.org/login?url=https://www.airitibooks.com/Detail/Detail?PublicationID=P20160421155")</f>
        <v>https://ntsu.idm.oclc.org/login?url=https://www.airitibooks.com/Detail/Detail?PublicationID=P20160421155</v>
      </c>
    </row>
    <row r="2969" spans="1:11" ht="85" x14ac:dyDescent="0.4">
      <c r="A2969" s="10" t="s">
        <v>4766</v>
      </c>
      <c r="B2969" s="10" t="s">
        <v>4767</v>
      </c>
      <c r="C2969" s="10" t="s">
        <v>568</v>
      </c>
      <c r="D2969" s="10" t="s">
        <v>4768</v>
      </c>
      <c r="E2969" s="10" t="s">
        <v>4129</v>
      </c>
      <c r="F2969" s="10" t="s">
        <v>1440</v>
      </c>
      <c r="G2969" s="10" t="s">
        <v>87</v>
      </c>
      <c r="H2969" s="7" t="s">
        <v>24</v>
      </c>
      <c r="I2969" s="7" t="s">
        <v>25</v>
      </c>
      <c r="J2969" s="13" t="str">
        <f>HYPERLINK("https://www.airitibooks.com/Detail/Detail?PublicationID=P20160629001", "https://www.airitibooks.com/Detail/Detail?PublicationID=P20160629001")</f>
        <v>https://www.airitibooks.com/Detail/Detail?PublicationID=P20160629001</v>
      </c>
      <c r="K2969" s="13" t="str">
        <f>HYPERLINK("https://ntsu.idm.oclc.org/login?url=https://www.airitibooks.com/Detail/Detail?PublicationID=P20160629001", "https://ntsu.idm.oclc.org/login?url=https://www.airitibooks.com/Detail/Detail?PublicationID=P20160629001")</f>
        <v>https://ntsu.idm.oclc.org/login?url=https://www.airitibooks.com/Detail/Detail?PublicationID=P20160629001</v>
      </c>
    </row>
    <row r="2970" spans="1:11" ht="51" x14ac:dyDescent="0.4">
      <c r="A2970" s="10" t="s">
        <v>4769</v>
      </c>
      <c r="B2970" s="10" t="s">
        <v>4770</v>
      </c>
      <c r="C2970" s="10" t="s">
        <v>1253</v>
      </c>
      <c r="D2970" s="10" t="s">
        <v>4771</v>
      </c>
      <c r="E2970" s="10" t="s">
        <v>4129</v>
      </c>
      <c r="F2970" s="10" t="s">
        <v>1208</v>
      </c>
      <c r="G2970" s="10" t="s">
        <v>87</v>
      </c>
      <c r="H2970" s="7" t="s">
        <v>24</v>
      </c>
      <c r="I2970" s="7" t="s">
        <v>25</v>
      </c>
      <c r="J2970" s="13" t="str">
        <f>HYPERLINK("https://www.airitibooks.com/Detail/Detail?PublicationID=P20160701524", "https://www.airitibooks.com/Detail/Detail?PublicationID=P20160701524")</f>
        <v>https://www.airitibooks.com/Detail/Detail?PublicationID=P20160701524</v>
      </c>
      <c r="K2970" s="13" t="str">
        <f>HYPERLINK("https://ntsu.idm.oclc.org/login?url=https://www.airitibooks.com/Detail/Detail?PublicationID=P20160701524", "https://ntsu.idm.oclc.org/login?url=https://www.airitibooks.com/Detail/Detail?PublicationID=P20160701524")</f>
        <v>https://ntsu.idm.oclc.org/login?url=https://www.airitibooks.com/Detail/Detail?PublicationID=P20160701524</v>
      </c>
    </row>
    <row r="2971" spans="1:11" ht="68" x14ac:dyDescent="0.4">
      <c r="A2971" s="10" t="s">
        <v>4786</v>
      </c>
      <c r="B2971" s="10" t="s">
        <v>4787</v>
      </c>
      <c r="C2971" s="10" t="s">
        <v>1253</v>
      </c>
      <c r="D2971" s="10" t="s">
        <v>4788</v>
      </c>
      <c r="E2971" s="10" t="s">
        <v>4129</v>
      </c>
      <c r="F2971" s="10" t="s">
        <v>1073</v>
      </c>
      <c r="G2971" s="10" t="s">
        <v>87</v>
      </c>
      <c r="H2971" s="7" t="s">
        <v>24</v>
      </c>
      <c r="I2971" s="7" t="s">
        <v>25</v>
      </c>
      <c r="J2971" s="13" t="str">
        <f>HYPERLINK("https://www.airitibooks.com/Detail/Detail?PublicationID=P20160705003", "https://www.airitibooks.com/Detail/Detail?PublicationID=P20160705003")</f>
        <v>https://www.airitibooks.com/Detail/Detail?PublicationID=P20160705003</v>
      </c>
      <c r="K2971" s="13" t="str">
        <f>HYPERLINK("https://ntsu.idm.oclc.org/login?url=https://www.airitibooks.com/Detail/Detail?PublicationID=P20160705003", "https://ntsu.idm.oclc.org/login?url=https://www.airitibooks.com/Detail/Detail?PublicationID=P20160705003")</f>
        <v>https://ntsu.idm.oclc.org/login?url=https://www.airitibooks.com/Detail/Detail?PublicationID=P20160705003</v>
      </c>
    </row>
    <row r="2972" spans="1:11" ht="51" x14ac:dyDescent="0.4">
      <c r="A2972" s="10" t="s">
        <v>4980</v>
      </c>
      <c r="B2972" s="10" t="s">
        <v>4981</v>
      </c>
      <c r="C2972" s="10" t="s">
        <v>282</v>
      </c>
      <c r="D2972" s="10" t="s">
        <v>4982</v>
      </c>
      <c r="E2972" s="10" t="s">
        <v>4129</v>
      </c>
      <c r="F2972" s="10" t="s">
        <v>399</v>
      </c>
      <c r="G2972" s="10" t="s">
        <v>87</v>
      </c>
      <c r="H2972" s="7" t="s">
        <v>24</v>
      </c>
      <c r="I2972" s="7" t="s">
        <v>25</v>
      </c>
      <c r="J2972" s="13" t="str">
        <f>HYPERLINK("https://www.airitibooks.com/Detail/Detail?PublicationID=P20160723039", "https://www.airitibooks.com/Detail/Detail?PublicationID=P20160723039")</f>
        <v>https://www.airitibooks.com/Detail/Detail?PublicationID=P20160723039</v>
      </c>
      <c r="K2972" s="13" t="str">
        <f>HYPERLINK("https://ntsu.idm.oclc.org/login?url=https://www.airitibooks.com/Detail/Detail?PublicationID=P20160723039", "https://ntsu.idm.oclc.org/login?url=https://www.airitibooks.com/Detail/Detail?PublicationID=P20160723039")</f>
        <v>https://ntsu.idm.oclc.org/login?url=https://www.airitibooks.com/Detail/Detail?PublicationID=P20160723039</v>
      </c>
    </row>
    <row r="2973" spans="1:11" ht="51" x14ac:dyDescent="0.4">
      <c r="A2973" s="10" t="s">
        <v>5027</v>
      </c>
      <c r="B2973" s="10" t="s">
        <v>5028</v>
      </c>
      <c r="C2973" s="10" t="s">
        <v>4616</v>
      </c>
      <c r="D2973" s="10" t="s">
        <v>5029</v>
      </c>
      <c r="E2973" s="10" t="s">
        <v>4129</v>
      </c>
      <c r="F2973" s="10" t="s">
        <v>5030</v>
      </c>
      <c r="G2973" s="10" t="s">
        <v>87</v>
      </c>
      <c r="H2973" s="7" t="s">
        <v>24</v>
      </c>
      <c r="I2973" s="7" t="s">
        <v>25</v>
      </c>
      <c r="J2973" s="13" t="str">
        <f>HYPERLINK("https://www.airitibooks.com/Detail/Detail?PublicationID=P20160801001", "https://www.airitibooks.com/Detail/Detail?PublicationID=P20160801001")</f>
        <v>https://www.airitibooks.com/Detail/Detail?PublicationID=P20160801001</v>
      </c>
      <c r="K2973" s="13" t="str">
        <f>HYPERLINK("https://ntsu.idm.oclc.org/login?url=https://www.airitibooks.com/Detail/Detail?PublicationID=P20160801001", "https://ntsu.idm.oclc.org/login?url=https://www.airitibooks.com/Detail/Detail?PublicationID=P20160801001")</f>
        <v>https://ntsu.idm.oclc.org/login?url=https://www.airitibooks.com/Detail/Detail?PublicationID=P20160801001</v>
      </c>
    </row>
    <row r="2974" spans="1:11" ht="68" x14ac:dyDescent="0.4">
      <c r="A2974" s="10" t="s">
        <v>5082</v>
      </c>
      <c r="B2974" s="10" t="s">
        <v>5083</v>
      </c>
      <c r="C2974" s="10" t="s">
        <v>568</v>
      </c>
      <c r="D2974" s="10" t="s">
        <v>5084</v>
      </c>
      <c r="E2974" s="10" t="s">
        <v>4129</v>
      </c>
      <c r="F2974" s="10" t="s">
        <v>1440</v>
      </c>
      <c r="G2974" s="10" t="s">
        <v>87</v>
      </c>
      <c r="H2974" s="7" t="s">
        <v>24</v>
      </c>
      <c r="I2974" s="7" t="s">
        <v>25</v>
      </c>
      <c r="J2974" s="13" t="str">
        <f>HYPERLINK("https://www.airitibooks.com/Detail/Detail?PublicationID=P20160806126", "https://www.airitibooks.com/Detail/Detail?PublicationID=P20160806126")</f>
        <v>https://www.airitibooks.com/Detail/Detail?PublicationID=P20160806126</v>
      </c>
      <c r="K2974" s="13" t="str">
        <f>HYPERLINK("https://ntsu.idm.oclc.org/login?url=https://www.airitibooks.com/Detail/Detail?PublicationID=P20160806126", "https://ntsu.idm.oclc.org/login?url=https://www.airitibooks.com/Detail/Detail?PublicationID=P20160806126")</f>
        <v>https://ntsu.idm.oclc.org/login?url=https://www.airitibooks.com/Detail/Detail?PublicationID=P20160806126</v>
      </c>
    </row>
    <row r="2975" spans="1:11" ht="51" x14ac:dyDescent="0.4">
      <c r="A2975" s="10" t="s">
        <v>5130</v>
      </c>
      <c r="B2975" s="10" t="s">
        <v>5131</v>
      </c>
      <c r="C2975" s="10" t="s">
        <v>428</v>
      </c>
      <c r="D2975" s="10" t="s">
        <v>2057</v>
      </c>
      <c r="E2975" s="10" t="s">
        <v>4129</v>
      </c>
      <c r="F2975" s="10" t="s">
        <v>399</v>
      </c>
      <c r="G2975" s="10" t="s">
        <v>87</v>
      </c>
      <c r="H2975" s="7" t="s">
        <v>24</v>
      </c>
      <c r="I2975" s="7" t="s">
        <v>25</v>
      </c>
      <c r="J2975" s="13" t="str">
        <f>HYPERLINK("https://www.airitibooks.com/Detail/Detail?PublicationID=P20160806240", "https://www.airitibooks.com/Detail/Detail?PublicationID=P20160806240")</f>
        <v>https://www.airitibooks.com/Detail/Detail?PublicationID=P20160806240</v>
      </c>
      <c r="K2975" s="13" t="str">
        <f>HYPERLINK("https://ntsu.idm.oclc.org/login?url=https://www.airitibooks.com/Detail/Detail?PublicationID=P20160806240", "https://ntsu.idm.oclc.org/login?url=https://www.airitibooks.com/Detail/Detail?PublicationID=P20160806240")</f>
        <v>https://ntsu.idm.oclc.org/login?url=https://www.airitibooks.com/Detail/Detail?PublicationID=P20160806240</v>
      </c>
    </row>
    <row r="2976" spans="1:11" ht="51" x14ac:dyDescent="0.4">
      <c r="A2976" s="10" t="s">
        <v>5132</v>
      </c>
      <c r="B2976" s="10" t="s">
        <v>5133</v>
      </c>
      <c r="C2976" s="10" t="s">
        <v>428</v>
      </c>
      <c r="D2976" s="10" t="s">
        <v>5134</v>
      </c>
      <c r="E2976" s="10" t="s">
        <v>4129</v>
      </c>
      <c r="F2976" s="10" t="s">
        <v>1208</v>
      </c>
      <c r="G2976" s="10" t="s">
        <v>87</v>
      </c>
      <c r="H2976" s="7" t="s">
        <v>24</v>
      </c>
      <c r="I2976" s="7" t="s">
        <v>25</v>
      </c>
      <c r="J2976" s="13" t="str">
        <f>HYPERLINK("https://www.airitibooks.com/Detail/Detail?PublicationID=P20160806242", "https://www.airitibooks.com/Detail/Detail?PublicationID=P20160806242")</f>
        <v>https://www.airitibooks.com/Detail/Detail?PublicationID=P20160806242</v>
      </c>
      <c r="K2976" s="13" t="str">
        <f>HYPERLINK("https://ntsu.idm.oclc.org/login?url=https://www.airitibooks.com/Detail/Detail?PublicationID=P20160806242", "https://ntsu.idm.oclc.org/login?url=https://www.airitibooks.com/Detail/Detail?PublicationID=P20160806242")</f>
        <v>https://ntsu.idm.oclc.org/login?url=https://www.airitibooks.com/Detail/Detail?PublicationID=P20160806242</v>
      </c>
    </row>
    <row r="2977" spans="1:11" ht="51" x14ac:dyDescent="0.4">
      <c r="A2977" s="10" t="s">
        <v>5135</v>
      </c>
      <c r="B2977" s="10" t="s">
        <v>5136</v>
      </c>
      <c r="C2977" s="10" t="s">
        <v>428</v>
      </c>
      <c r="D2977" s="10" t="s">
        <v>5137</v>
      </c>
      <c r="E2977" s="10" t="s">
        <v>4129</v>
      </c>
      <c r="F2977" s="10" t="s">
        <v>399</v>
      </c>
      <c r="G2977" s="10" t="s">
        <v>87</v>
      </c>
      <c r="H2977" s="7" t="s">
        <v>24</v>
      </c>
      <c r="I2977" s="7" t="s">
        <v>25</v>
      </c>
      <c r="J2977" s="13" t="str">
        <f>HYPERLINK("https://www.airitibooks.com/Detail/Detail?PublicationID=P20160806243", "https://www.airitibooks.com/Detail/Detail?PublicationID=P20160806243")</f>
        <v>https://www.airitibooks.com/Detail/Detail?PublicationID=P20160806243</v>
      </c>
      <c r="K2977" s="13" t="str">
        <f>HYPERLINK("https://ntsu.idm.oclc.org/login?url=https://www.airitibooks.com/Detail/Detail?PublicationID=P20160806243", "https://ntsu.idm.oclc.org/login?url=https://www.airitibooks.com/Detail/Detail?PublicationID=P20160806243")</f>
        <v>https://ntsu.idm.oclc.org/login?url=https://www.airitibooks.com/Detail/Detail?PublicationID=P20160806243</v>
      </c>
    </row>
    <row r="2978" spans="1:11" ht="68" x14ac:dyDescent="0.4">
      <c r="A2978" s="10" t="s">
        <v>5147</v>
      </c>
      <c r="B2978" s="10" t="s">
        <v>5148</v>
      </c>
      <c r="C2978" s="10" t="s">
        <v>297</v>
      </c>
      <c r="D2978" s="10" t="s">
        <v>5149</v>
      </c>
      <c r="E2978" s="10" t="s">
        <v>4129</v>
      </c>
      <c r="F2978" s="10" t="s">
        <v>144</v>
      </c>
      <c r="G2978" s="10" t="s">
        <v>87</v>
      </c>
      <c r="H2978" s="7" t="s">
        <v>24</v>
      </c>
      <c r="I2978" s="7" t="s">
        <v>25</v>
      </c>
      <c r="J2978" s="13" t="str">
        <f>HYPERLINK("https://www.airitibooks.com/Detail/Detail?PublicationID=P20160806251", "https://www.airitibooks.com/Detail/Detail?PublicationID=P20160806251")</f>
        <v>https://www.airitibooks.com/Detail/Detail?PublicationID=P20160806251</v>
      </c>
      <c r="K2978" s="13" t="str">
        <f>HYPERLINK("https://ntsu.idm.oclc.org/login?url=https://www.airitibooks.com/Detail/Detail?PublicationID=P20160806251", "https://ntsu.idm.oclc.org/login?url=https://www.airitibooks.com/Detail/Detail?PublicationID=P20160806251")</f>
        <v>https://ntsu.idm.oclc.org/login?url=https://www.airitibooks.com/Detail/Detail?PublicationID=P20160806251</v>
      </c>
    </row>
    <row r="2979" spans="1:11" ht="51" x14ac:dyDescent="0.4">
      <c r="A2979" s="10" t="s">
        <v>5164</v>
      </c>
      <c r="B2979" s="10" t="s">
        <v>5165</v>
      </c>
      <c r="C2979" s="10" t="s">
        <v>1203</v>
      </c>
      <c r="D2979" s="10" t="s">
        <v>5166</v>
      </c>
      <c r="E2979" s="10" t="s">
        <v>4129</v>
      </c>
      <c r="F2979" s="10" t="s">
        <v>5167</v>
      </c>
      <c r="G2979" s="10" t="s">
        <v>87</v>
      </c>
      <c r="H2979" s="7" t="s">
        <v>24</v>
      </c>
      <c r="I2979" s="7" t="s">
        <v>25</v>
      </c>
      <c r="J2979" s="13" t="str">
        <f>HYPERLINK("https://www.airitibooks.com/Detail/Detail?PublicationID=P20160806263", "https://www.airitibooks.com/Detail/Detail?PublicationID=P20160806263")</f>
        <v>https://www.airitibooks.com/Detail/Detail?PublicationID=P20160806263</v>
      </c>
      <c r="K2979" s="13" t="str">
        <f>HYPERLINK("https://ntsu.idm.oclc.org/login?url=https://www.airitibooks.com/Detail/Detail?PublicationID=P20160806263", "https://ntsu.idm.oclc.org/login?url=https://www.airitibooks.com/Detail/Detail?PublicationID=P20160806263")</f>
        <v>https://ntsu.idm.oclc.org/login?url=https://www.airitibooks.com/Detail/Detail?PublicationID=P20160806263</v>
      </c>
    </row>
    <row r="2980" spans="1:11" ht="51" x14ac:dyDescent="0.4">
      <c r="A2980" s="10" t="s">
        <v>5168</v>
      </c>
      <c r="B2980" s="10" t="s">
        <v>5169</v>
      </c>
      <c r="C2980" s="10" t="s">
        <v>568</v>
      </c>
      <c r="D2980" s="10" t="s">
        <v>1801</v>
      </c>
      <c r="E2980" s="10" t="s">
        <v>4129</v>
      </c>
      <c r="F2980" s="10" t="s">
        <v>399</v>
      </c>
      <c r="G2980" s="10" t="s">
        <v>87</v>
      </c>
      <c r="H2980" s="7" t="s">
        <v>24</v>
      </c>
      <c r="I2980" s="7" t="s">
        <v>25</v>
      </c>
      <c r="J2980" s="13" t="str">
        <f>HYPERLINK("https://www.airitibooks.com/Detail/Detail?PublicationID=P20160806270", "https://www.airitibooks.com/Detail/Detail?PublicationID=P20160806270")</f>
        <v>https://www.airitibooks.com/Detail/Detail?PublicationID=P20160806270</v>
      </c>
      <c r="K2980" s="13" t="str">
        <f>HYPERLINK("https://ntsu.idm.oclc.org/login?url=https://www.airitibooks.com/Detail/Detail?PublicationID=P20160806270", "https://ntsu.idm.oclc.org/login?url=https://www.airitibooks.com/Detail/Detail?PublicationID=P20160806270")</f>
        <v>https://ntsu.idm.oclc.org/login?url=https://www.airitibooks.com/Detail/Detail?PublicationID=P20160806270</v>
      </c>
    </row>
    <row r="2981" spans="1:11" ht="102" x14ac:dyDescent="0.4">
      <c r="A2981" s="10" t="s">
        <v>5352</v>
      </c>
      <c r="B2981" s="10" t="s">
        <v>5353</v>
      </c>
      <c r="C2981" s="10" t="s">
        <v>3863</v>
      </c>
      <c r="D2981" s="10" t="s">
        <v>5354</v>
      </c>
      <c r="E2981" s="10" t="s">
        <v>4129</v>
      </c>
      <c r="F2981" s="10" t="s">
        <v>3869</v>
      </c>
      <c r="G2981" s="10" t="s">
        <v>87</v>
      </c>
      <c r="H2981" s="7" t="s">
        <v>24</v>
      </c>
      <c r="I2981" s="7" t="s">
        <v>25</v>
      </c>
      <c r="J2981" s="13" t="str">
        <f>HYPERLINK("https://www.airitibooks.com/Detail/Detail?PublicationID=P20160907101", "https://www.airitibooks.com/Detail/Detail?PublicationID=P20160907101")</f>
        <v>https://www.airitibooks.com/Detail/Detail?PublicationID=P20160907101</v>
      </c>
      <c r="K2981" s="13" t="str">
        <f>HYPERLINK("https://ntsu.idm.oclc.org/login?url=https://www.airitibooks.com/Detail/Detail?PublicationID=P20160907101", "https://ntsu.idm.oclc.org/login?url=https://www.airitibooks.com/Detail/Detail?PublicationID=P20160907101")</f>
        <v>https://ntsu.idm.oclc.org/login?url=https://www.airitibooks.com/Detail/Detail?PublicationID=P20160907101</v>
      </c>
    </row>
    <row r="2982" spans="1:11" ht="51" x14ac:dyDescent="0.4">
      <c r="A2982" s="10" t="s">
        <v>5427</v>
      </c>
      <c r="B2982" s="10" t="s">
        <v>5428</v>
      </c>
      <c r="C2982" s="10" t="s">
        <v>130</v>
      </c>
      <c r="D2982" s="10" t="s">
        <v>5429</v>
      </c>
      <c r="E2982" s="10" t="s">
        <v>4129</v>
      </c>
      <c r="F2982" s="10" t="s">
        <v>127</v>
      </c>
      <c r="G2982" s="10" t="s">
        <v>87</v>
      </c>
      <c r="H2982" s="7" t="s">
        <v>24</v>
      </c>
      <c r="I2982" s="7" t="s">
        <v>25</v>
      </c>
      <c r="J2982" s="13" t="str">
        <f>HYPERLINK("https://www.airitibooks.com/Detail/Detail?PublicationID=P20160907343", "https://www.airitibooks.com/Detail/Detail?PublicationID=P20160907343")</f>
        <v>https://www.airitibooks.com/Detail/Detail?PublicationID=P20160907343</v>
      </c>
      <c r="K2982" s="13" t="str">
        <f>HYPERLINK("https://ntsu.idm.oclc.org/login?url=https://www.airitibooks.com/Detail/Detail?PublicationID=P20160907343", "https://ntsu.idm.oclc.org/login?url=https://www.airitibooks.com/Detail/Detail?PublicationID=P20160907343")</f>
        <v>https://ntsu.idm.oclc.org/login?url=https://www.airitibooks.com/Detail/Detail?PublicationID=P20160907343</v>
      </c>
    </row>
    <row r="2983" spans="1:11" ht="51" x14ac:dyDescent="0.4">
      <c r="A2983" s="10" t="s">
        <v>5430</v>
      </c>
      <c r="B2983" s="10" t="s">
        <v>5431</v>
      </c>
      <c r="C2983" s="10" t="s">
        <v>130</v>
      </c>
      <c r="D2983" s="10" t="s">
        <v>4146</v>
      </c>
      <c r="E2983" s="10" t="s">
        <v>4129</v>
      </c>
      <c r="F2983" s="10" t="s">
        <v>5432</v>
      </c>
      <c r="G2983" s="10" t="s">
        <v>87</v>
      </c>
      <c r="H2983" s="7" t="s">
        <v>24</v>
      </c>
      <c r="I2983" s="7" t="s">
        <v>25</v>
      </c>
      <c r="J2983" s="13" t="str">
        <f>HYPERLINK("https://www.airitibooks.com/Detail/Detail?PublicationID=P20160907344", "https://www.airitibooks.com/Detail/Detail?PublicationID=P20160907344")</f>
        <v>https://www.airitibooks.com/Detail/Detail?PublicationID=P20160907344</v>
      </c>
      <c r="K2983" s="13" t="str">
        <f>HYPERLINK("https://ntsu.idm.oclc.org/login?url=https://www.airitibooks.com/Detail/Detail?PublicationID=P20160907344", "https://ntsu.idm.oclc.org/login?url=https://www.airitibooks.com/Detail/Detail?PublicationID=P20160907344")</f>
        <v>https://ntsu.idm.oclc.org/login?url=https://www.airitibooks.com/Detail/Detail?PublicationID=P20160907344</v>
      </c>
    </row>
    <row r="2984" spans="1:11" ht="51" x14ac:dyDescent="0.4">
      <c r="A2984" s="10" t="s">
        <v>5433</v>
      </c>
      <c r="B2984" s="10" t="s">
        <v>5434</v>
      </c>
      <c r="C2984" s="10" t="s">
        <v>130</v>
      </c>
      <c r="D2984" s="10" t="s">
        <v>5435</v>
      </c>
      <c r="E2984" s="10" t="s">
        <v>4129</v>
      </c>
      <c r="F2984" s="10" t="s">
        <v>399</v>
      </c>
      <c r="G2984" s="10" t="s">
        <v>87</v>
      </c>
      <c r="H2984" s="7" t="s">
        <v>24</v>
      </c>
      <c r="I2984" s="7" t="s">
        <v>25</v>
      </c>
      <c r="J2984" s="13" t="str">
        <f>HYPERLINK("https://www.airitibooks.com/Detail/Detail?PublicationID=P20160907345", "https://www.airitibooks.com/Detail/Detail?PublicationID=P20160907345")</f>
        <v>https://www.airitibooks.com/Detail/Detail?PublicationID=P20160907345</v>
      </c>
      <c r="K2984" s="13" t="str">
        <f>HYPERLINK("https://ntsu.idm.oclc.org/login?url=https://www.airitibooks.com/Detail/Detail?PublicationID=P20160907345", "https://ntsu.idm.oclc.org/login?url=https://www.airitibooks.com/Detail/Detail?PublicationID=P20160907345")</f>
        <v>https://ntsu.idm.oclc.org/login?url=https://www.airitibooks.com/Detail/Detail?PublicationID=P20160907345</v>
      </c>
    </row>
    <row r="2985" spans="1:11" ht="51" x14ac:dyDescent="0.4">
      <c r="A2985" s="10" t="s">
        <v>5491</v>
      </c>
      <c r="B2985" s="10" t="s">
        <v>5492</v>
      </c>
      <c r="C2985" s="10" t="s">
        <v>130</v>
      </c>
      <c r="D2985" s="10" t="s">
        <v>4185</v>
      </c>
      <c r="E2985" s="10" t="s">
        <v>4129</v>
      </c>
      <c r="F2985" s="10" t="s">
        <v>144</v>
      </c>
      <c r="G2985" s="10" t="s">
        <v>87</v>
      </c>
      <c r="H2985" s="7" t="s">
        <v>24</v>
      </c>
      <c r="I2985" s="7" t="s">
        <v>25</v>
      </c>
      <c r="J2985" s="13" t="str">
        <f>HYPERLINK("https://www.airitibooks.com/Detail/Detail?PublicationID=P20160913054", "https://www.airitibooks.com/Detail/Detail?PublicationID=P20160913054")</f>
        <v>https://www.airitibooks.com/Detail/Detail?PublicationID=P20160913054</v>
      </c>
      <c r="K2985" s="13" t="str">
        <f>HYPERLINK("https://ntsu.idm.oclc.org/login?url=https://www.airitibooks.com/Detail/Detail?PublicationID=P20160913054", "https://ntsu.idm.oclc.org/login?url=https://www.airitibooks.com/Detail/Detail?PublicationID=P20160913054")</f>
        <v>https://ntsu.idm.oclc.org/login?url=https://www.airitibooks.com/Detail/Detail?PublicationID=P20160913054</v>
      </c>
    </row>
    <row r="2986" spans="1:11" ht="51" x14ac:dyDescent="0.4">
      <c r="A2986" s="10" t="s">
        <v>5502</v>
      </c>
      <c r="B2986" s="10" t="s">
        <v>5503</v>
      </c>
      <c r="C2986" s="10" t="s">
        <v>746</v>
      </c>
      <c r="D2986" s="10" t="s">
        <v>5504</v>
      </c>
      <c r="E2986" s="10" t="s">
        <v>4129</v>
      </c>
      <c r="F2986" s="10" t="s">
        <v>425</v>
      </c>
      <c r="G2986" s="10" t="s">
        <v>87</v>
      </c>
      <c r="H2986" s="7" t="s">
        <v>24</v>
      </c>
      <c r="I2986" s="7" t="s">
        <v>25</v>
      </c>
      <c r="J2986" s="13" t="str">
        <f>HYPERLINK("https://www.airitibooks.com/Detail/Detail?PublicationID=P20160913058", "https://www.airitibooks.com/Detail/Detail?PublicationID=P20160913058")</f>
        <v>https://www.airitibooks.com/Detail/Detail?PublicationID=P20160913058</v>
      </c>
      <c r="K2986" s="13" t="str">
        <f>HYPERLINK("https://ntsu.idm.oclc.org/login?url=https://www.airitibooks.com/Detail/Detail?PublicationID=P20160913058", "https://ntsu.idm.oclc.org/login?url=https://www.airitibooks.com/Detail/Detail?PublicationID=P20160913058")</f>
        <v>https://ntsu.idm.oclc.org/login?url=https://www.airitibooks.com/Detail/Detail?PublicationID=P20160913058</v>
      </c>
    </row>
    <row r="2987" spans="1:11" ht="51" x14ac:dyDescent="0.4">
      <c r="A2987" s="10" t="s">
        <v>5505</v>
      </c>
      <c r="B2987" s="10" t="s">
        <v>5506</v>
      </c>
      <c r="C2987" s="10" t="s">
        <v>746</v>
      </c>
      <c r="D2987" s="10" t="s">
        <v>4185</v>
      </c>
      <c r="E2987" s="10" t="s">
        <v>4129</v>
      </c>
      <c r="F2987" s="10" t="s">
        <v>144</v>
      </c>
      <c r="G2987" s="10" t="s">
        <v>87</v>
      </c>
      <c r="H2987" s="7" t="s">
        <v>24</v>
      </c>
      <c r="I2987" s="7" t="s">
        <v>25</v>
      </c>
      <c r="J2987" s="13" t="str">
        <f>HYPERLINK("https://www.airitibooks.com/Detail/Detail?PublicationID=P20160913059", "https://www.airitibooks.com/Detail/Detail?PublicationID=P20160913059")</f>
        <v>https://www.airitibooks.com/Detail/Detail?PublicationID=P20160913059</v>
      </c>
      <c r="K2987" s="13" t="str">
        <f>HYPERLINK("https://ntsu.idm.oclc.org/login?url=https://www.airitibooks.com/Detail/Detail?PublicationID=P20160913059", "https://ntsu.idm.oclc.org/login?url=https://www.airitibooks.com/Detail/Detail?PublicationID=P20160913059")</f>
        <v>https://ntsu.idm.oclc.org/login?url=https://www.airitibooks.com/Detail/Detail?PublicationID=P20160913059</v>
      </c>
    </row>
    <row r="2988" spans="1:11" ht="51" x14ac:dyDescent="0.4">
      <c r="A2988" s="10" t="s">
        <v>5514</v>
      </c>
      <c r="B2988" s="10" t="s">
        <v>5515</v>
      </c>
      <c r="C2988" s="10" t="s">
        <v>746</v>
      </c>
      <c r="D2988" s="10" t="s">
        <v>5516</v>
      </c>
      <c r="E2988" s="10" t="s">
        <v>4129</v>
      </c>
      <c r="F2988" s="10" t="s">
        <v>5517</v>
      </c>
      <c r="G2988" s="10" t="s">
        <v>87</v>
      </c>
      <c r="H2988" s="7" t="s">
        <v>24</v>
      </c>
      <c r="I2988" s="7" t="s">
        <v>25</v>
      </c>
      <c r="J2988" s="13" t="str">
        <f>HYPERLINK("https://www.airitibooks.com/Detail/Detail?PublicationID=P20160913066", "https://www.airitibooks.com/Detail/Detail?PublicationID=P20160913066")</f>
        <v>https://www.airitibooks.com/Detail/Detail?PublicationID=P20160913066</v>
      </c>
      <c r="K2988" s="13" t="str">
        <f>HYPERLINK("https://ntsu.idm.oclc.org/login?url=https://www.airitibooks.com/Detail/Detail?PublicationID=P20160913066", "https://ntsu.idm.oclc.org/login?url=https://www.airitibooks.com/Detail/Detail?PublicationID=P20160913066")</f>
        <v>https://ntsu.idm.oclc.org/login?url=https://www.airitibooks.com/Detail/Detail?PublicationID=P20160913066</v>
      </c>
    </row>
    <row r="2989" spans="1:11" ht="68" x14ac:dyDescent="0.4">
      <c r="A2989" s="10" t="s">
        <v>5603</v>
      </c>
      <c r="B2989" s="10" t="s">
        <v>5604</v>
      </c>
      <c r="C2989" s="10" t="s">
        <v>746</v>
      </c>
      <c r="D2989" s="10" t="s">
        <v>5605</v>
      </c>
      <c r="E2989" s="10" t="s">
        <v>4129</v>
      </c>
      <c r="F2989" s="10" t="s">
        <v>1073</v>
      </c>
      <c r="G2989" s="10" t="s">
        <v>87</v>
      </c>
      <c r="H2989" s="7" t="s">
        <v>24</v>
      </c>
      <c r="I2989" s="7" t="s">
        <v>25</v>
      </c>
      <c r="J2989" s="13" t="str">
        <f>HYPERLINK("https://www.airitibooks.com/Detail/Detail?PublicationID=P20161004097", "https://www.airitibooks.com/Detail/Detail?PublicationID=P20161004097")</f>
        <v>https://www.airitibooks.com/Detail/Detail?PublicationID=P20161004097</v>
      </c>
      <c r="K2989" s="13" t="str">
        <f>HYPERLINK("https://ntsu.idm.oclc.org/login?url=https://www.airitibooks.com/Detail/Detail?PublicationID=P20161004097", "https://ntsu.idm.oclc.org/login?url=https://www.airitibooks.com/Detail/Detail?PublicationID=P20161004097")</f>
        <v>https://ntsu.idm.oclc.org/login?url=https://www.airitibooks.com/Detail/Detail?PublicationID=P20161004097</v>
      </c>
    </row>
    <row r="2990" spans="1:11" ht="51" x14ac:dyDescent="0.4">
      <c r="A2990" s="10" t="s">
        <v>5610</v>
      </c>
      <c r="B2990" s="10" t="s">
        <v>5611</v>
      </c>
      <c r="C2990" s="10" t="s">
        <v>746</v>
      </c>
      <c r="D2990" s="10" t="s">
        <v>5612</v>
      </c>
      <c r="E2990" s="10" t="s">
        <v>4129</v>
      </c>
      <c r="F2990" s="10" t="s">
        <v>144</v>
      </c>
      <c r="G2990" s="10" t="s">
        <v>87</v>
      </c>
      <c r="H2990" s="7" t="s">
        <v>24</v>
      </c>
      <c r="I2990" s="7" t="s">
        <v>25</v>
      </c>
      <c r="J2990" s="13" t="str">
        <f>HYPERLINK("https://www.airitibooks.com/Detail/Detail?PublicationID=P20161004104", "https://www.airitibooks.com/Detail/Detail?PublicationID=P20161004104")</f>
        <v>https://www.airitibooks.com/Detail/Detail?PublicationID=P20161004104</v>
      </c>
      <c r="K2990" s="13" t="str">
        <f>HYPERLINK("https://ntsu.idm.oclc.org/login?url=https://www.airitibooks.com/Detail/Detail?PublicationID=P20161004104", "https://ntsu.idm.oclc.org/login?url=https://www.airitibooks.com/Detail/Detail?PublicationID=P20161004104")</f>
        <v>https://ntsu.idm.oclc.org/login?url=https://www.airitibooks.com/Detail/Detail?PublicationID=P20161004104</v>
      </c>
    </row>
    <row r="2991" spans="1:11" ht="68" x14ac:dyDescent="0.4">
      <c r="A2991" s="10" t="s">
        <v>5664</v>
      </c>
      <c r="B2991" s="10" t="s">
        <v>5665</v>
      </c>
      <c r="C2991" s="10" t="s">
        <v>1484</v>
      </c>
      <c r="D2991" s="10" t="s">
        <v>5666</v>
      </c>
      <c r="E2991" s="10" t="s">
        <v>4129</v>
      </c>
      <c r="F2991" s="10" t="s">
        <v>5167</v>
      </c>
      <c r="G2991" s="10" t="s">
        <v>87</v>
      </c>
      <c r="H2991" s="7" t="s">
        <v>24</v>
      </c>
      <c r="I2991" s="7" t="s">
        <v>25</v>
      </c>
      <c r="J2991" s="13" t="str">
        <f>HYPERLINK("https://www.airitibooks.com/Detail/Detail?PublicationID=P20161107098", "https://www.airitibooks.com/Detail/Detail?PublicationID=P20161107098")</f>
        <v>https://www.airitibooks.com/Detail/Detail?PublicationID=P20161107098</v>
      </c>
      <c r="K2991" s="13" t="str">
        <f>HYPERLINK("https://ntsu.idm.oclc.org/login?url=https://www.airitibooks.com/Detail/Detail?PublicationID=P20161107098", "https://ntsu.idm.oclc.org/login?url=https://www.airitibooks.com/Detail/Detail?PublicationID=P20161107098")</f>
        <v>https://ntsu.idm.oclc.org/login?url=https://www.airitibooks.com/Detail/Detail?PublicationID=P20161107098</v>
      </c>
    </row>
    <row r="2992" spans="1:11" ht="51" x14ac:dyDescent="0.4">
      <c r="A2992" s="10" t="s">
        <v>5693</v>
      </c>
      <c r="B2992" s="10" t="s">
        <v>5694</v>
      </c>
      <c r="C2992" s="10" t="s">
        <v>297</v>
      </c>
      <c r="D2992" s="10" t="s">
        <v>5695</v>
      </c>
      <c r="E2992" s="10" t="s">
        <v>4129</v>
      </c>
      <c r="F2992" s="10" t="s">
        <v>475</v>
      </c>
      <c r="G2992" s="10" t="s">
        <v>87</v>
      </c>
      <c r="H2992" s="7" t="s">
        <v>24</v>
      </c>
      <c r="I2992" s="7" t="s">
        <v>25</v>
      </c>
      <c r="J2992" s="13" t="str">
        <f>HYPERLINK("https://www.airitibooks.com/Detail/Detail?PublicationID=P20161219009", "https://www.airitibooks.com/Detail/Detail?PublicationID=P20161219009")</f>
        <v>https://www.airitibooks.com/Detail/Detail?PublicationID=P20161219009</v>
      </c>
      <c r="K2992" s="13" t="str">
        <f>HYPERLINK("https://ntsu.idm.oclc.org/login?url=https://www.airitibooks.com/Detail/Detail?PublicationID=P20161219009", "https://ntsu.idm.oclc.org/login?url=https://www.airitibooks.com/Detail/Detail?PublicationID=P20161219009")</f>
        <v>https://ntsu.idm.oclc.org/login?url=https://www.airitibooks.com/Detail/Detail?PublicationID=P20161219009</v>
      </c>
    </row>
    <row r="2993" spans="1:11" ht="51" x14ac:dyDescent="0.4">
      <c r="A2993" s="10" t="s">
        <v>5757</v>
      </c>
      <c r="B2993" s="10" t="s">
        <v>5758</v>
      </c>
      <c r="C2993" s="10" t="s">
        <v>3280</v>
      </c>
      <c r="D2993" s="10" t="s">
        <v>3281</v>
      </c>
      <c r="E2993" s="10" t="s">
        <v>4129</v>
      </c>
      <c r="F2993" s="10" t="s">
        <v>1208</v>
      </c>
      <c r="G2993" s="10" t="s">
        <v>87</v>
      </c>
      <c r="H2993" s="7" t="s">
        <v>24</v>
      </c>
      <c r="I2993" s="7" t="s">
        <v>25</v>
      </c>
      <c r="J2993" s="13" t="str">
        <f>HYPERLINK("https://www.airitibooks.com/Detail/Detail?PublicationID=P20161221035", "https://www.airitibooks.com/Detail/Detail?PublicationID=P20161221035")</f>
        <v>https://www.airitibooks.com/Detail/Detail?PublicationID=P20161221035</v>
      </c>
      <c r="K2993" s="13" t="str">
        <f>HYPERLINK("https://ntsu.idm.oclc.org/login?url=https://www.airitibooks.com/Detail/Detail?PublicationID=P20161221035", "https://ntsu.idm.oclc.org/login?url=https://www.airitibooks.com/Detail/Detail?PublicationID=P20161221035")</f>
        <v>https://ntsu.idm.oclc.org/login?url=https://www.airitibooks.com/Detail/Detail?PublicationID=P20161221035</v>
      </c>
    </row>
    <row r="2994" spans="1:11" ht="51" x14ac:dyDescent="0.4">
      <c r="A2994" s="10" t="s">
        <v>5923</v>
      </c>
      <c r="B2994" s="10" t="s">
        <v>5924</v>
      </c>
      <c r="C2994" s="10" t="s">
        <v>371</v>
      </c>
      <c r="D2994" s="10" t="s">
        <v>372</v>
      </c>
      <c r="E2994" s="10" t="s">
        <v>4129</v>
      </c>
      <c r="F2994" s="10" t="s">
        <v>475</v>
      </c>
      <c r="G2994" s="10" t="s">
        <v>87</v>
      </c>
      <c r="H2994" s="7" t="s">
        <v>24</v>
      </c>
      <c r="I2994" s="7" t="s">
        <v>25</v>
      </c>
      <c r="J2994" s="13" t="str">
        <f>HYPERLINK("https://www.airitibooks.com/Detail/Detail?PublicationID=P20170119003", "https://www.airitibooks.com/Detail/Detail?PublicationID=P20170119003")</f>
        <v>https://www.airitibooks.com/Detail/Detail?PublicationID=P20170119003</v>
      </c>
      <c r="K2994" s="13" t="str">
        <f>HYPERLINK("https://ntsu.idm.oclc.org/login?url=https://www.airitibooks.com/Detail/Detail?PublicationID=P20170119003", "https://ntsu.idm.oclc.org/login?url=https://www.airitibooks.com/Detail/Detail?PublicationID=P20170119003")</f>
        <v>https://ntsu.idm.oclc.org/login?url=https://www.airitibooks.com/Detail/Detail?PublicationID=P20170119003</v>
      </c>
    </row>
    <row r="2995" spans="1:11" ht="51" x14ac:dyDescent="0.4">
      <c r="A2995" s="10" t="s">
        <v>5925</v>
      </c>
      <c r="B2995" s="10" t="s">
        <v>5926</v>
      </c>
      <c r="C2995" s="10" t="s">
        <v>371</v>
      </c>
      <c r="D2995" s="10" t="s">
        <v>372</v>
      </c>
      <c r="E2995" s="10" t="s">
        <v>4129</v>
      </c>
      <c r="F2995" s="10" t="s">
        <v>475</v>
      </c>
      <c r="G2995" s="10" t="s">
        <v>87</v>
      </c>
      <c r="H2995" s="7" t="s">
        <v>24</v>
      </c>
      <c r="I2995" s="7" t="s">
        <v>25</v>
      </c>
      <c r="J2995" s="13" t="str">
        <f>HYPERLINK("https://www.airitibooks.com/Detail/Detail?PublicationID=P20170119004", "https://www.airitibooks.com/Detail/Detail?PublicationID=P20170119004")</f>
        <v>https://www.airitibooks.com/Detail/Detail?PublicationID=P20170119004</v>
      </c>
      <c r="K2995" s="13" t="str">
        <f>HYPERLINK("https://ntsu.idm.oclc.org/login?url=https://www.airitibooks.com/Detail/Detail?PublicationID=P20170119004", "https://ntsu.idm.oclc.org/login?url=https://www.airitibooks.com/Detail/Detail?PublicationID=P20170119004")</f>
        <v>https://ntsu.idm.oclc.org/login?url=https://www.airitibooks.com/Detail/Detail?PublicationID=P20170119004</v>
      </c>
    </row>
    <row r="2996" spans="1:11" ht="51" x14ac:dyDescent="0.4">
      <c r="A2996" s="10" t="s">
        <v>5927</v>
      </c>
      <c r="B2996" s="10" t="s">
        <v>5928</v>
      </c>
      <c r="C2996" s="10" t="s">
        <v>371</v>
      </c>
      <c r="D2996" s="10" t="s">
        <v>372</v>
      </c>
      <c r="E2996" s="10" t="s">
        <v>4129</v>
      </c>
      <c r="F2996" s="10" t="s">
        <v>475</v>
      </c>
      <c r="G2996" s="10" t="s">
        <v>87</v>
      </c>
      <c r="H2996" s="7" t="s">
        <v>24</v>
      </c>
      <c r="I2996" s="7" t="s">
        <v>25</v>
      </c>
      <c r="J2996" s="13" t="str">
        <f>HYPERLINK("https://www.airitibooks.com/Detail/Detail?PublicationID=P20170119005", "https://www.airitibooks.com/Detail/Detail?PublicationID=P20170119005")</f>
        <v>https://www.airitibooks.com/Detail/Detail?PublicationID=P20170119005</v>
      </c>
      <c r="K2996" s="13" t="str">
        <f>HYPERLINK("https://ntsu.idm.oclc.org/login?url=https://www.airitibooks.com/Detail/Detail?PublicationID=P20170119005", "https://ntsu.idm.oclc.org/login?url=https://www.airitibooks.com/Detail/Detail?PublicationID=P20170119005")</f>
        <v>https://ntsu.idm.oclc.org/login?url=https://www.airitibooks.com/Detail/Detail?PublicationID=P20170119005</v>
      </c>
    </row>
    <row r="2997" spans="1:11" ht="51" x14ac:dyDescent="0.4">
      <c r="A2997" s="10" t="s">
        <v>5929</v>
      </c>
      <c r="B2997" s="10" t="s">
        <v>5930</v>
      </c>
      <c r="C2997" s="10" t="s">
        <v>371</v>
      </c>
      <c r="D2997" s="10" t="s">
        <v>372</v>
      </c>
      <c r="E2997" s="10" t="s">
        <v>4129</v>
      </c>
      <c r="F2997" s="10" t="s">
        <v>475</v>
      </c>
      <c r="G2997" s="10" t="s">
        <v>87</v>
      </c>
      <c r="H2997" s="7" t="s">
        <v>24</v>
      </c>
      <c r="I2997" s="7" t="s">
        <v>25</v>
      </c>
      <c r="J2997" s="13" t="str">
        <f>HYPERLINK("https://www.airitibooks.com/Detail/Detail?PublicationID=P20170119006", "https://www.airitibooks.com/Detail/Detail?PublicationID=P20170119006")</f>
        <v>https://www.airitibooks.com/Detail/Detail?PublicationID=P20170119006</v>
      </c>
      <c r="K2997" s="13" t="str">
        <f>HYPERLINK("https://ntsu.idm.oclc.org/login?url=https://www.airitibooks.com/Detail/Detail?PublicationID=P20170119006", "https://ntsu.idm.oclc.org/login?url=https://www.airitibooks.com/Detail/Detail?PublicationID=P20170119006")</f>
        <v>https://ntsu.idm.oclc.org/login?url=https://www.airitibooks.com/Detail/Detail?PublicationID=P20170119006</v>
      </c>
    </row>
    <row r="2998" spans="1:11" ht="51" x14ac:dyDescent="0.4">
      <c r="A2998" s="10" t="s">
        <v>5931</v>
      </c>
      <c r="B2998" s="10" t="s">
        <v>5932</v>
      </c>
      <c r="C2998" s="10" t="s">
        <v>371</v>
      </c>
      <c r="D2998" s="10" t="s">
        <v>372</v>
      </c>
      <c r="E2998" s="10" t="s">
        <v>4129</v>
      </c>
      <c r="F2998" s="10" t="s">
        <v>475</v>
      </c>
      <c r="G2998" s="10" t="s">
        <v>87</v>
      </c>
      <c r="H2998" s="7" t="s">
        <v>24</v>
      </c>
      <c r="I2998" s="7" t="s">
        <v>25</v>
      </c>
      <c r="J2998" s="13" t="str">
        <f>HYPERLINK("https://www.airitibooks.com/Detail/Detail?PublicationID=P20170119022", "https://www.airitibooks.com/Detail/Detail?PublicationID=P20170119022")</f>
        <v>https://www.airitibooks.com/Detail/Detail?PublicationID=P20170119022</v>
      </c>
      <c r="K2998" s="13" t="str">
        <f>HYPERLINK("https://ntsu.idm.oclc.org/login?url=https://www.airitibooks.com/Detail/Detail?PublicationID=P20170119022", "https://ntsu.idm.oclc.org/login?url=https://www.airitibooks.com/Detail/Detail?PublicationID=P20170119022")</f>
        <v>https://ntsu.idm.oclc.org/login?url=https://www.airitibooks.com/Detail/Detail?PublicationID=P20170119022</v>
      </c>
    </row>
    <row r="2999" spans="1:11" ht="51" x14ac:dyDescent="0.4">
      <c r="A2999" s="10" t="s">
        <v>5933</v>
      </c>
      <c r="B2999" s="10" t="s">
        <v>5934</v>
      </c>
      <c r="C2999" s="10" t="s">
        <v>371</v>
      </c>
      <c r="D2999" s="10" t="s">
        <v>372</v>
      </c>
      <c r="E2999" s="10" t="s">
        <v>4129</v>
      </c>
      <c r="F2999" s="10" t="s">
        <v>475</v>
      </c>
      <c r="G2999" s="10" t="s">
        <v>87</v>
      </c>
      <c r="H2999" s="7" t="s">
        <v>24</v>
      </c>
      <c r="I2999" s="7" t="s">
        <v>25</v>
      </c>
      <c r="J2999" s="13" t="str">
        <f>HYPERLINK("https://www.airitibooks.com/Detail/Detail?PublicationID=P20170119023", "https://www.airitibooks.com/Detail/Detail?PublicationID=P20170119023")</f>
        <v>https://www.airitibooks.com/Detail/Detail?PublicationID=P20170119023</v>
      </c>
      <c r="K2999" s="13" t="str">
        <f>HYPERLINK("https://ntsu.idm.oclc.org/login?url=https://www.airitibooks.com/Detail/Detail?PublicationID=P20170119023", "https://ntsu.idm.oclc.org/login?url=https://www.airitibooks.com/Detail/Detail?PublicationID=P20170119023")</f>
        <v>https://ntsu.idm.oclc.org/login?url=https://www.airitibooks.com/Detail/Detail?PublicationID=P20170119023</v>
      </c>
    </row>
    <row r="3000" spans="1:11" ht="51" x14ac:dyDescent="0.4">
      <c r="A3000" s="10" t="s">
        <v>5935</v>
      </c>
      <c r="B3000" s="10" t="s">
        <v>5936</v>
      </c>
      <c r="C3000" s="10" t="s">
        <v>371</v>
      </c>
      <c r="D3000" s="10" t="s">
        <v>372</v>
      </c>
      <c r="E3000" s="10" t="s">
        <v>4129</v>
      </c>
      <c r="F3000" s="10" t="s">
        <v>475</v>
      </c>
      <c r="G3000" s="10" t="s">
        <v>87</v>
      </c>
      <c r="H3000" s="7" t="s">
        <v>24</v>
      </c>
      <c r="I3000" s="7" t="s">
        <v>25</v>
      </c>
      <c r="J3000" s="13" t="str">
        <f>HYPERLINK("https://www.airitibooks.com/Detail/Detail?PublicationID=P20170119024", "https://www.airitibooks.com/Detail/Detail?PublicationID=P20170119024")</f>
        <v>https://www.airitibooks.com/Detail/Detail?PublicationID=P20170119024</v>
      </c>
      <c r="K3000" s="13" t="str">
        <f>HYPERLINK("https://ntsu.idm.oclc.org/login?url=https://www.airitibooks.com/Detail/Detail?PublicationID=P20170119024", "https://ntsu.idm.oclc.org/login?url=https://www.airitibooks.com/Detail/Detail?PublicationID=P20170119024")</f>
        <v>https://ntsu.idm.oclc.org/login?url=https://www.airitibooks.com/Detail/Detail?PublicationID=P20170119024</v>
      </c>
    </row>
    <row r="3001" spans="1:11" ht="51" x14ac:dyDescent="0.4">
      <c r="A3001" s="10" t="s">
        <v>5937</v>
      </c>
      <c r="B3001" s="10" t="s">
        <v>5938</v>
      </c>
      <c r="C3001" s="10" t="s">
        <v>371</v>
      </c>
      <c r="D3001" s="10" t="s">
        <v>372</v>
      </c>
      <c r="E3001" s="10" t="s">
        <v>4129</v>
      </c>
      <c r="F3001" s="10" t="s">
        <v>5517</v>
      </c>
      <c r="G3001" s="10" t="s">
        <v>87</v>
      </c>
      <c r="H3001" s="7" t="s">
        <v>24</v>
      </c>
      <c r="I3001" s="7" t="s">
        <v>25</v>
      </c>
      <c r="J3001" s="13" t="str">
        <f>HYPERLINK("https://www.airitibooks.com/Detail/Detail?PublicationID=P20170119028", "https://www.airitibooks.com/Detail/Detail?PublicationID=P20170119028")</f>
        <v>https://www.airitibooks.com/Detail/Detail?PublicationID=P20170119028</v>
      </c>
      <c r="K3001" s="13" t="str">
        <f>HYPERLINK("https://ntsu.idm.oclc.org/login?url=https://www.airitibooks.com/Detail/Detail?PublicationID=P20170119028", "https://ntsu.idm.oclc.org/login?url=https://www.airitibooks.com/Detail/Detail?PublicationID=P20170119028")</f>
        <v>https://ntsu.idm.oclc.org/login?url=https://www.airitibooks.com/Detail/Detail?PublicationID=P20170119028</v>
      </c>
    </row>
    <row r="3002" spans="1:11" ht="51" x14ac:dyDescent="0.4">
      <c r="A3002" s="10" t="s">
        <v>5939</v>
      </c>
      <c r="B3002" s="10" t="s">
        <v>5940</v>
      </c>
      <c r="C3002" s="10" t="s">
        <v>371</v>
      </c>
      <c r="D3002" s="10" t="s">
        <v>372</v>
      </c>
      <c r="E3002" s="10" t="s">
        <v>4129</v>
      </c>
      <c r="F3002" s="10" t="s">
        <v>5517</v>
      </c>
      <c r="G3002" s="10" t="s">
        <v>87</v>
      </c>
      <c r="H3002" s="7" t="s">
        <v>24</v>
      </c>
      <c r="I3002" s="7" t="s">
        <v>25</v>
      </c>
      <c r="J3002" s="13" t="str">
        <f>HYPERLINK("https://www.airitibooks.com/Detail/Detail?PublicationID=P20170119029", "https://www.airitibooks.com/Detail/Detail?PublicationID=P20170119029")</f>
        <v>https://www.airitibooks.com/Detail/Detail?PublicationID=P20170119029</v>
      </c>
      <c r="K3002" s="13" t="str">
        <f>HYPERLINK("https://ntsu.idm.oclc.org/login?url=https://www.airitibooks.com/Detail/Detail?PublicationID=P20170119029", "https://ntsu.idm.oclc.org/login?url=https://www.airitibooks.com/Detail/Detail?PublicationID=P20170119029")</f>
        <v>https://ntsu.idm.oclc.org/login?url=https://www.airitibooks.com/Detail/Detail?PublicationID=P20170119029</v>
      </c>
    </row>
    <row r="3003" spans="1:11" ht="51" x14ac:dyDescent="0.4">
      <c r="A3003" s="10" t="s">
        <v>5941</v>
      </c>
      <c r="B3003" s="10" t="s">
        <v>5942</v>
      </c>
      <c r="C3003" s="10" t="s">
        <v>371</v>
      </c>
      <c r="D3003" s="10" t="s">
        <v>372</v>
      </c>
      <c r="E3003" s="10" t="s">
        <v>4129</v>
      </c>
      <c r="F3003" s="10" t="s">
        <v>5517</v>
      </c>
      <c r="G3003" s="10" t="s">
        <v>87</v>
      </c>
      <c r="H3003" s="7" t="s">
        <v>24</v>
      </c>
      <c r="I3003" s="7" t="s">
        <v>25</v>
      </c>
      <c r="J3003" s="13" t="str">
        <f>HYPERLINK("https://www.airitibooks.com/Detail/Detail?PublicationID=P20170119030", "https://www.airitibooks.com/Detail/Detail?PublicationID=P20170119030")</f>
        <v>https://www.airitibooks.com/Detail/Detail?PublicationID=P20170119030</v>
      </c>
      <c r="K3003" s="13" t="str">
        <f>HYPERLINK("https://ntsu.idm.oclc.org/login?url=https://www.airitibooks.com/Detail/Detail?PublicationID=P20170119030", "https://ntsu.idm.oclc.org/login?url=https://www.airitibooks.com/Detail/Detail?PublicationID=P20170119030")</f>
        <v>https://ntsu.idm.oclc.org/login?url=https://www.airitibooks.com/Detail/Detail?PublicationID=P20170119030</v>
      </c>
    </row>
    <row r="3004" spans="1:11" ht="51" x14ac:dyDescent="0.4">
      <c r="A3004" s="10" t="s">
        <v>5943</v>
      </c>
      <c r="B3004" s="10" t="s">
        <v>5944</v>
      </c>
      <c r="C3004" s="10" t="s">
        <v>371</v>
      </c>
      <c r="D3004" s="10" t="s">
        <v>372</v>
      </c>
      <c r="E3004" s="10" t="s">
        <v>4129</v>
      </c>
      <c r="F3004" s="10" t="s">
        <v>5517</v>
      </c>
      <c r="G3004" s="10" t="s">
        <v>87</v>
      </c>
      <c r="H3004" s="7" t="s">
        <v>24</v>
      </c>
      <c r="I3004" s="7" t="s">
        <v>25</v>
      </c>
      <c r="J3004" s="13" t="str">
        <f>HYPERLINK("https://www.airitibooks.com/Detail/Detail?PublicationID=P20170119031", "https://www.airitibooks.com/Detail/Detail?PublicationID=P20170119031")</f>
        <v>https://www.airitibooks.com/Detail/Detail?PublicationID=P20170119031</v>
      </c>
      <c r="K3004" s="13" t="str">
        <f>HYPERLINK("https://ntsu.idm.oclc.org/login?url=https://www.airitibooks.com/Detail/Detail?PublicationID=P20170119031", "https://ntsu.idm.oclc.org/login?url=https://www.airitibooks.com/Detail/Detail?PublicationID=P20170119031")</f>
        <v>https://ntsu.idm.oclc.org/login?url=https://www.airitibooks.com/Detail/Detail?PublicationID=P20170119031</v>
      </c>
    </row>
    <row r="3005" spans="1:11" ht="51" x14ac:dyDescent="0.4">
      <c r="A3005" s="10" t="s">
        <v>5945</v>
      </c>
      <c r="B3005" s="10" t="s">
        <v>5946</v>
      </c>
      <c r="C3005" s="10" t="s">
        <v>371</v>
      </c>
      <c r="D3005" s="10" t="s">
        <v>372</v>
      </c>
      <c r="E3005" s="10" t="s">
        <v>4129</v>
      </c>
      <c r="F3005" s="10" t="s">
        <v>5517</v>
      </c>
      <c r="G3005" s="10" t="s">
        <v>87</v>
      </c>
      <c r="H3005" s="7" t="s">
        <v>24</v>
      </c>
      <c r="I3005" s="7" t="s">
        <v>25</v>
      </c>
      <c r="J3005" s="13" t="str">
        <f>HYPERLINK("https://www.airitibooks.com/Detail/Detail?PublicationID=P20170119032", "https://www.airitibooks.com/Detail/Detail?PublicationID=P20170119032")</f>
        <v>https://www.airitibooks.com/Detail/Detail?PublicationID=P20170119032</v>
      </c>
      <c r="K3005" s="13" t="str">
        <f>HYPERLINK("https://ntsu.idm.oclc.org/login?url=https://www.airitibooks.com/Detail/Detail?PublicationID=P20170119032", "https://ntsu.idm.oclc.org/login?url=https://www.airitibooks.com/Detail/Detail?PublicationID=P20170119032")</f>
        <v>https://ntsu.idm.oclc.org/login?url=https://www.airitibooks.com/Detail/Detail?PublicationID=P20170119032</v>
      </c>
    </row>
    <row r="3006" spans="1:11" ht="51" x14ac:dyDescent="0.4">
      <c r="A3006" s="10" t="s">
        <v>5947</v>
      </c>
      <c r="B3006" s="10" t="s">
        <v>5948</v>
      </c>
      <c r="C3006" s="10" t="s">
        <v>371</v>
      </c>
      <c r="D3006" s="10" t="s">
        <v>372</v>
      </c>
      <c r="E3006" s="10" t="s">
        <v>4129</v>
      </c>
      <c r="F3006" s="10" t="s">
        <v>5517</v>
      </c>
      <c r="G3006" s="10" t="s">
        <v>87</v>
      </c>
      <c r="H3006" s="7" t="s">
        <v>24</v>
      </c>
      <c r="I3006" s="7" t="s">
        <v>25</v>
      </c>
      <c r="J3006" s="13" t="str">
        <f>HYPERLINK("https://www.airitibooks.com/Detail/Detail?PublicationID=P20170119047", "https://www.airitibooks.com/Detail/Detail?PublicationID=P20170119047")</f>
        <v>https://www.airitibooks.com/Detail/Detail?PublicationID=P20170119047</v>
      </c>
      <c r="K3006" s="13" t="str">
        <f>HYPERLINK("https://ntsu.idm.oclc.org/login?url=https://www.airitibooks.com/Detail/Detail?PublicationID=P20170119047", "https://ntsu.idm.oclc.org/login?url=https://www.airitibooks.com/Detail/Detail?PublicationID=P20170119047")</f>
        <v>https://ntsu.idm.oclc.org/login?url=https://www.airitibooks.com/Detail/Detail?PublicationID=P20170119047</v>
      </c>
    </row>
    <row r="3007" spans="1:11" ht="51" x14ac:dyDescent="0.4">
      <c r="A3007" s="10" t="s">
        <v>5949</v>
      </c>
      <c r="B3007" s="10" t="s">
        <v>5950</v>
      </c>
      <c r="C3007" s="10" t="s">
        <v>371</v>
      </c>
      <c r="D3007" s="10" t="s">
        <v>372</v>
      </c>
      <c r="E3007" s="10" t="s">
        <v>4129</v>
      </c>
      <c r="F3007" s="10" t="s">
        <v>5517</v>
      </c>
      <c r="G3007" s="10" t="s">
        <v>87</v>
      </c>
      <c r="H3007" s="7" t="s">
        <v>24</v>
      </c>
      <c r="I3007" s="7" t="s">
        <v>25</v>
      </c>
      <c r="J3007" s="13" t="str">
        <f>HYPERLINK("https://www.airitibooks.com/Detail/Detail?PublicationID=P20170119048", "https://www.airitibooks.com/Detail/Detail?PublicationID=P20170119048")</f>
        <v>https://www.airitibooks.com/Detail/Detail?PublicationID=P20170119048</v>
      </c>
      <c r="K3007" s="13" t="str">
        <f>HYPERLINK("https://ntsu.idm.oclc.org/login?url=https://www.airitibooks.com/Detail/Detail?PublicationID=P20170119048", "https://ntsu.idm.oclc.org/login?url=https://www.airitibooks.com/Detail/Detail?PublicationID=P20170119048")</f>
        <v>https://ntsu.idm.oclc.org/login?url=https://www.airitibooks.com/Detail/Detail?PublicationID=P20170119048</v>
      </c>
    </row>
    <row r="3008" spans="1:11" ht="51" x14ac:dyDescent="0.4">
      <c r="A3008" s="10" t="s">
        <v>5951</v>
      </c>
      <c r="B3008" s="10" t="s">
        <v>5952</v>
      </c>
      <c r="C3008" s="10" t="s">
        <v>371</v>
      </c>
      <c r="D3008" s="10" t="s">
        <v>372</v>
      </c>
      <c r="E3008" s="10" t="s">
        <v>4129</v>
      </c>
      <c r="F3008" s="10" t="s">
        <v>5517</v>
      </c>
      <c r="G3008" s="10" t="s">
        <v>87</v>
      </c>
      <c r="H3008" s="7" t="s">
        <v>24</v>
      </c>
      <c r="I3008" s="7" t="s">
        <v>25</v>
      </c>
      <c r="J3008" s="13" t="str">
        <f>HYPERLINK("https://www.airitibooks.com/Detail/Detail?PublicationID=P20170119049", "https://www.airitibooks.com/Detail/Detail?PublicationID=P20170119049")</f>
        <v>https://www.airitibooks.com/Detail/Detail?PublicationID=P20170119049</v>
      </c>
      <c r="K3008" s="13" t="str">
        <f>HYPERLINK("https://ntsu.idm.oclc.org/login?url=https://www.airitibooks.com/Detail/Detail?PublicationID=P20170119049", "https://ntsu.idm.oclc.org/login?url=https://www.airitibooks.com/Detail/Detail?PublicationID=P20170119049")</f>
        <v>https://ntsu.idm.oclc.org/login?url=https://www.airitibooks.com/Detail/Detail?PublicationID=P20170119049</v>
      </c>
    </row>
    <row r="3009" spans="1:11" ht="51" x14ac:dyDescent="0.4">
      <c r="A3009" s="10" t="s">
        <v>5953</v>
      </c>
      <c r="B3009" s="10" t="s">
        <v>5954</v>
      </c>
      <c r="C3009" s="10" t="s">
        <v>371</v>
      </c>
      <c r="D3009" s="10" t="s">
        <v>372</v>
      </c>
      <c r="E3009" s="10" t="s">
        <v>4129</v>
      </c>
      <c r="F3009" s="10" t="s">
        <v>1732</v>
      </c>
      <c r="G3009" s="10" t="s">
        <v>87</v>
      </c>
      <c r="H3009" s="7" t="s">
        <v>24</v>
      </c>
      <c r="I3009" s="7" t="s">
        <v>25</v>
      </c>
      <c r="J3009" s="13" t="str">
        <f>HYPERLINK("https://www.airitibooks.com/Detail/Detail?PublicationID=P20170119052", "https://www.airitibooks.com/Detail/Detail?PublicationID=P20170119052")</f>
        <v>https://www.airitibooks.com/Detail/Detail?PublicationID=P20170119052</v>
      </c>
      <c r="K3009" s="13" t="str">
        <f>HYPERLINK("https://ntsu.idm.oclc.org/login?url=https://www.airitibooks.com/Detail/Detail?PublicationID=P20170119052", "https://ntsu.idm.oclc.org/login?url=https://www.airitibooks.com/Detail/Detail?PublicationID=P20170119052")</f>
        <v>https://ntsu.idm.oclc.org/login?url=https://www.airitibooks.com/Detail/Detail?PublicationID=P20170119052</v>
      </c>
    </row>
    <row r="3010" spans="1:11" ht="51" x14ac:dyDescent="0.4">
      <c r="A3010" s="10" t="s">
        <v>5955</v>
      </c>
      <c r="B3010" s="10" t="s">
        <v>5956</v>
      </c>
      <c r="C3010" s="10" t="s">
        <v>371</v>
      </c>
      <c r="D3010" s="10" t="s">
        <v>372</v>
      </c>
      <c r="E3010" s="10" t="s">
        <v>4129</v>
      </c>
      <c r="F3010" s="10" t="s">
        <v>1732</v>
      </c>
      <c r="G3010" s="10" t="s">
        <v>87</v>
      </c>
      <c r="H3010" s="7" t="s">
        <v>24</v>
      </c>
      <c r="I3010" s="7" t="s">
        <v>25</v>
      </c>
      <c r="J3010" s="13" t="str">
        <f>HYPERLINK("https://www.airitibooks.com/Detail/Detail?PublicationID=P20170119053", "https://www.airitibooks.com/Detail/Detail?PublicationID=P20170119053")</f>
        <v>https://www.airitibooks.com/Detail/Detail?PublicationID=P20170119053</v>
      </c>
      <c r="K3010" s="13" t="str">
        <f>HYPERLINK("https://ntsu.idm.oclc.org/login?url=https://www.airitibooks.com/Detail/Detail?PublicationID=P20170119053", "https://ntsu.idm.oclc.org/login?url=https://www.airitibooks.com/Detail/Detail?PublicationID=P20170119053")</f>
        <v>https://ntsu.idm.oclc.org/login?url=https://www.airitibooks.com/Detail/Detail?PublicationID=P20170119053</v>
      </c>
    </row>
    <row r="3011" spans="1:11" ht="51" x14ac:dyDescent="0.4">
      <c r="A3011" s="10" t="s">
        <v>5957</v>
      </c>
      <c r="B3011" s="10" t="s">
        <v>5958</v>
      </c>
      <c r="C3011" s="10" t="s">
        <v>371</v>
      </c>
      <c r="D3011" s="10" t="s">
        <v>372</v>
      </c>
      <c r="E3011" s="10" t="s">
        <v>4129</v>
      </c>
      <c r="F3011" s="10" t="s">
        <v>1732</v>
      </c>
      <c r="G3011" s="10" t="s">
        <v>87</v>
      </c>
      <c r="H3011" s="7" t="s">
        <v>24</v>
      </c>
      <c r="I3011" s="7" t="s">
        <v>25</v>
      </c>
      <c r="J3011" s="13" t="str">
        <f>HYPERLINK("https://www.airitibooks.com/Detail/Detail?PublicationID=P20170119054", "https://www.airitibooks.com/Detail/Detail?PublicationID=P20170119054")</f>
        <v>https://www.airitibooks.com/Detail/Detail?PublicationID=P20170119054</v>
      </c>
      <c r="K3011" s="13" t="str">
        <f>HYPERLINK("https://ntsu.idm.oclc.org/login?url=https://www.airitibooks.com/Detail/Detail?PublicationID=P20170119054", "https://ntsu.idm.oclc.org/login?url=https://www.airitibooks.com/Detail/Detail?PublicationID=P20170119054")</f>
        <v>https://ntsu.idm.oclc.org/login?url=https://www.airitibooks.com/Detail/Detail?PublicationID=P20170119054</v>
      </c>
    </row>
    <row r="3012" spans="1:11" ht="51" x14ac:dyDescent="0.4">
      <c r="A3012" s="10" t="s">
        <v>5959</v>
      </c>
      <c r="B3012" s="10" t="s">
        <v>5960</v>
      </c>
      <c r="C3012" s="10" t="s">
        <v>371</v>
      </c>
      <c r="D3012" s="10" t="s">
        <v>372</v>
      </c>
      <c r="E3012" s="10" t="s">
        <v>4129</v>
      </c>
      <c r="F3012" s="10" t="s">
        <v>1732</v>
      </c>
      <c r="G3012" s="10" t="s">
        <v>87</v>
      </c>
      <c r="H3012" s="7" t="s">
        <v>24</v>
      </c>
      <c r="I3012" s="7" t="s">
        <v>25</v>
      </c>
      <c r="J3012" s="13" t="str">
        <f>HYPERLINK("https://www.airitibooks.com/Detail/Detail?PublicationID=P20170119060", "https://www.airitibooks.com/Detail/Detail?PublicationID=P20170119060")</f>
        <v>https://www.airitibooks.com/Detail/Detail?PublicationID=P20170119060</v>
      </c>
      <c r="K3012" s="13" t="str">
        <f>HYPERLINK("https://ntsu.idm.oclc.org/login?url=https://www.airitibooks.com/Detail/Detail?PublicationID=P20170119060", "https://ntsu.idm.oclc.org/login?url=https://www.airitibooks.com/Detail/Detail?PublicationID=P20170119060")</f>
        <v>https://ntsu.idm.oclc.org/login?url=https://www.airitibooks.com/Detail/Detail?PublicationID=P20170119060</v>
      </c>
    </row>
    <row r="3013" spans="1:11" ht="51" x14ac:dyDescent="0.4">
      <c r="A3013" s="10" t="s">
        <v>5961</v>
      </c>
      <c r="B3013" s="10" t="s">
        <v>5962</v>
      </c>
      <c r="C3013" s="10" t="s">
        <v>371</v>
      </c>
      <c r="D3013" s="10" t="s">
        <v>372</v>
      </c>
      <c r="E3013" s="10" t="s">
        <v>4129</v>
      </c>
      <c r="F3013" s="10" t="s">
        <v>1732</v>
      </c>
      <c r="G3013" s="10" t="s">
        <v>87</v>
      </c>
      <c r="H3013" s="7" t="s">
        <v>24</v>
      </c>
      <c r="I3013" s="7" t="s">
        <v>25</v>
      </c>
      <c r="J3013" s="13" t="str">
        <f>HYPERLINK("https://www.airitibooks.com/Detail/Detail?PublicationID=P20170119061", "https://www.airitibooks.com/Detail/Detail?PublicationID=P20170119061")</f>
        <v>https://www.airitibooks.com/Detail/Detail?PublicationID=P20170119061</v>
      </c>
      <c r="K3013" s="13" t="str">
        <f>HYPERLINK("https://ntsu.idm.oclc.org/login?url=https://www.airitibooks.com/Detail/Detail?PublicationID=P20170119061", "https://ntsu.idm.oclc.org/login?url=https://www.airitibooks.com/Detail/Detail?PublicationID=P20170119061")</f>
        <v>https://ntsu.idm.oclc.org/login?url=https://www.airitibooks.com/Detail/Detail?PublicationID=P20170119061</v>
      </c>
    </row>
    <row r="3014" spans="1:11" ht="51" x14ac:dyDescent="0.4">
      <c r="A3014" s="10" t="s">
        <v>5963</v>
      </c>
      <c r="B3014" s="10" t="s">
        <v>5964</v>
      </c>
      <c r="C3014" s="10" t="s">
        <v>371</v>
      </c>
      <c r="D3014" s="10" t="s">
        <v>372</v>
      </c>
      <c r="E3014" s="10" t="s">
        <v>4129</v>
      </c>
      <c r="F3014" s="10" t="s">
        <v>1732</v>
      </c>
      <c r="G3014" s="10" t="s">
        <v>87</v>
      </c>
      <c r="H3014" s="7" t="s">
        <v>24</v>
      </c>
      <c r="I3014" s="7" t="s">
        <v>25</v>
      </c>
      <c r="J3014" s="13" t="str">
        <f>HYPERLINK("https://www.airitibooks.com/Detail/Detail?PublicationID=P20170119062", "https://www.airitibooks.com/Detail/Detail?PublicationID=P20170119062")</f>
        <v>https://www.airitibooks.com/Detail/Detail?PublicationID=P20170119062</v>
      </c>
      <c r="K3014" s="13" t="str">
        <f>HYPERLINK("https://ntsu.idm.oclc.org/login?url=https://www.airitibooks.com/Detail/Detail?PublicationID=P20170119062", "https://ntsu.idm.oclc.org/login?url=https://www.airitibooks.com/Detail/Detail?PublicationID=P20170119062")</f>
        <v>https://ntsu.idm.oclc.org/login?url=https://www.airitibooks.com/Detail/Detail?PublicationID=P20170119062</v>
      </c>
    </row>
    <row r="3015" spans="1:11" ht="51" x14ac:dyDescent="0.4">
      <c r="A3015" s="10" t="s">
        <v>5965</v>
      </c>
      <c r="B3015" s="10" t="s">
        <v>5966</v>
      </c>
      <c r="C3015" s="10" t="s">
        <v>371</v>
      </c>
      <c r="D3015" s="10" t="s">
        <v>372</v>
      </c>
      <c r="E3015" s="10" t="s">
        <v>4129</v>
      </c>
      <c r="F3015" s="10" t="s">
        <v>1732</v>
      </c>
      <c r="G3015" s="10" t="s">
        <v>87</v>
      </c>
      <c r="H3015" s="7" t="s">
        <v>24</v>
      </c>
      <c r="I3015" s="7" t="s">
        <v>25</v>
      </c>
      <c r="J3015" s="13" t="str">
        <f>HYPERLINK("https://www.airitibooks.com/Detail/Detail?PublicationID=P20170119063", "https://www.airitibooks.com/Detail/Detail?PublicationID=P20170119063")</f>
        <v>https://www.airitibooks.com/Detail/Detail?PublicationID=P20170119063</v>
      </c>
      <c r="K3015" s="13" t="str">
        <f>HYPERLINK("https://ntsu.idm.oclc.org/login?url=https://www.airitibooks.com/Detail/Detail?PublicationID=P20170119063", "https://ntsu.idm.oclc.org/login?url=https://www.airitibooks.com/Detail/Detail?PublicationID=P20170119063")</f>
        <v>https://ntsu.idm.oclc.org/login?url=https://www.airitibooks.com/Detail/Detail?PublicationID=P20170119063</v>
      </c>
    </row>
    <row r="3016" spans="1:11" ht="51" x14ac:dyDescent="0.4">
      <c r="A3016" s="10" t="s">
        <v>5967</v>
      </c>
      <c r="B3016" s="10" t="s">
        <v>5968</v>
      </c>
      <c r="C3016" s="10" t="s">
        <v>371</v>
      </c>
      <c r="D3016" s="10" t="s">
        <v>372</v>
      </c>
      <c r="E3016" s="10" t="s">
        <v>4129</v>
      </c>
      <c r="F3016" s="10" t="s">
        <v>1732</v>
      </c>
      <c r="G3016" s="10" t="s">
        <v>87</v>
      </c>
      <c r="H3016" s="7" t="s">
        <v>24</v>
      </c>
      <c r="I3016" s="7" t="s">
        <v>25</v>
      </c>
      <c r="J3016" s="13" t="str">
        <f>HYPERLINK("https://www.airitibooks.com/Detail/Detail?PublicationID=P20170119064", "https://www.airitibooks.com/Detail/Detail?PublicationID=P20170119064")</f>
        <v>https://www.airitibooks.com/Detail/Detail?PublicationID=P20170119064</v>
      </c>
      <c r="K3016" s="13" t="str">
        <f>HYPERLINK("https://ntsu.idm.oclc.org/login?url=https://www.airitibooks.com/Detail/Detail?PublicationID=P20170119064", "https://ntsu.idm.oclc.org/login?url=https://www.airitibooks.com/Detail/Detail?PublicationID=P20170119064")</f>
        <v>https://ntsu.idm.oclc.org/login?url=https://www.airitibooks.com/Detail/Detail?PublicationID=P20170119064</v>
      </c>
    </row>
    <row r="3017" spans="1:11" ht="51" x14ac:dyDescent="0.4">
      <c r="A3017" s="10" t="s">
        <v>5969</v>
      </c>
      <c r="B3017" s="10" t="s">
        <v>5970</v>
      </c>
      <c r="C3017" s="10" t="s">
        <v>371</v>
      </c>
      <c r="D3017" s="10" t="s">
        <v>372</v>
      </c>
      <c r="E3017" s="10" t="s">
        <v>4129</v>
      </c>
      <c r="F3017" s="10" t="s">
        <v>1732</v>
      </c>
      <c r="G3017" s="10" t="s">
        <v>87</v>
      </c>
      <c r="H3017" s="7" t="s">
        <v>24</v>
      </c>
      <c r="I3017" s="7" t="s">
        <v>25</v>
      </c>
      <c r="J3017" s="13" t="str">
        <f>HYPERLINK("https://www.airitibooks.com/Detail/Detail?PublicationID=P20170119065", "https://www.airitibooks.com/Detail/Detail?PublicationID=P20170119065")</f>
        <v>https://www.airitibooks.com/Detail/Detail?PublicationID=P20170119065</v>
      </c>
      <c r="K3017" s="13" t="str">
        <f>HYPERLINK("https://ntsu.idm.oclc.org/login?url=https://www.airitibooks.com/Detail/Detail?PublicationID=P20170119065", "https://ntsu.idm.oclc.org/login?url=https://www.airitibooks.com/Detail/Detail?PublicationID=P20170119065")</f>
        <v>https://ntsu.idm.oclc.org/login?url=https://www.airitibooks.com/Detail/Detail?PublicationID=P20170119065</v>
      </c>
    </row>
    <row r="3018" spans="1:11" ht="51" x14ac:dyDescent="0.4">
      <c r="A3018" s="10" t="s">
        <v>5971</v>
      </c>
      <c r="B3018" s="10" t="s">
        <v>5972</v>
      </c>
      <c r="C3018" s="10" t="s">
        <v>371</v>
      </c>
      <c r="D3018" s="10" t="s">
        <v>372</v>
      </c>
      <c r="E3018" s="10" t="s">
        <v>4129</v>
      </c>
      <c r="F3018" s="10" t="s">
        <v>1732</v>
      </c>
      <c r="G3018" s="10" t="s">
        <v>87</v>
      </c>
      <c r="H3018" s="7" t="s">
        <v>24</v>
      </c>
      <c r="I3018" s="7" t="s">
        <v>25</v>
      </c>
      <c r="J3018" s="13" t="str">
        <f>HYPERLINK("https://www.airitibooks.com/Detail/Detail?PublicationID=P20170119076", "https://www.airitibooks.com/Detail/Detail?PublicationID=P20170119076")</f>
        <v>https://www.airitibooks.com/Detail/Detail?PublicationID=P20170119076</v>
      </c>
      <c r="K3018" s="13" t="str">
        <f>HYPERLINK("https://ntsu.idm.oclc.org/login?url=https://www.airitibooks.com/Detail/Detail?PublicationID=P20170119076", "https://ntsu.idm.oclc.org/login?url=https://www.airitibooks.com/Detail/Detail?PublicationID=P20170119076")</f>
        <v>https://ntsu.idm.oclc.org/login?url=https://www.airitibooks.com/Detail/Detail?PublicationID=P20170119076</v>
      </c>
    </row>
    <row r="3019" spans="1:11" ht="51" x14ac:dyDescent="0.4">
      <c r="A3019" s="10" t="s">
        <v>5973</v>
      </c>
      <c r="B3019" s="10" t="s">
        <v>5974</v>
      </c>
      <c r="C3019" s="10" t="s">
        <v>371</v>
      </c>
      <c r="D3019" s="10" t="s">
        <v>372</v>
      </c>
      <c r="E3019" s="10" t="s">
        <v>4129</v>
      </c>
      <c r="F3019" s="10" t="s">
        <v>1732</v>
      </c>
      <c r="G3019" s="10" t="s">
        <v>87</v>
      </c>
      <c r="H3019" s="7" t="s">
        <v>24</v>
      </c>
      <c r="I3019" s="7" t="s">
        <v>25</v>
      </c>
      <c r="J3019" s="13" t="str">
        <f>HYPERLINK("https://www.airitibooks.com/Detail/Detail?PublicationID=P20170119077", "https://www.airitibooks.com/Detail/Detail?PublicationID=P20170119077")</f>
        <v>https://www.airitibooks.com/Detail/Detail?PublicationID=P20170119077</v>
      </c>
      <c r="K3019" s="13" t="str">
        <f>HYPERLINK("https://ntsu.idm.oclc.org/login?url=https://www.airitibooks.com/Detail/Detail?PublicationID=P20170119077", "https://ntsu.idm.oclc.org/login?url=https://www.airitibooks.com/Detail/Detail?PublicationID=P20170119077")</f>
        <v>https://ntsu.idm.oclc.org/login?url=https://www.airitibooks.com/Detail/Detail?PublicationID=P20170119077</v>
      </c>
    </row>
    <row r="3020" spans="1:11" ht="51" x14ac:dyDescent="0.4">
      <c r="A3020" s="10" t="s">
        <v>5975</v>
      </c>
      <c r="B3020" s="10" t="s">
        <v>5976</v>
      </c>
      <c r="C3020" s="10" t="s">
        <v>371</v>
      </c>
      <c r="D3020" s="10" t="s">
        <v>372</v>
      </c>
      <c r="E3020" s="10" t="s">
        <v>4129</v>
      </c>
      <c r="F3020" s="10" t="s">
        <v>1732</v>
      </c>
      <c r="G3020" s="10" t="s">
        <v>87</v>
      </c>
      <c r="H3020" s="7" t="s">
        <v>24</v>
      </c>
      <c r="I3020" s="7" t="s">
        <v>25</v>
      </c>
      <c r="J3020" s="13" t="str">
        <f>HYPERLINK("https://www.airitibooks.com/Detail/Detail?PublicationID=P20170119078", "https://www.airitibooks.com/Detail/Detail?PublicationID=P20170119078")</f>
        <v>https://www.airitibooks.com/Detail/Detail?PublicationID=P20170119078</v>
      </c>
      <c r="K3020" s="13" t="str">
        <f>HYPERLINK("https://ntsu.idm.oclc.org/login?url=https://www.airitibooks.com/Detail/Detail?PublicationID=P20170119078", "https://ntsu.idm.oclc.org/login?url=https://www.airitibooks.com/Detail/Detail?PublicationID=P20170119078")</f>
        <v>https://ntsu.idm.oclc.org/login?url=https://www.airitibooks.com/Detail/Detail?PublicationID=P20170119078</v>
      </c>
    </row>
    <row r="3021" spans="1:11" ht="68" x14ac:dyDescent="0.4">
      <c r="A3021" s="10" t="s">
        <v>5989</v>
      </c>
      <c r="B3021" s="10" t="s">
        <v>5990</v>
      </c>
      <c r="C3021" s="10" t="s">
        <v>2854</v>
      </c>
      <c r="D3021" s="10" t="s">
        <v>5991</v>
      </c>
      <c r="E3021" s="10" t="s">
        <v>4129</v>
      </c>
      <c r="F3021" s="10" t="s">
        <v>4197</v>
      </c>
      <c r="G3021" s="10" t="s">
        <v>87</v>
      </c>
      <c r="H3021" s="7" t="s">
        <v>24</v>
      </c>
      <c r="I3021" s="7" t="s">
        <v>25</v>
      </c>
      <c r="J3021" s="13" t="str">
        <f>HYPERLINK("https://www.airitibooks.com/Detail/Detail?PublicationID=P20170203084", "https://www.airitibooks.com/Detail/Detail?PublicationID=P20170203084")</f>
        <v>https://www.airitibooks.com/Detail/Detail?PublicationID=P20170203084</v>
      </c>
      <c r="K3021" s="13" t="str">
        <f>HYPERLINK("https://ntsu.idm.oclc.org/login?url=https://www.airitibooks.com/Detail/Detail?PublicationID=P20170203084", "https://ntsu.idm.oclc.org/login?url=https://www.airitibooks.com/Detail/Detail?PublicationID=P20170203084")</f>
        <v>https://ntsu.idm.oclc.org/login?url=https://www.airitibooks.com/Detail/Detail?PublicationID=P20170203084</v>
      </c>
    </row>
    <row r="3022" spans="1:11" ht="51" x14ac:dyDescent="0.4">
      <c r="A3022" s="10" t="s">
        <v>6007</v>
      </c>
      <c r="B3022" s="10" t="s">
        <v>6008</v>
      </c>
      <c r="C3022" s="10" t="s">
        <v>3863</v>
      </c>
      <c r="D3022" s="10" t="s">
        <v>6009</v>
      </c>
      <c r="E3022" s="10" t="s">
        <v>4129</v>
      </c>
      <c r="F3022" s="10" t="s">
        <v>399</v>
      </c>
      <c r="G3022" s="10" t="s">
        <v>87</v>
      </c>
      <c r="H3022" s="7" t="s">
        <v>24</v>
      </c>
      <c r="I3022" s="7" t="s">
        <v>25</v>
      </c>
      <c r="J3022" s="13" t="str">
        <f>HYPERLINK("https://www.airitibooks.com/Detail/Detail?PublicationID=P20170203094", "https://www.airitibooks.com/Detail/Detail?PublicationID=P20170203094")</f>
        <v>https://www.airitibooks.com/Detail/Detail?PublicationID=P20170203094</v>
      </c>
      <c r="K3022" s="13" t="str">
        <f>HYPERLINK("https://ntsu.idm.oclc.org/login?url=https://www.airitibooks.com/Detail/Detail?PublicationID=P20170203094", "https://ntsu.idm.oclc.org/login?url=https://www.airitibooks.com/Detail/Detail?PublicationID=P20170203094")</f>
        <v>https://ntsu.idm.oclc.org/login?url=https://www.airitibooks.com/Detail/Detail?PublicationID=P20170203094</v>
      </c>
    </row>
    <row r="3023" spans="1:11" ht="51" x14ac:dyDescent="0.4">
      <c r="A3023" s="10" t="s">
        <v>6010</v>
      </c>
      <c r="B3023" s="10" t="s">
        <v>6011</v>
      </c>
      <c r="C3023" s="10" t="s">
        <v>3863</v>
      </c>
      <c r="D3023" s="10" t="s">
        <v>6009</v>
      </c>
      <c r="E3023" s="10" t="s">
        <v>4129</v>
      </c>
      <c r="F3023" s="10" t="s">
        <v>399</v>
      </c>
      <c r="G3023" s="10" t="s">
        <v>87</v>
      </c>
      <c r="H3023" s="7" t="s">
        <v>24</v>
      </c>
      <c r="I3023" s="7" t="s">
        <v>25</v>
      </c>
      <c r="J3023" s="13" t="str">
        <f>HYPERLINK("https://www.airitibooks.com/Detail/Detail?PublicationID=P20170203095", "https://www.airitibooks.com/Detail/Detail?PublicationID=P20170203095")</f>
        <v>https://www.airitibooks.com/Detail/Detail?PublicationID=P20170203095</v>
      </c>
      <c r="K3023" s="13" t="str">
        <f>HYPERLINK("https://ntsu.idm.oclc.org/login?url=https://www.airitibooks.com/Detail/Detail?PublicationID=P20170203095", "https://ntsu.idm.oclc.org/login?url=https://www.airitibooks.com/Detail/Detail?PublicationID=P20170203095")</f>
        <v>https://ntsu.idm.oclc.org/login?url=https://www.airitibooks.com/Detail/Detail?PublicationID=P20170203095</v>
      </c>
    </row>
    <row r="3024" spans="1:11" ht="51" x14ac:dyDescent="0.4">
      <c r="A3024" s="10" t="s">
        <v>6012</v>
      </c>
      <c r="B3024" s="10" t="s">
        <v>6013</v>
      </c>
      <c r="C3024" s="10" t="s">
        <v>3863</v>
      </c>
      <c r="D3024" s="10" t="s">
        <v>6009</v>
      </c>
      <c r="E3024" s="10" t="s">
        <v>4129</v>
      </c>
      <c r="F3024" s="10" t="s">
        <v>399</v>
      </c>
      <c r="G3024" s="10" t="s">
        <v>87</v>
      </c>
      <c r="H3024" s="7" t="s">
        <v>24</v>
      </c>
      <c r="I3024" s="7" t="s">
        <v>25</v>
      </c>
      <c r="J3024" s="13" t="str">
        <f>HYPERLINK("https://www.airitibooks.com/Detail/Detail?PublicationID=P20170203096", "https://www.airitibooks.com/Detail/Detail?PublicationID=P20170203096")</f>
        <v>https://www.airitibooks.com/Detail/Detail?PublicationID=P20170203096</v>
      </c>
      <c r="K3024" s="13" t="str">
        <f>HYPERLINK("https://ntsu.idm.oclc.org/login?url=https://www.airitibooks.com/Detail/Detail?PublicationID=P20170203096", "https://ntsu.idm.oclc.org/login?url=https://www.airitibooks.com/Detail/Detail?PublicationID=P20170203096")</f>
        <v>https://ntsu.idm.oclc.org/login?url=https://www.airitibooks.com/Detail/Detail?PublicationID=P20170203096</v>
      </c>
    </row>
    <row r="3025" spans="1:11" ht="51" x14ac:dyDescent="0.4">
      <c r="A3025" s="10" t="s">
        <v>6033</v>
      </c>
      <c r="B3025" s="10" t="s">
        <v>6034</v>
      </c>
      <c r="C3025" s="10" t="s">
        <v>938</v>
      </c>
      <c r="D3025" s="10" t="s">
        <v>6035</v>
      </c>
      <c r="E3025" s="10" t="s">
        <v>4129</v>
      </c>
      <c r="F3025" s="10" t="s">
        <v>2063</v>
      </c>
      <c r="G3025" s="10" t="s">
        <v>87</v>
      </c>
      <c r="H3025" s="7" t="s">
        <v>24</v>
      </c>
      <c r="I3025" s="7" t="s">
        <v>25</v>
      </c>
      <c r="J3025" s="13" t="str">
        <f>HYPERLINK("https://www.airitibooks.com/Detail/Detail?PublicationID=P20170203115", "https://www.airitibooks.com/Detail/Detail?PublicationID=P20170203115")</f>
        <v>https://www.airitibooks.com/Detail/Detail?PublicationID=P20170203115</v>
      </c>
      <c r="K3025" s="13" t="str">
        <f>HYPERLINK("https://ntsu.idm.oclc.org/login?url=https://www.airitibooks.com/Detail/Detail?PublicationID=P20170203115", "https://ntsu.idm.oclc.org/login?url=https://www.airitibooks.com/Detail/Detail?PublicationID=P20170203115")</f>
        <v>https://ntsu.idm.oclc.org/login?url=https://www.airitibooks.com/Detail/Detail?PublicationID=P20170203115</v>
      </c>
    </row>
    <row r="3026" spans="1:11" ht="51" x14ac:dyDescent="0.4">
      <c r="A3026" s="10" t="s">
        <v>6057</v>
      </c>
      <c r="B3026" s="10" t="s">
        <v>6058</v>
      </c>
      <c r="C3026" s="10" t="s">
        <v>130</v>
      </c>
      <c r="D3026" s="10" t="s">
        <v>6059</v>
      </c>
      <c r="E3026" s="10" t="s">
        <v>4129</v>
      </c>
      <c r="F3026" s="10" t="s">
        <v>144</v>
      </c>
      <c r="G3026" s="10" t="s">
        <v>87</v>
      </c>
      <c r="H3026" s="7" t="s">
        <v>24</v>
      </c>
      <c r="I3026" s="7" t="s">
        <v>25</v>
      </c>
      <c r="J3026" s="13" t="str">
        <f>HYPERLINK("https://www.airitibooks.com/Detail/Detail?PublicationID=P20170203214", "https://www.airitibooks.com/Detail/Detail?PublicationID=P20170203214")</f>
        <v>https://www.airitibooks.com/Detail/Detail?PublicationID=P20170203214</v>
      </c>
      <c r="K3026" s="13" t="str">
        <f>HYPERLINK("https://ntsu.idm.oclc.org/login?url=https://www.airitibooks.com/Detail/Detail?PublicationID=P20170203214", "https://ntsu.idm.oclc.org/login?url=https://www.airitibooks.com/Detail/Detail?PublicationID=P20170203214")</f>
        <v>https://ntsu.idm.oclc.org/login?url=https://www.airitibooks.com/Detail/Detail?PublicationID=P20170203214</v>
      </c>
    </row>
    <row r="3027" spans="1:11" ht="51" x14ac:dyDescent="0.4">
      <c r="A3027" s="10" t="s">
        <v>6060</v>
      </c>
      <c r="B3027" s="10" t="s">
        <v>6061</v>
      </c>
      <c r="C3027" s="10" t="s">
        <v>130</v>
      </c>
      <c r="D3027" s="10" t="s">
        <v>6062</v>
      </c>
      <c r="E3027" s="10" t="s">
        <v>4129</v>
      </c>
      <c r="F3027" s="10" t="s">
        <v>4197</v>
      </c>
      <c r="G3027" s="10" t="s">
        <v>87</v>
      </c>
      <c r="H3027" s="7" t="s">
        <v>24</v>
      </c>
      <c r="I3027" s="7" t="s">
        <v>25</v>
      </c>
      <c r="J3027" s="13" t="str">
        <f>HYPERLINK("https://www.airitibooks.com/Detail/Detail?PublicationID=P20170203215", "https://www.airitibooks.com/Detail/Detail?PublicationID=P20170203215")</f>
        <v>https://www.airitibooks.com/Detail/Detail?PublicationID=P20170203215</v>
      </c>
      <c r="K3027" s="13" t="str">
        <f>HYPERLINK("https://ntsu.idm.oclc.org/login?url=https://www.airitibooks.com/Detail/Detail?PublicationID=P20170203215", "https://ntsu.idm.oclc.org/login?url=https://www.airitibooks.com/Detail/Detail?PublicationID=P20170203215")</f>
        <v>https://ntsu.idm.oclc.org/login?url=https://www.airitibooks.com/Detail/Detail?PublicationID=P20170203215</v>
      </c>
    </row>
    <row r="3028" spans="1:11" ht="51" x14ac:dyDescent="0.4">
      <c r="A3028" s="10" t="s">
        <v>6284</v>
      </c>
      <c r="B3028" s="10" t="s">
        <v>6285</v>
      </c>
      <c r="C3028" s="10" t="s">
        <v>568</v>
      </c>
      <c r="D3028" s="10" t="s">
        <v>6286</v>
      </c>
      <c r="E3028" s="10" t="s">
        <v>4129</v>
      </c>
      <c r="F3028" s="10" t="s">
        <v>1440</v>
      </c>
      <c r="G3028" s="10" t="s">
        <v>87</v>
      </c>
      <c r="H3028" s="7" t="s">
        <v>24</v>
      </c>
      <c r="I3028" s="7" t="s">
        <v>25</v>
      </c>
      <c r="J3028" s="13" t="str">
        <f>HYPERLINK("https://www.airitibooks.com/Detail/Detail?PublicationID=P20170316006", "https://www.airitibooks.com/Detail/Detail?PublicationID=P20170316006")</f>
        <v>https://www.airitibooks.com/Detail/Detail?PublicationID=P20170316006</v>
      </c>
      <c r="K3028" s="13" t="str">
        <f>HYPERLINK("https://ntsu.idm.oclc.org/login?url=https://www.airitibooks.com/Detail/Detail?PublicationID=P20170316006", "https://ntsu.idm.oclc.org/login?url=https://www.airitibooks.com/Detail/Detail?PublicationID=P20170316006")</f>
        <v>https://ntsu.idm.oclc.org/login?url=https://www.airitibooks.com/Detail/Detail?PublicationID=P20170316006</v>
      </c>
    </row>
    <row r="3029" spans="1:11" ht="51" x14ac:dyDescent="0.4">
      <c r="A3029" s="10" t="s">
        <v>6500</v>
      </c>
      <c r="B3029" s="10" t="s">
        <v>6501</v>
      </c>
      <c r="C3029" s="10" t="s">
        <v>746</v>
      </c>
      <c r="D3029" s="10" t="s">
        <v>6502</v>
      </c>
      <c r="E3029" s="10" t="s">
        <v>4129</v>
      </c>
      <c r="F3029" s="10" t="s">
        <v>4055</v>
      </c>
      <c r="G3029" s="10" t="s">
        <v>87</v>
      </c>
      <c r="H3029" s="7" t="s">
        <v>24</v>
      </c>
      <c r="I3029" s="7" t="s">
        <v>25</v>
      </c>
      <c r="J3029" s="13" t="str">
        <f>HYPERLINK("https://www.airitibooks.com/Detail/Detail?PublicationID=P20170502041", "https://www.airitibooks.com/Detail/Detail?PublicationID=P20170502041")</f>
        <v>https://www.airitibooks.com/Detail/Detail?PublicationID=P20170502041</v>
      </c>
      <c r="K3029" s="13" t="str">
        <f>HYPERLINK("https://ntsu.idm.oclc.org/login?url=https://www.airitibooks.com/Detail/Detail?PublicationID=P20170502041", "https://ntsu.idm.oclc.org/login?url=https://www.airitibooks.com/Detail/Detail?PublicationID=P20170502041")</f>
        <v>https://ntsu.idm.oclc.org/login?url=https://www.airitibooks.com/Detail/Detail?PublicationID=P20170502041</v>
      </c>
    </row>
    <row r="3030" spans="1:11" ht="51" x14ac:dyDescent="0.4">
      <c r="A3030" s="10" t="s">
        <v>6617</v>
      </c>
      <c r="B3030" s="10" t="s">
        <v>6618</v>
      </c>
      <c r="C3030" s="10" t="s">
        <v>544</v>
      </c>
      <c r="D3030" s="10" t="s">
        <v>6619</v>
      </c>
      <c r="E3030" s="10" t="s">
        <v>4129</v>
      </c>
      <c r="F3030" s="10" t="s">
        <v>86</v>
      </c>
      <c r="G3030" s="10" t="s">
        <v>87</v>
      </c>
      <c r="H3030" s="7" t="s">
        <v>24</v>
      </c>
      <c r="I3030" s="7" t="s">
        <v>25</v>
      </c>
      <c r="J3030" s="13" t="str">
        <f>HYPERLINK("https://www.airitibooks.com/Detail/Detail?PublicationID=P20170517118", "https://www.airitibooks.com/Detail/Detail?PublicationID=P20170517118")</f>
        <v>https://www.airitibooks.com/Detail/Detail?PublicationID=P20170517118</v>
      </c>
      <c r="K3030" s="13" t="str">
        <f>HYPERLINK("https://ntsu.idm.oclc.org/login?url=https://www.airitibooks.com/Detail/Detail?PublicationID=P20170517118", "https://ntsu.idm.oclc.org/login?url=https://www.airitibooks.com/Detail/Detail?PublicationID=P20170517118")</f>
        <v>https://ntsu.idm.oclc.org/login?url=https://www.airitibooks.com/Detail/Detail?PublicationID=P20170517118</v>
      </c>
    </row>
    <row r="3031" spans="1:11" ht="51" x14ac:dyDescent="0.4">
      <c r="A3031" s="10" t="s">
        <v>7146</v>
      </c>
      <c r="B3031" s="10" t="s">
        <v>7147</v>
      </c>
      <c r="C3031" s="10" t="s">
        <v>1484</v>
      </c>
      <c r="D3031" s="10" t="s">
        <v>7148</v>
      </c>
      <c r="E3031" s="10" t="s">
        <v>4129</v>
      </c>
      <c r="F3031" s="10" t="s">
        <v>7149</v>
      </c>
      <c r="G3031" s="10" t="s">
        <v>87</v>
      </c>
      <c r="H3031" s="7" t="s">
        <v>24</v>
      </c>
      <c r="I3031" s="7" t="s">
        <v>25</v>
      </c>
      <c r="J3031" s="13" t="str">
        <f>HYPERLINK("https://www.airitibooks.com/Detail/Detail?PublicationID=P20170929116", "https://www.airitibooks.com/Detail/Detail?PublicationID=P20170929116")</f>
        <v>https://www.airitibooks.com/Detail/Detail?PublicationID=P20170929116</v>
      </c>
      <c r="K3031" s="13" t="str">
        <f>HYPERLINK("https://ntsu.idm.oclc.org/login?url=https://www.airitibooks.com/Detail/Detail?PublicationID=P20170929116", "https://ntsu.idm.oclc.org/login?url=https://www.airitibooks.com/Detail/Detail?PublicationID=P20170929116")</f>
        <v>https://ntsu.idm.oclc.org/login?url=https://www.airitibooks.com/Detail/Detail?PublicationID=P20170929116</v>
      </c>
    </row>
    <row r="3032" spans="1:11" ht="51" x14ac:dyDescent="0.4">
      <c r="A3032" s="10" t="s">
        <v>7732</v>
      </c>
      <c r="B3032" s="10" t="s">
        <v>7733</v>
      </c>
      <c r="C3032" s="10" t="s">
        <v>990</v>
      </c>
      <c r="D3032" s="10" t="s">
        <v>7734</v>
      </c>
      <c r="E3032" s="10" t="s">
        <v>4129</v>
      </c>
      <c r="F3032" s="10" t="s">
        <v>7735</v>
      </c>
      <c r="G3032" s="10" t="s">
        <v>87</v>
      </c>
      <c r="H3032" s="7" t="s">
        <v>24</v>
      </c>
      <c r="I3032" s="7" t="s">
        <v>25</v>
      </c>
      <c r="J3032" s="13" t="str">
        <f>HYPERLINK("https://www.airitibooks.com/Detail/Detail?PublicationID=P20171118068", "https://www.airitibooks.com/Detail/Detail?PublicationID=P20171118068")</f>
        <v>https://www.airitibooks.com/Detail/Detail?PublicationID=P20171118068</v>
      </c>
      <c r="K3032" s="13" t="str">
        <f>HYPERLINK("https://ntsu.idm.oclc.org/login?url=https://www.airitibooks.com/Detail/Detail?PublicationID=P20171118068", "https://ntsu.idm.oclc.org/login?url=https://www.airitibooks.com/Detail/Detail?PublicationID=P20171118068")</f>
        <v>https://ntsu.idm.oclc.org/login?url=https://www.airitibooks.com/Detail/Detail?PublicationID=P20171118068</v>
      </c>
    </row>
    <row r="3033" spans="1:11" ht="51" x14ac:dyDescent="0.4">
      <c r="A3033" s="10" t="s">
        <v>9162</v>
      </c>
      <c r="B3033" s="10" t="s">
        <v>9163</v>
      </c>
      <c r="C3033" s="10" t="s">
        <v>661</v>
      </c>
      <c r="D3033" s="10" t="s">
        <v>9164</v>
      </c>
      <c r="E3033" s="10" t="s">
        <v>4129</v>
      </c>
      <c r="F3033" s="10" t="s">
        <v>1486</v>
      </c>
      <c r="G3033" s="10" t="s">
        <v>87</v>
      </c>
      <c r="H3033" s="7" t="s">
        <v>24</v>
      </c>
      <c r="I3033" s="7" t="s">
        <v>25</v>
      </c>
      <c r="J3033" s="13" t="str">
        <f>HYPERLINK("https://www.airitibooks.com/Detail/Detail?PublicationID=P20180511025", "https://www.airitibooks.com/Detail/Detail?PublicationID=P20180511025")</f>
        <v>https://www.airitibooks.com/Detail/Detail?PublicationID=P20180511025</v>
      </c>
      <c r="K3033" s="13" t="str">
        <f>HYPERLINK("https://ntsu.idm.oclc.org/login?url=https://www.airitibooks.com/Detail/Detail?PublicationID=P20180511025", "https://ntsu.idm.oclc.org/login?url=https://www.airitibooks.com/Detail/Detail?PublicationID=P20180511025")</f>
        <v>https://ntsu.idm.oclc.org/login?url=https://www.airitibooks.com/Detail/Detail?PublicationID=P20180511025</v>
      </c>
    </row>
    <row r="3034" spans="1:11" ht="51" x14ac:dyDescent="0.4">
      <c r="A3034" s="10" t="s">
        <v>9193</v>
      </c>
      <c r="B3034" s="10" t="s">
        <v>9194</v>
      </c>
      <c r="C3034" s="10" t="s">
        <v>3705</v>
      </c>
      <c r="D3034" s="10" t="s">
        <v>9195</v>
      </c>
      <c r="E3034" s="10" t="s">
        <v>4129</v>
      </c>
      <c r="F3034" s="10" t="s">
        <v>9196</v>
      </c>
      <c r="G3034" s="10" t="s">
        <v>87</v>
      </c>
      <c r="H3034" s="7" t="s">
        <v>24</v>
      </c>
      <c r="I3034" s="7" t="s">
        <v>25</v>
      </c>
      <c r="J3034" s="13" t="str">
        <f>HYPERLINK("https://www.airitibooks.com/Detail/Detail?PublicationID=P20180511061", "https://www.airitibooks.com/Detail/Detail?PublicationID=P20180511061")</f>
        <v>https://www.airitibooks.com/Detail/Detail?PublicationID=P20180511061</v>
      </c>
      <c r="K3034" s="13" t="str">
        <f>HYPERLINK("https://ntsu.idm.oclc.org/login?url=https://www.airitibooks.com/Detail/Detail?PublicationID=P20180511061", "https://ntsu.idm.oclc.org/login?url=https://www.airitibooks.com/Detail/Detail?PublicationID=P20180511061")</f>
        <v>https://ntsu.idm.oclc.org/login?url=https://www.airitibooks.com/Detail/Detail?PublicationID=P20180511061</v>
      </c>
    </row>
    <row r="3035" spans="1:11" ht="51" x14ac:dyDescent="0.4">
      <c r="A3035" s="10" t="s">
        <v>4366</v>
      </c>
      <c r="B3035" s="10" t="s">
        <v>4367</v>
      </c>
      <c r="C3035" s="10" t="s">
        <v>287</v>
      </c>
      <c r="D3035" s="10" t="s">
        <v>4368</v>
      </c>
      <c r="E3035" s="10" t="s">
        <v>4129</v>
      </c>
      <c r="F3035" s="10" t="s">
        <v>250</v>
      </c>
      <c r="G3035" s="10" t="s">
        <v>23</v>
      </c>
      <c r="H3035" s="7" t="s">
        <v>24</v>
      </c>
      <c r="I3035" s="7" t="s">
        <v>25</v>
      </c>
      <c r="J3035" s="13" t="str">
        <f>HYPERLINK("https://www.airitibooks.com/Detail/Detail?PublicationID=P20160315275", "https://www.airitibooks.com/Detail/Detail?PublicationID=P20160315275")</f>
        <v>https://www.airitibooks.com/Detail/Detail?PublicationID=P20160315275</v>
      </c>
      <c r="K3035" s="13" t="str">
        <f>HYPERLINK("https://ntsu.idm.oclc.org/login?url=https://www.airitibooks.com/Detail/Detail?PublicationID=P20160315275", "https://ntsu.idm.oclc.org/login?url=https://www.airitibooks.com/Detail/Detail?PublicationID=P20160315275")</f>
        <v>https://ntsu.idm.oclc.org/login?url=https://www.airitibooks.com/Detail/Detail?PublicationID=P20160315275</v>
      </c>
    </row>
    <row r="3036" spans="1:11" ht="51" x14ac:dyDescent="0.4">
      <c r="A3036" s="10" t="s">
        <v>4408</v>
      </c>
      <c r="B3036" s="10" t="s">
        <v>4409</v>
      </c>
      <c r="C3036" s="10" t="s">
        <v>1253</v>
      </c>
      <c r="D3036" s="10" t="s">
        <v>4410</v>
      </c>
      <c r="E3036" s="10" t="s">
        <v>4129</v>
      </c>
      <c r="F3036" s="10" t="s">
        <v>250</v>
      </c>
      <c r="G3036" s="10" t="s">
        <v>23</v>
      </c>
      <c r="H3036" s="7" t="s">
        <v>24</v>
      </c>
      <c r="I3036" s="7" t="s">
        <v>25</v>
      </c>
      <c r="J3036" s="13" t="str">
        <f>HYPERLINK("https://www.airitibooks.com/Detail/Detail?PublicationID=P20160319105", "https://www.airitibooks.com/Detail/Detail?PublicationID=P20160319105")</f>
        <v>https://www.airitibooks.com/Detail/Detail?PublicationID=P20160319105</v>
      </c>
      <c r="K3036" s="13" t="str">
        <f>HYPERLINK("https://ntsu.idm.oclc.org/login?url=https://www.airitibooks.com/Detail/Detail?PublicationID=P20160319105", "https://ntsu.idm.oclc.org/login?url=https://www.airitibooks.com/Detail/Detail?PublicationID=P20160319105")</f>
        <v>https://ntsu.idm.oclc.org/login?url=https://www.airitibooks.com/Detail/Detail?PublicationID=P20160319105</v>
      </c>
    </row>
    <row r="3037" spans="1:11" ht="51" x14ac:dyDescent="0.4">
      <c r="A3037" s="10" t="s">
        <v>4411</v>
      </c>
      <c r="B3037" s="10" t="s">
        <v>4412</v>
      </c>
      <c r="C3037" s="10" t="s">
        <v>1253</v>
      </c>
      <c r="D3037" s="10" t="s">
        <v>4410</v>
      </c>
      <c r="E3037" s="10" t="s">
        <v>4129</v>
      </c>
      <c r="F3037" s="10" t="s">
        <v>250</v>
      </c>
      <c r="G3037" s="10" t="s">
        <v>23</v>
      </c>
      <c r="H3037" s="7" t="s">
        <v>24</v>
      </c>
      <c r="I3037" s="7" t="s">
        <v>25</v>
      </c>
      <c r="J3037" s="13" t="str">
        <f>HYPERLINK("https://www.airitibooks.com/Detail/Detail?PublicationID=P20160319106", "https://www.airitibooks.com/Detail/Detail?PublicationID=P20160319106")</f>
        <v>https://www.airitibooks.com/Detail/Detail?PublicationID=P20160319106</v>
      </c>
      <c r="K3037" s="13" t="str">
        <f>HYPERLINK("https://ntsu.idm.oclc.org/login?url=https://www.airitibooks.com/Detail/Detail?PublicationID=P20160319106", "https://ntsu.idm.oclc.org/login?url=https://www.airitibooks.com/Detail/Detail?PublicationID=P20160319106")</f>
        <v>https://ntsu.idm.oclc.org/login?url=https://www.airitibooks.com/Detail/Detail?PublicationID=P20160319106</v>
      </c>
    </row>
    <row r="3038" spans="1:11" ht="51" x14ac:dyDescent="0.4">
      <c r="A3038" s="10" t="s">
        <v>4468</v>
      </c>
      <c r="B3038" s="10" t="s">
        <v>4469</v>
      </c>
      <c r="C3038" s="10" t="s">
        <v>3705</v>
      </c>
      <c r="D3038" s="10" t="s">
        <v>4470</v>
      </c>
      <c r="E3038" s="10" t="s">
        <v>4129</v>
      </c>
      <c r="F3038" s="10" t="s">
        <v>565</v>
      </c>
      <c r="G3038" s="10" t="s">
        <v>23</v>
      </c>
      <c r="H3038" s="7" t="s">
        <v>24</v>
      </c>
      <c r="I3038" s="7" t="s">
        <v>25</v>
      </c>
      <c r="J3038" s="13" t="str">
        <f>HYPERLINK("https://www.airitibooks.com/Detail/Detail?PublicationID=P20160413053", "https://www.airitibooks.com/Detail/Detail?PublicationID=P20160413053")</f>
        <v>https://www.airitibooks.com/Detail/Detail?PublicationID=P20160413053</v>
      </c>
      <c r="K3038" s="13" t="str">
        <f>HYPERLINK("https://ntsu.idm.oclc.org/login?url=https://www.airitibooks.com/Detail/Detail?PublicationID=P20160413053", "https://ntsu.idm.oclc.org/login?url=https://www.airitibooks.com/Detail/Detail?PublicationID=P20160413053")</f>
        <v>https://ntsu.idm.oclc.org/login?url=https://www.airitibooks.com/Detail/Detail?PublicationID=P20160413053</v>
      </c>
    </row>
    <row r="3039" spans="1:11" ht="51" x14ac:dyDescent="0.4">
      <c r="A3039" s="10" t="s">
        <v>4480</v>
      </c>
      <c r="B3039" s="10" t="s">
        <v>4481</v>
      </c>
      <c r="C3039" s="10" t="s">
        <v>4482</v>
      </c>
      <c r="D3039" s="10" t="s">
        <v>4483</v>
      </c>
      <c r="E3039" s="10" t="s">
        <v>4129</v>
      </c>
      <c r="F3039" s="10" t="s">
        <v>4484</v>
      </c>
      <c r="G3039" s="10" t="s">
        <v>23</v>
      </c>
      <c r="H3039" s="7" t="s">
        <v>24</v>
      </c>
      <c r="I3039" s="7" t="s">
        <v>25</v>
      </c>
      <c r="J3039" s="13" t="str">
        <f>HYPERLINK("https://www.airitibooks.com/Detail/Detail?PublicationID=P20160421091", "https://www.airitibooks.com/Detail/Detail?PublicationID=P20160421091")</f>
        <v>https://www.airitibooks.com/Detail/Detail?PublicationID=P20160421091</v>
      </c>
      <c r="K3039" s="13" t="str">
        <f>HYPERLINK("https://ntsu.idm.oclc.org/login?url=https://www.airitibooks.com/Detail/Detail?PublicationID=P20160421091", "https://ntsu.idm.oclc.org/login?url=https://www.airitibooks.com/Detail/Detail?PublicationID=P20160421091")</f>
        <v>https://ntsu.idm.oclc.org/login?url=https://www.airitibooks.com/Detail/Detail?PublicationID=P20160421091</v>
      </c>
    </row>
    <row r="3040" spans="1:11" ht="51" x14ac:dyDescent="0.4">
      <c r="A3040" s="10" t="s">
        <v>4493</v>
      </c>
      <c r="B3040" s="10" t="s">
        <v>4494</v>
      </c>
      <c r="C3040" s="10" t="s">
        <v>544</v>
      </c>
      <c r="D3040" s="10" t="s">
        <v>4495</v>
      </c>
      <c r="E3040" s="10" t="s">
        <v>4129</v>
      </c>
      <c r="F3040" s="10" t="s">
        <v>4496</v>
      </c>
      <c r="G3040" s="10" t="s">
        <v>23</v>
      </c>
      <c r="H3040" s="7" t="s">
        <v>24</v>
      </c>
      <c r="I3040" s="7" t="s">
        <v>25</v>
      </c>
      <c r="J3040" s="13" t="str">
        <f>HYPERLINK("https://www.airitibooks.com/Detail/Detail?PublicationID=P20160421105", "https://www.airitibooks.com/Detail/Detail?PublicationID=P20160421105")</f>
        <v>https://www.airitibooks.com/Detail/Detail?PublicationID=P20160421105</v>
      </c>
      <c r="K3040" s="13" t="str">
        <f>HYPERLINK("https://ntsu.idm.oclc.org/login?url=https://www.airitibooks.com/Detail/Detail?PublicationID=P20160421105", "https://ntsu.idm.oclc.org/login?url=https://www.airitibooks.com/Detail/Detail?PublicationID=P20160421105")</f>
        <v>https://ntsu.idm.oclc.org/login?url=https://www.airitibooks.com/Detail/Detail?PublicationID=P20160421105</v>
      </c>
    </row>
    <row r="3041" spans="1:11" ht="51" x14ac:dyDescent="0.4">
      <c r="A3041" s="10" t="s">
        <v>4504</v>
      </c>
      <c r="B3041" s="10" t="s">
        <v>4505</v>
      </c>
      <c r="C3041" s="10" t="s">
        <v>544</v>
      </c>
      <c r="D3041" s="10" t="s">
        <v>4506</v>
      </c>
      <c r="E3041" s="10" t="s">
        <v>4129</v>
      </c>
      <c r="F3041" s="10" t="s">
        <v>4507</v>
      </c>
      <c r="G3041" s="10" t="s">
        <v>23</v>
      </c>
      <c r="H3041" s="7" t="s">
        <v>24</v>
      </c>
      <c r="I3041" s="7" t="s">
        <v>25</v>
      </c>
      <c r="J3041" s="13" t="str">
        <f>HYPERLINK("https://www.airitibooks.com/Detail/Detail?PublicationID=P20160421110", "https://www.airitibooks.com/Detail/Detail?PublicationID=P20160421110")</f>
        <v>https://www.airitibooks.com/Detail/Detail?PublicationID=P20160421110</v>
      </c>
      <c r="K3041" s="13" t="str">
        <f>HYPERLINK("https://ntsu.idm.oclc.org/login?url=https://www.airitibooks.com/Detail/Detail?PublicationID=P20160421110", "https://ntsu.idm.oclc.org/login?url=https://www.airitibooks.com/Detail/Detail?PublicationID=P20160421110")</f>
        <v>https://ntsu.idm.oclc.org/login?url=https://www.airitibooks.com/Detail/Detail?PublicationID=P20160421110</v>
      </c>
    </row>
    <row r="3042" spans="1:11" ht="51" x14ac:dyDescent="0.4">
      <c r="A3042" s="10" t="s">
        <v>4534</v>
      </c>
      <c r="B3042" s="10" t="s">
        <v>4535</v>
      </c>
      <c r="C3042" s="10" t="s">
        <v>212</v>
      </c>
      <c r="D3042" s="10" t="s">
        <v>935</v>
      </c>
      <c r="E3042" s="10" t="s">
        <v>4129</v>
      </c>
      <c r="F3042" s="10" t="s">
        <v>1427</v>
      </c>
      <c r="G3042" s="10" t="s">
        <v>23</v>
      </c>
      <c r="H3042" s="7" t="s">
        <v>24</v>
      </c>
      <c r="I3042" s="7" t="s">
        <v>25</v>
      </c>
      <c r="J3042" s="13" t="str">
        <f>HYPERLINK("https://www.airitibooks.com/Detail/Detail?PublicationID=P20160421146", "https://www.airitibooks.com/Detail/Detail?PublicationID=P20160421146")</f>
        <v>https://www.airitibooks.com/Detail/Detail?PublicationID=P20160421146</v>
      </c>
      <c r="K3042" s="13" t="str">
        <f>HYPERLINK("https://ntsu.idm.oclc.org/login?url=https://www.airitibooks.com/Detail/Detail?PublicationID=P20160421146", "https://ntsu.idm.oclc.org/login?url=https://www.airitibooks.com/Detail/Detail?PublicationID=P20160421146")</f>
        <v>https://ntsu.idm.oclc.org/login?url=https://www.airitibooks.com/Detail/Detail?PublicationID=P20160421146</v>
      </c>
    </row>
    <row r="3043" spans="1:11" ht="51" x14ac:dyDescent="0.4">
      <c r="A3043" s="10" t="s">
        <v>4550</v>
      </c>
      <c r="B3043" s="10" t="s">
        <v>4551</v>
      </c>
      <c r="C3043" s="10" t="s">
        <v>222</v>
      </c>
      <c r="D3043" s="10" t="s">
        <v>4552</v>
      </c>
      <c r="E3043" s="10" t="s">
        <v>4129</v>
      </c>
      <c r="F3043" s="10" t="s">
        <v>4553</v>
      </c>
      <c r="G3043" s="10" t="s">
        <v>23</v>
      </c>
      <c r="H3043" s="7" t="s">
        <v>24</v>
      </c>
      <c r="I3043" s="7" t="s">
        <v>25</v>
      </c>
      <c r="J3043" s="13" t="str">
        <f>HYPERLINK("https://www.airitibooks.com/Detail/Detail?PublicationID=P20160422017", "https://www.airitibooks.com/Detail/Detail?PublicationID=P20160422017")</f>
        <v>https://www.airitibooks.com/Detail/Detail?PublicationID=P20160422017</v>
      </c>
      <c r="K3043" s="13" t="str">
        <f>HYPERLINK("https://ntsu.idm.oclc.org/login?url=https://www.airitibooks.com/Detail/Detail?PublicationID=P20160422017", "https://ntsu.idm.oclc.org/login?url=https://www.airitibooks.com/Detail/Detail?PublicationID=P20160422017")</f>
        <v>https://ntsu.idm.oclc.org/login?url=https://www.airitibooks.com/Detail/Detail?PublicationID=P20160422017</v>
      </c>
    </row>
    <row r="3044" spans="1:11" ht="51" x14ac:dyDescent="0.4">
      <c r="A3044" s="10" t="s">
        <v>4565</v>
      </c>
      <c r="B3044" s="10" t="s">
        <v>4566</v>
      </c>
      <c r="C3044" s="10" t="s">
        <v>819</v>
      </c>
      <c r="D3044" s="10" t="s">
        <v>4325</v>
      </c>
      <c r="E3044" s="10" t="s">
        <v>4129</v>
      </c>
      <c r="F3044" s="10" t="s">
        <v>4567</v>
      </c>
      <c r="G3044" s="10" t="s">
        <v>23</v>
      </c>
      <c r="H3044" s="7" t="s">
        <v>24</v>
      </c>
      <c r="I3044" s="7" t="s">
        <v>25</v>
      </c>
      <c r="J3044" s="13" t="str">
        <f>HYPERLINK("https://www.airitibooks.com/Detail/Detail?PublicationID=P20160517200", "https://www.airitibooks.com/Detail/Detail?PublicationID=P20160517200")</f>
        <v>https://www.airitibooks.com/Detail/Detail?PublicationID=P20160517200</v>
      </c>
      <c r="K3044" s="13" t="str">
        <f>HYPERLINK("https://ntsu.idm.oclc.org/login?url=https://www.airitibooks.com/Detail/Detail?PublicationID=P20160517200", "https://ntsu.idm.oclc.org/login?url=https://www.airitibooks.com/Detail/Detail?PublicationID=P20160517200")</f>
        <v>https://ntsu.idm.oclc.org/login?url=https://www.airitibooks.com/Detail/Detail?PublicationID=P20160517200</v>
      </c>
    </row>
    <row r="3045" spans="1:11" ht="51" x14ac:dyDescent="0.4">
      <c r="A3045" s="10" t="s">
        <v>4611</v>
      </c>
      <c r="B3045" s="10" t="s">
        <v>4612</v>
      </c>
      <c r="C3045" s="10" t="s">
        <v>756</v>
      </c>
      <c r="D3045" s="10" t="s">
        <v>4613</v>
      </c>
      <c r="E3045" s="10" t="s">
        <v>4129</v>
      </c>
      <c r="F3045" s="10" t="s">
        <v>250</v>
      </c>
      <c r="G3045" s="10" t="s">
        <v>23</v>
      </c>
      <c r="H3045" s="7" t="s">
        <v>24</v>
      </c>
      <c r="I3045" s="7" t="s">
        <v>25</v>
      </c>
      <c r="J3045" s="13" t="str">
        <f>HYPERLINK("https://www.airitibooks.com/Detail/Detail?PublicationID=P20160527017", "https://www.airitibooks.com/Detail/Detail?PublicationID=P20160527017")</f>
        <v>https://www.airitibooks.com/Detail/Detail?PublicationID=P20160527017</v>
      </c>
      <c r="K3045" s="13" t="str">
        <f>HYPERLINK("https://ntsu.idm.oclc.org/login?url=https://www.airitibooks.com/Detail/Detail?PublicationID=P20160527017", "https://ntsu.idm.oclc.org/login?url=https://www.airitibooks.com/Detail/Detail?PublicationID=P20160527017")</f>
        <v>https://ntsu.idm.oclc.org/login?url=https://www.airitibooks.com/Detail/Detail?PublicationID=P20160527017</v>
      </c>
    </row>
    <row r="3046" spans="1:11" ht="51" x14ac:dyDescent="0.4">
      <c r="A3046" s="10" t="s">
        <v>4662</v>
      </c>
      <c r="B3046" s="10" t="s">
        <v>4663</v>
      </c>
      <c r="C3046" s="10" t="s">
        <v>819</v>
      </c>
      <c r="D3046" s="10" t="s">
        <v>4664</v>
      </c>
      <c r="E3046" s="10" t="s">
        <v>4129</v>
      </c>
      <c r="F3046" s="10" t="s">
        <v>1384</v>
      </c>
      <c r="G3046" s="10" t="s">
        <v>23</v>
      </c>
      <c r="H3046" s="7" t="s">
        <v>24</v>
      </c>
      <c r="I3046" s="7" t="s">
        <v>25</v>
      </c>
      <c r="J3046" s="13" t="str">
        <f>HYPERLINK("https://www.airitibooks.com/Detail/Detail?PublicationID=P20160602065", "https://www.airitibooks.com/Detail/Detail?PublicationID=P20160602065")</f>
        <v>https://www.airitibooks.com/Detail/Detail?PublicationID=P20160602065</v>
      </c>
      <c r="K3046" s="13" t="str">
        <f>HYPERLINK("https://ntsu.idm.oclc.org/login?url=https://www.airitibooks.com/Detail/Detail?PublicationID=P20160602065", "https://ntsu.idm.oclc.org/login?url=https://www.airitibooks.com/Detail/Detail?PublicationID=P20160602065")</f>
        <v>https://ntsu.idm.oclc.org/login?url=https://www.airitibooks.com/Detail/Detail?PublicationID=P20160602065</v>
      </c>
    </row>
    <row r="3047" spans="1:11" ht="51" x14ac:dyDescent="0.4">
      <c r="A3047" s="10" t="s">
        <v>4665</v>
      </c>
      <c r="B3047" s="10" t="s">
        <v>4666</v>
      </c>
      <c r="C3047" s="10" t="s">
        <v>819</v>
      </c>
      <c r="D3047" s="10" t="s">
        <v>4664</v>
      </c>
      <c r="E3047" s="10" t="s">
        <v>4129</v>
      </c>
      <c r="F3047" s="10" t="s">
        <v>1384</v>
      </c>
      <c r="G3047" s="10" t="s">
        <v>23</v>
      </c>
      <c r="H3047" s="7" t="s">
        <v>24</v>
      </c>
      <c r="I3047" s="7" t="s">
        <v>25</v>
      </c>
      <c r="J3047" s="13" t="str">
        <f>HYPERLINK("https://www.airitibooks.com/Detail/Detail?PublicationID=P20160602066", "https://www.airitibooks.com/Detail/Detail?PublicationID=P20160602066")</f>
        <v>https://www.airitibooks.com/Detail/Detail?PublicationID=P20160602066</v>
      </c>
      <c r="K3047" s="13" t="str">
        <f>HYPERLINK("https://ntsu.idm.oclc.org/login?url=https://www.airitibooks.com/Detail/Detail?PublicationID=P20160602066", "https://ntsu.idm.oclc.org/login?url=https://www.airitibooks.com/Detail/Detail?PublicationID=P20160602066")</f>
        <v>https://ntsu.idm.oclc.org/login?url=https://www.airitibooks.com/Detail/Detail?PublicationID=P20160602066</v>
      </c>
    </row>
    <row r="3048" spans="1:11" ht="51" x14ac:dyDescent="0.4">
      <c r="A3048" s="10" t="s">
        <v>4729</v>
      </c>
      <c r="B3048" s="10" t="s">
        <v>4730</v>
      </c>
      <c r="C3048" s="10" t="s">
        <v>2515</v>
      </c>
      <c r="D3048" s="10" t="s">
        <v>4731</v>
      </c>
      <c r="E3048" s="10" t="s">
        <v>4129</v>
      </c>
      <c r="F3048" s="10" t="s">
        <v>4732</v>
      </c>
      <c r="G3048" s="10" t="s">
        <v>23</v>
      </c>
      <c r="H3048" s="7" t="s">
        <v>24</v>
      </c>
      <c r="I3048" s="7" t="s">
        <v>25</v>
      </c>
      <c r="J3048" s="13" t="str">
        <f>HYPERLINK("https://www.airitibooks.com/Detail/Detail?PublicationID=P20160603028", "https://www.airitibooks.com/Detail/Detail?PublicationID=P20160603028")</f>
        <v>https://www.airitibooks.com/Detail/Detail?PublicationID=P20160603028</v>
      </c>
      <c r="K3048" s="13" t="str">
        <f>HYPERLINK("https://ntsu.idm.oclc.org/login?url=https://www.airitibooks.com/Detail/Detail?PublicationID=P20160603028", "https://ntsu.idm.oclc.org/login?url=https://www.airitibooks.com/Detail/Detail?PublicationID=P20160603028")</f>
        <v>https://ntsu.idm.oclc.org/login?url=https://www.airitibooks.com/Detail/Detail?PublicationID=P20160603028</v>
      </c>
    </row>
    <row r="3049" spans="1:11" ht="51" x14ac:dyDescent="0.4">
      <c r="A3049" s="10" t="s">
        <v>4733</v>
      </c>
      <c r="B3049" s="10" t="s">
        <v>4734</v>
      </c>
      <c r="C3049" s="10" t="s">
        <v>2515</v>
      </c>
      <c r="D3049" s="10" t="s">
        <v>4735</v>
      </c>
      <c r="E3049" s="10" t="s">
        <v>4129</v>
      </c>
      <c r="F3049" s="10" t="s">
        <v>4484</v>
      </c>
      <c r="G3049" s="10" t="s">
        <v>23</v>
      </c>
      <c r="H3049" s="7" t="s">
        <v>24</v>
      </c>
      <c r="I3049" s="7" t="s">
        <v>25</v>
      </c>
      <c r="J3049" s="13" t="str">
        <f>HYPERLINK("https://www.airitibooks.com/Detail/Detail?PublicationID=P20160603029", "https://www.airitibooks.com/Detail/Detail?PublicationID=P20160603029")</f>
        <v>https://www.airitibooks.com/Detail/Detail?PublicationID=P20160603029</v>
      </c>
      <c r="K3049" s="13" t="str">
        <f>HYPERLINK("https://ntsu.idm.oclc.org/login?url=https://www.airitibooks.com/Detail/Detail?PublicationID=P20160603029", "https://ntsu.idm.oclc.org/login?url=https://www.airitibooks.com/Detail/Detail?PublicationID=P20160603029")</f>
        <v>https://ntsu.idm.oclc.org/login?url=https://www.airitibooks.com/Detail/Detail?PublicationID=P20160603029</v>
      </c>
    </row>
    <row r="3050" spans="1:11" ht="51" x14ac:dyDescent="0.4">
      <c r="A3050" s="10" t="s">
        <v>4772</v>
      </c>
      <c r="B3050" s="10" t="s">
        <v>4773</v>
      </c>
      <c r="C3050" s="10" t="s">
        <v>1253</v>
      </c>
      <c r="D3050" s="10" t="s">
        <v>4774</v>
      </c>
      <c r="E3050" s="10" t="s">
        <v>4129</v>
      </c>
      <c r="F3050" s="10" t="s">
        <v>565</v>
      </c>
      <c r="G3050" s="10" t="s">
        <v>23</v>
      </c>
      <c r="H3050" s="7" t="s">
        <v>24</v>
      </c>
      <c r="I3050" s="7" t="s">
        <v>25</v>
      </c>
      <c r="J3050" s="13" t="str">
        <f>HYPERLINK("https://www.airitibooks.com/Detail/Detail?PublicationID=P20160701525", "https://www.airitibooks.com/Detail/Detail?PublicationID=P20160701525")</f>
        <v>https://www.airitibooks.com/Detail/Detail?PublicationID=P20160701525</v>
      </c>
      <c r="K3050" s="13" t="str">
        <f>HYPERLINK("https://ntsu.idm.oclc.org/login?url=https://www.airitibooks.com/Detail/Detail?PublicationID=P20160701525", "https://ntsu.idm.oclc.org/login?url=https://www.airitibooks.com/Detail/Detail?PublicationID=P20160701525")</f>
        <v>https://ntsu.idm.oclc.org/login?url=https://www.airitibooks.com/Detail/Detail?PublicationID=P20160701525</v>
      </c>
    </row>
    <row r="3051" spans="1:11" ht="51" x14ac:dyDescent="0.4">
      <c r="A3051" s="10" t="s">
        <v>4775</v>
      </c>
      <c r="B3051" s="10" t="s">
        <v>4776</v>
      </c>
      <c r="C3051" s="10" t="s">
        <v>4324</v>
      </c>
      <c r="D3051" s="10" t="s">
        <v>4325</v>
      </c>
      <c r="E3051" s="10" t="s">
        <v>4129</v>
      </c>
      <c r="F3051" s="10" t="s">
        <v>3548</v>
      </c>
      <c r="G3051" s="10" t="s">
        <v>23</v>
      </c>
      <c r="H3051" s="7" t="s">
        <v>24</v>
      </c>
      <c r="I3051" s="7" t="s">
        <v>25</v>
      </c>
      <c r="J3051" s="13" t="str">
        <f>HYPERLINK("https://www.airitibooks.com/Detail/Detail?PublicationID=P20160701527", "https://www.airitibooks.com/Detail/Detail?PublicationID=P20160701527")</f>
        <v>https://www.airitibooks.com/Detail/Detail?PublicationID=P20160701527</v>
      </c>
      <c r="K3051" s="13" t="str">
        <f>HYPERLINK("https://ntsu.idm.oclc.org/login?url=https://www.airitibooks.com/Detail/Detail?PublicationID=P20160701527", "https://ntsu.idm.oclc.org/login?url=https://www.airitibooks.com/Detail/Detail?PublicationID=P20160701527")</f>
        <v>https://ntsu.idm.oclc.org/login?url=https://www.airitibooks.com/Detail/Detail?PublicationID=P20160701527</v>
      </c>
    </row>
    <row r="3052" spans="1:11" ht="51" x14ac:dyDescent="0.4">
      <c r="A3052" s="10" t="s">
        <v>4777</v>
      </c>
      <c r="B3052" s="10" t="s">
        <v>4778</v>
      </c>
      <c r="C3052" s="10" t="s">
        <v>4324</v>
      </c>
      <c r="D3052" s="10" t="s">
        <v>4325</v>
      </c>
      <c r="E3052" s="10" t="s">
        <v>4129</v>
      </c>
      <c r="F3052" s="10" t="s">
        <v>3548</v>
      </c>
      <c r="G3052" s="10" t="s">
        <v>23</v>
      </c>
      <c r="H3052" s="7" t="s">
        <v>24</v>
      </c>
      <c r="I3052" s="7" t="s">
        <v>25</v>
      </c>
      <c r="J3052" s="13" t="str">
        <f>HYPERLINK("https://www.airitibooks.com/Detail/Detail?PublicationID=P20160701528", "https://www.airitibooks.com/Detail/Detail?PublicationID=P20160701528")</f>
        <v>https://www.airitibooks.com/Detail/Detail?PublicationID=P20160701528</v>
      </c>
      <c r="K3052" s="13" t="str">
        <f>HYPERLINK("https://ntsu.idm.oclc.org/login?url=https://www.airitibooks.com/Detail/Detail?PublicationID=P20160701528", "https://ntsu.idm.oclc.org/login?url=https://www.airitibooks.com/Detail/Detail?PublicationID=P20160701528")</f>
        <v>https://ntsu.idm.oclc.org/login?url=https://www.airitibooks.com/Detail/Detail?PublicationID=P20160701528</v>
      </c>
    </row>
    <row r="3053" spans="1:11" ht="51" x14ac:dyDescent="0.4">
      <c r="A3053" s="10" t="s">
        <v>4779</v>
      </c>
      <c r="B3053" s="10" t="s">
        <v>4780</v>
      </c>
      <c r="C3053" s="10" t="s">
        <v>4324</v>
      </c>
      <c r="D3053" s="10" t="s">
        <v>4325</v>
      </c>
      <c r="E3053" s="10" t="s">
        <v>4129</v>
      </c>
      <c r="F3053" s="10" t="s">
        <v>3548</v>
      </c>
      <c r="G3053" s="10" t="s">
        <v>23</v>
      </c>
      <c r="H3053" s="7" t="s">
        <v>24</v>
      </c>
      <c r="I3053" s="7" t="s">
        <v>25</v>
      </c>
      <c r="J3053" s="13" t="str">
        <f>HYPERLINK("https://www.airitibooks.com/Detail/Detail?PublicationID=P20160701529", "https://www.airitibooks.com/Detail/Detail?PublicationID=P20160701529")</f>
        <v>https://www.airitibooks.com/Detail/Detail?PublicationID=P20160701529</v>
      </c>
      <c r="K3053" s="13" t="str">
        <f>HYPERLINK("https://ntsu.idm.oclc.org/login?url=https://www.airitibooks.com/Detail/Detail?PublicationID=P20160701529", "https://ntsu.idm.oclc.org/login?url=https://www.airitibooks.com/Detail/Detail?PublicationID=P20160701529")</f>
        <v>https://ntsu.idm.oclc.org/login?url=https://www.airitibooks.com/Detail/Detail?PublicationID=P20160701529</v>
      </c>
    </row>
    <row r="3054" spans="1:11" ht="51" x14ac:dyDescent="0.4">
      <c r="A3054" s="10" t="s">
        <v>4781</v>
      </c>
      <c r="B3054" s="10" t="s">
        <v>4782</v>
      </c>
      <c r="C3054" s="10" t="s">
        <v>4324</v>
      </c>
      <c r="D3054" s="10" t="s">
        <v>4325</v>
      </c>
      <c r="E3054" s="10" t="s">
        <v>4129</v>
      </c>
      <c r="F3054" s="10" t="s">
        <v>3548</v>
      </c>
      <c r="G3054" s="10" t="s">
        <v>23</v>
      </c>
      <c r="H3054" s="7" t="s">
        <v>24</v>
      </c>
      <c r="I3054" s="7" t="s">
        <v>25</v>
      </c>
      <c r="J3054" s="13" t="str">
        <f>HYPERLINK("https://www.airitibooks.com/Detail/Detail?PublicationID=P20160701530", "https://www.airitibooks.com/Detail/Detail?PublicationID=P20160701530")</f>
        <v>https://www.airitibooks.com/Detail/Detail?PublicationID=P20160701530</v>
      </c>
      <c r="K3054" s="13" t="str">
        <f>HYPERLINK("https://ntsu.idm.oclc.org/login?url=https://www.airitibooks.com/Detail/Detail?PublicationID=P20160701530", "https://ntsu.idm.oclc.org/login?url=https://www.airitibooks.com/Detail/Detail?PublicationID=P20160701530")</f>
        <v>https://ntsu.idm.oclc.org/login?url=https://www.airitibooks.com/Detail/Detail?PublicationID=P20160701530</v>
      </c>
    </row>
    <row r="3055" spans="1:11" ht="51" x14ac:dyDescent="0.4">
      <c r="A3055" s="10" t="s">
        <v>4805</v>
      </c>
      <c r="B3055" s="10" t="s">
        <v>4806</v>
      </c>
      <c r="C3055" s="10" t="s">
        <v>287</v>
      </c>
      <c r="D3055" s="10" t="s">
        <v>3010</v>
      </c>
      <c r="E3055" s="10" t="s">
        <v>4129</v>
      </c>
      <c r="F3055" s="10" t="s">
        <v>565</v>
      </c>
      <c r="G3055" s="10" t="s">
        <v>23</v>
      </c>
      <c r="H3055" s="7" t="s">
        <v>24</v>
      </c>
      <c r="I3055" s="7" t="s">
        <v>25</v>
      </c>
      <c r="J3055" s="13" t="str">
        <f>HYPERLINK("https://www.airitibooks.com/Detail/Detail?PublicationID=P20160712005", "https://www.airitibooks.com/Detail/Detail?PublicationID=P20160712005")</f>
        <v>https://www.airitibooks.com/Detail/Detail?PublicationID=P20160712005</v>
      </c>
      <c r="K3055" s="13" t="str">
        <f>HYPERLINK("https://ntsu.idm.oclc.org/login?url=https://www.airitibooks.com/Detail/Detail?PublicationID=P20160712005", "https://ntsu.idm.oclc.org/login?url=https://www.airitibooks.com/Detail/Detail?PublicationID=P20160712005")</f>
        <v>https://ntsu.idm.oclc.org/login?url=https://www.airitibooks.com/Detail/Detail?PublicationID=P20160712005</v>
      </c>
    </row>
    <row r="3056" spans="1:11" ht="51" x14ac:dyDescent="0.4">
      <c r="A3056" s="10" t="s">
        <v>4957</v>
      </c>
      <c r="B3056" s="10" t="s">
        <v>4958</v>
      </c>
      <c r="C3056" s="10" t="s">
        <v>287</v>
      </c>
      <c r="D3056" s="10" t="s">
        <v>3010</v>
      </c>
      <c r="E3056" s="10" t="s">
        <v>4129</v>
      </c>
      <c r="F3056" s="10" t="s">
        <v>565</v>
      </c>
      <c r="G3056" s="10" t="s">
        <v>23</v>
      </c>
      <c r="H3056" s="7" t="s">
        <v>24</v>
      </c>
      <c r="I3056" s="7" t="s">
        <v>25</v>
      </c>
      <c r="J3056" s="13" t="str">
        <f>HYPERLINK("https://www.airitibooks.com/Detail/Detail?PublicationID=P20160723022", "https://www.airitibooks.com/Detail/Detail?PublicationID=P20160723022")</f>
        <v>https://www.airitibooks.com/Detail/Detail?PublicationID=P20160723022</v>
      </c>
      <c r="K3056" s="13" t="str">
        <f>HYPERLINK("https://ntsu.idm.oclc.org/login?url=https://www.airitibooks.com/Detail/Detail?PublicationID=P20160723022", "https://ntsu.idm.oclc.org/login?url=https://www.airitibooks.com/Detail/Detail?PublicationID=P20160723022")</f>
        <v>https://ntsu.idm.oclc.org/login?url=https://www.airitibooks.com/Detail/Detail?PublicationID=P20160723022</v>
      </c>
    </row>
    <row r="3057" spans="1:11" ht="51" x14ac:dyDescent="0.4">
      <c r="A3057" s="10" t="s">
        <v>4959</v>
      </c>
      <c r="B3057" s="10" t="s">
        <v>4960</v>
      </c>
      <c r="C3057" s="10" t="s">
        <v>287</v>
      </c>
      <c r="D3057" s="10" t="s">
        <v>3010</v>
      </c>
      <c r="E3057" s="10" t="s">
        <v>4129</v>
      </c>
      <c r="F3057" s="10" t="s">
        <v>565</v>
      </c>
      <c r="G3057" s="10" t="s">
        <v>23</v>
      </c>
      <c r="H3057" s="7" t="s">
        <v>24</v>
      </c>
      <c r="I3057" s="7" t="s">
        <v>25</v>
      </c>
      <c r="J3057" s="13" t="str">
        <f>HYPERLINK("https://www.airitibooks.com/Detail/Detail?PublicationID=P20160723023", "https://www.airitibooks.com/Detail/Detail?PublicationID=P20160723023")</f>
        <v>https://www.airitibooks.com/Detail/Detail?PublicationID=P20160723023</v>
      </c>
      <c r="K3057" s="13" t="str">
        <f>HYPERLINK("https://ntsu.idm.oclc.org/login?url=https://www.airitibooks.com/Detail/Detail?PublicationID=P20160723023", "https://ntsu.idm.oclc.org/login?url=https://www.airitibooks.com/Detail/Detail?PublicationID=P20160723023")</f>
        <v>https://ntsu.idm.oclc.org/login?url=https://www.airitibooks.com/Detail/Detail?PublicationID=P20160723023</v>
      </c>
    </row>
    <row r="3058" spans="1:11" ht="51" x14ac:dyDescent="0.4">
      <c r="A3058" s="10" t="s">
        <v>4961</v>
      </c>
      <c r="B3058" s="10" t="s">
        <v>4962</v>
      </c>
      <c r="C3058" s="10" t="s">
        <v>287</v>
      </c>
      <c r="D3058" s="10" t="s">
        <v>4963</v>
      </c>
      <c r="E3058" s="10" t="s">
        <v>4129</v>
      </c>
      <c r="F3058" s="10" t="s">
        <v>565</v>
      </c>
      <c r="G3058" s="10" t="s">
        <v>23</v>
      </c>
      <c r="H3058" s="7" t="s">
        <v>24</v>
      </c>
      <c r="I3058" s="7" t="s">
        <v>25</v>
      </c>
      <c r="J3058" s="13" t="str">
        <f>HYPERLINK("https://www.airitibooks.com/Detail/Detail?PublicationID=P20160723024", "https://www.airitibooks.com/Detail/Detail?PublicationID=P20160723024")</f>
        <v>https://www.airitibooks.com/Detail/Detail?PublicationID=P20160723024</v>
      </c>
      <c r="K3058" s="13" t="str">
        <f>HYPERLINK("https://ntsu.idm.oclc.org/login?url=https://www.airitibooks.com/Detail/Detail?PublicationID=P20160723024", "https://ntsu.idm.oclc.org/login?url=https://www.airitibooks.com/Detail/Detail?PublicationID=P20160723024")</f>
        <v>https://ntsu.idm.oclc.org/login?url=https://www.airitibooks.com/Detail/Detail?PublicationID=P20160723024</v>
      </c>
    </row>
    <row r="3059" spans="1:11" ht="51" x14ac:dyDescent="0.4">
      <c r="A3059" s="10" t="s">
        <v>4964</v>
      </c>
      <c r="B3059" s="10" t="s">
        <v>4965</v>
      </c>
      <c r="C3059" s="10" t="s">
        <v>287</v>
      </c>
      <c r="D3059" s="10" t="s">
        <v>4963</v>
      </c>
      <c r="E3059" s="10" t="s">
        <v>4129</v>
      </c>
      <c r="F3059" s="10" t="s">
        <v>565</v>
      </c>
      <c r="G3059" s="10" t="s">
        <v>23</v>
      </c>
      <c r="H3059" s="7" t="s">
        <v>24</v>
      </c>
      <c r="I3059" s="7" t="s">
        <v>25</v>
      </c>
      <c r="J3059" s="13" t="str">
        <f>HYPERLINK("https://www.airitibooks.com/Detail/Detail?PublicationID=P20160723025", "https://www.airitibooks.com/Detail/Detail?PublicationID=P20160723025")</f>
        <v>https://www.airitibooks.com/Detail/Detail?PublicationID=P20160723025</v>
      </c>
      <c r="K3059" s="13" t="str">
        <f>HYPERLINK("https://ntsu.idm.oclc.org/login?url=https://www.airitibooks.com/Detail/Detail?PublicationID=P20160723025", "https://ntsu.idm.oclc.org/login?url=https://www.airitibooks.com/Detail/Detail?PublicationID=P20160723025")</f>
        <v>https://ntsu.idm.oclc.org/login?url=https://www.airitibooks.com/Detail/Detail?PublicationID=P20160723025</v>
      </c>
    </row>
    <row r="3060" spans="1:11" ht="51" x14ac:dyDescent="0.4">
      <c r="A3060" s="10" t="s">
        <v>4966</v>
      </c>
      <c r="B3060" s="10" t="s">
        <v>4967</v>
      </c>
      <c r="C3060" s="10" t="s">
        <v>287</v>
      </c>
      <c r="D3060" s="10" t="s">
        <v>4963</v>
      </c>
      <c r="E3060" s="10" t="s">
        <v>4129</v>
      </c>
      <c r="F3060" s="10" t="s">
        <v>565</v>
      </c>
      <c r="G3060" s="10" t="s">
        <v>23</v>
      </c>
      <c r="H3060" s="7" t="s">
        <v>24</v>
      </c>
      <c r="I3060" s="7" t="s">
        <v>25</v>
      </c>
      <c r="J3060" s="13" t="str">
        <f>HYPERLINK("https://www.airitibooks.com/Detail/Detail?PublicationID=P20160723026", "https://www.airitibooks.com/Detail/Detail?PublicationID=P20160723026")</f>
        <v>https://www.airitibooks.com/Detail/Detail?PublicationID=P20160723026</v>
      </c>
      <c r="K3060" s="13" t="str">
        <f>HYPERLINK("https://ntsu.idm.oclc.org/login?url=https://www.airitibooks.com/Detail/Detail?PublicationID=P20160723026", "https://ntsu.idm.oclc.org/login?url=https://www.airitibooks.com/Detail/Detail?PublicationID=P20160723026")</f>
        <v>https://ntsu.idm.oclc.org/login?url=https://www.airitibooks.com/Detail/Detail?PublicationID=P20160723026</v>
      </c>
    </row>
    <row r="3061" spans="1:11" ht="51" x14ac:dyDescent="0.4">
      <c r="A3061" s="10" t="s">
        <v>4968</v>
      </c>
      <c r="B3061" s="10" t="s">
        <v>4969</v>
      </c>
      <c r="C3061" s="10" t="s">
        <v>287</v>
      </c>
      <c r="D3061" s="10" t="s">
        <v>4963</v>
      </c>
      <c r="E3061" s="10" t="s">
        <v>4129</v>
      </c>
      <c r="F3061" s="10" t="s">
        <v>565</v>
      </c>
      <c r="G3061" s="10" t="s">
        <v>23</v>
      </c>
      <c r="H3061" s="7" t="s">
        <v>24</v>
      </c>
      <c r="I3061" s="7" t="s">
        <v>25</v>
      </c>
      <c r="J3061" s="13" t="str">
        <f>HYPERLINK("https://www.airitibooks.com/Detail/Detail?PublicationID=P20160723027", "https://www.airitibooks.com/Detail/Detail?PublicationID=P20160723027")</f>
        <v>https://www.airitibooks.com/Detail/Detail?PublicationID=P20160723027</v>
      </c>
      <c r="K3061" s="13" t="str">
        <f>HYPERLINK("https://ntsu.idm.oclc.org/login?url=https://www.airitibooks.com/Detail/Detail?PublicationID=P20160723027", "https://ntsu.idm.oclc.org/login?url=https://www.airitibooks.com/Detail/Detail?PublicationID=P20160723027")</f>
        <v>https://ntsu.idm.oclc.org/login?url=https://www.airitibooks.com/Detail/Detail?PublicationID=P20160723027</v>
      </c>
    </row>
    <row r="3062" spans="1:11" ht="51" x14ac:dyDescent="0.4">
      <c r="A3062" s="10" t="s">
        <v>4970</v>
      </c>
      <c r="B3062" s="10" t="s">
        <v>4971</v>
      </c>
      <c r="C3062" s="10" t="s">
        <v>287</v>
      </c>
      <c r="D3062" s="10" t="s">
        <v>4963</v>
      </c>
      <c r="E3062" s="10" t="s">
        <v>4129</v>
      </c>
      <c r="F3062" s="10" t="s">
        <v>565</v>
      </c>
      <c r="G3062" s="10" t="s">
        <v>23</v>
      </c>
      <c r="H3062" s="7" t="s">
        <v>24</v>
      </c>
      <c r="I3062" s="7" t="s">
        <v>25</v>
      </c>
      <c r="J3062" s="13" t="str">
        <f>HYPERLINK("https://www.airitibooks.com/Detail/Detail?PublicationID=P20160723028", "https://www.airitibooks.com/Detail/Detail?PublicationID=P20160723028")</f>
        <v>https://www.airitibooks.com/Detail/Detail?PublicationID=P20160723028</v>
      </c>
      <c r="K3062" s="13" t="str">
        <f>HYPERLINK("https://ntsu.idm.oclc.org/login?url=https://www.airitibooks.com/Detail/Detail?PublicationID=P20160723028", "https://ntsu.idm.oclc.org/login?url=https://www.airitibooks.com/Detail/Detail?PublicationID=P20160723028")</f>
        <v>https://ntsu.idm.oclc.org/login?url=https://www.airitibooks.com/Detail/Detail?PublicationID=P20160723028</v>
      </c>
    </row>
    <row r="3063" spans="1:11" ht="51" x14ac:dyDescent="0.4">
      <c r="A3063" s="10" t="s">
        <v>4972</v>
      </c>
      <c r="B3063" s="10" t="s">
        <v>4973</v>
      </c>
      <c r="C3063" s="10" t="s">
        <v>287</v>
      </c>
      <c r="D3063" s="10" t="s">
        <v>4963</v>
      </c>
      <c r="E3063" s="10" t="s">
        <v>4129</v>
      </c>
      <c r="F3063" s="10" t="s">
        <v>565</v>
      </c>
      <c r="G3063" s="10" t="s">
        <v>23</v>
      </c>
      <c r="H3063" s="7" t="s">
        <v>24</v>
      </c>
      <c r="I3063" s="7" t="s">
        <v>25</v>
      </c>
      <c r="J3063" s="13" t="str">
        <f>HYPERLINK("https://www.airitibooks.com/Detail/Detail?PublicationID=P20160723029", "https://www.airitibooks.com/Detail/Detail?PublicationID=P20160723029")</f>
        <v>https://www.airitibooks.com/Detail/Detail?PublicationID=P20160723029</v>
      </c>
      <c r="K3063" s="13" t="str">
        <f>HYPERLINK("https://ntsu.idm.oclc.org/login?url=https://www.airitibooks.com/Detail/Detail?PublicationID=P20160723029", "https://ntsu.idm.oclc.org/login?url=https://www.airitibooks.com/Detail/Detail?PublicationID=P20160723029")</f>
        <v>https://ntsu.idm.oclc.org/login?url=https://www.airitibooks.com/Detail/Detail?PublicationID=P20160723029</v>
      </c>
    </row>
    <row r="3064" spans="1:11" ht="51" x14ac:dyDescent="0.4">
      <c r="A3064" s="10" t="s">
        <v>4987</v>
      </c>
      <c r="B3064" s="10" t="s">
        <v>4988</v>
      </c>
      <c r="C3064" s="10" t="s">
        <v>4989</v>
      </c>
      <c r="D3064" s="10" t="s">
        <v>4990</v>
      </c>
      <c r="E3064" s="10" t="s">
        <v>4129</v>
      </c>
      <c r="F3064" s="10" t="s">
        <v>3548</v>
      </c>
      <c r="G3064" s="10" t="s">
        <v>23</v>
      </c>
      <c r="H3064" s="7" t="s">
        <v>24</v>
      </c>
      <c r="I3064" s="7" t="s">
        <v>25</v>
      </c>
      <c r="J3064" s="13" t="str">
        <f>HYPERLINK("https://www.airitibooks.com/Detail/Detail?PublicationID=P20160723042", "https://www.airitibooks.com/Detail/Detail?PublicationID=P20160723042")</f>
        <v>https://www.airitibooks.com/Detail/Detail?PublicationID=P20160723042</v>
      </c>
      <c r="K3064" s="13" t="str">
        <f>HYPERLINK("https://ntsu.idm.oclc.org/login?url=https://www.airitibooks.com/Detail/Detail?PublicationID=P20160723042", "https://ntsu.idm.oclc.org/login?url=https://www.airitibooks.com/Detail/Detail?PublicationID=P20160723042")</f>
        <v>https://ntsu.idm.oclc.org/login?url=https://www.airitibooks.com/Detail/Detail?PublicationID=P20160723042</v>
      </c>
    </row>
    <row r="3065" spans="1:11" ht="51" x14ac:dyDescent="0.4">
      <c r="A3065" s="10" t="s">
        <v>4991</v>
      </c>
      <c r="B3065" s="10" t="s">
        <v>4992</v>
      </c>
      <c r="C3065" s="10" t="s">
        <v>4989</v>
      </c>
      <c r="D3065" s="10" t="s">
        <v>4990</v>
      </c>
      <c r="E3065" s="10" t="s">
        <v>4129</v>
      </c>
      <c r="F3065" s="10" t="s">
        <v>4993</v>
      </c>
      <c r="G3065" s="10" t="s">
        <v>23</v>
      </c>
      <c r="H3065" s="7" t="s">
        <v>24</v>
      </c>
      <c r="I3065" s="7" t="s">
        <v>25</v>
      </c>
      <c r="J3065" s="13" t="str">
        <f>HYPERLINK("https://www.airitibooks.com/Detail/Detail?PublicationID=P20160723043", "https://www.airitibooks.com/Detail/Detail?PublicationID=P20160723043")</f>
        <v>https://www.airitibooks.com/Detail/Detail?PublicationID=P20160723043</v>
      </c>
      <c r="K3065" s="13" t="str">
        <f>HYPERLINK("https://ntsu.idm.oclc.org/login?url=https://www.airitibooks.com/Detail/Detail?PublicationID=P20160723043", "https://ntsu.idm.oclc.org/login?url=https://www.airitibooks.com/Detail/Detail?PublicationID=P20160723043")</f>
        <v>https://ntsu.idm.oclc.org/login?url=https://www.airitibooks.com/Detail/Detail?PublicationID=P20160723043</v>
      </c>
    </row>
    <row r="3066" spans="1:11" ht="51" x14ac:dyDescent="0.4">
      <c r="A3066" s="10" t="s">
        <v>4994</v>
      </c>
      <c r="B3066" s="10" t="s">
        <v>4995</v>
      </c>
      <c r="C3066" s="10" t="s">
        <v>4989</v>
      </c>
      <c r="D3066" s="10" t="s">
        <v>4990</v>
      </c>
      <c r="E3066" s="10" t="s">
        <v>4129</v>
      </c>
      <c r="F3066" s="10" t="s">
        <v>4993</v>
      </c>
      <c r="G3066" s="10" t="s">
        <v>23</v>
      </c>
      <c r="H3066" s="7" t="s">
        <v>24</v>
      </c>
      <c r="I3066" s="7" t="s">
        <v>25</v>
      </c>
      <c r="J3066" s="13" t="str">
        <f>HYPERLINK("https://www.airitibooks.com/Detail/Detail?PublicationID=P20160723044", "https://www.airitibooks.com/Detail/Detail?PublicationID=P20160723044")</f>
        <v>https://www.airitibooks.com/Detail/Detail?PublicationID=P20160723044</v>
      </c>
      <c r="K3066" s="13" t="str">
        <f>HYPERLINK("https://ntsu.idm.oclc.org/login?url=https://www.airitibooks.com/Detail/Detail?PublicationID=P20160723044", "https://ntsu.idm.oclc.org/login?url=https://www.airitibooks.com/Detail/Detail?PublicationID=P20160723044")</f>
        <v>https://ntsu.idm.oclc.org/login?url=https://www.airitibooks.com/Detail/Detail?PublicationID=P20160723044</v>
      </c>
    </row>
    <row r="3067" spans="1:11" ht="51" x14ac:dyDescent="0.4">
      <c r="A3067" s="10" t="s">
        <v>4996</v>
      </c>
      <c r="B3067" s="10" t="s">
        <v>4997</v>
      </c>
      <c r="C3067" s="10" t="s">
        <v>287</v>
      </c>
      <c r="D3067" s="10" t="s">
        <v>4998</v>
      </c>
      <c r="E3067" s="10" t="s">
        <v>4129</v>
      </c>
      <c r="F3067" s="10" t="s">
        <v>565</v>
      </c>
      <c r="G3067" s="10" t="s">
        <v>23</v>
      </c>
      <c r="H3067" s="7" t="s">
        <v>24</v>
      </c>
      <c r="I3067" s="7" t="s">
        <v>25</v>
      </c>
      <c r="J3067" s="13" t="str">
        <f>HYPERLINK("https://www.airitibooks.com/Detail/Detail?PublicationID=P20160723051", "https://www.airitibooks.com/Detail/Detail?PublicationID=P20160723051")</f>
        <v>https://www.airitibooks.com/Detail/Detail?PublicationID=P20160723051</v>
      </c>
      <c r="K3067" s="13" t="str">
        <f>HYPERLINK("https://ntsu.idm.oclc.org/login?url=https://www.airitibooks.com/Detail/Detail?PublicationID=P20160723051", "https://ntsu.idm.oclc.org/login?url=https://www.airitibooks.com/Detail/Detail?PublicationID=P20160723051")</f>
        <v>https://ntsu.idm.oclc.org/login?url=https://www.airitibooks.com/Detail/Detail?PublicationID=P20160723051</v>
      </c>
    </row>
    <row r="3068" spans="1:11" ht="51" x14ac:dyDescent="0.4">
      <c r="A3068" s="10" t="s">
        <v>5019</v>
      </c>
      <c r="B3068" s="10" t="s">
        <v>5020</v>
      </c>
      <c r="C3068" s="10" t="s">
        <v>4989</v>
      </c>
      <c r="D3068" s="10" t="s">
        <v>4990</v>
      </c>
      <c r="E3068" s="10" t="s">
        <v>4129</v>
      </c>
      <c r="F3068" s="10" t="s">
        <v>3548</v>
      </c>
      <c r="G3068" s="10" t="s">
        <v>23</v>
      </c>
      <c r="H3068" s="7" t="s">
        <v>24</v>
      </c>
      <c r="I3068" s="7" t="s">
        <v>25</v>
      </c>
      <c r="J3068" s="13" t="str">
        <f>HYPERLINK("https://www.airitibooks.com/Detail/Detail?PublicationID=P20160725210", "https://www.airitibooks.com/Detail/Detail?PublicationID=P20160725210")</f>
        <v>https://www.airitibooks.com/Detail/Detail?PublicationID=P20160725210</v>
      </c>
      <c r="K3068" s="13" t="str">
        <f>HYPERLINK("https://ntsu.idm.oclc.org/login?url=https://www.airitibooks.com/Detail/Detail?PublicationID=P20160725210", "https://ntsu.idm.oclc.org/login?url=https://www.airitibooks.com/Detail/Detail?PublicationID=P20160725210")</f>
        <v>https://ntsu.idm.oclc.org/login?url=https://www.airitibooks.com/Detail/Detail?PublicationID=P20160725210</v>
      </c>
    </row>
    <row r="3069" spans="1:11" ht="51" x14ac:dyDescent="0.4">
      <c r="A3069" s="10" t="s">
        <v>5021</v>
      </c>
      <c r="B3069" s="10" t="s">
        <v>5022</v>
      </c>
      <c r="C3069" s="10" t="s">
        <v>4989</v>
      </c>
      <c r="D3069" s="10" t="s">
        <v>4990</v>
      </c>
      <c r="E3069" s="10" t="s">
        <v>4129</v>
      </c>
      <c r="F3069" s="10" t="s">
        <v>3548</v>
      </c>
      <c r="G3069" s="10" t="s">
        <v>23</v>
      </c>
      <c r="H3069" s="7" t="s">
        <v>24</v>
      </c>
      <c r="I3069" s="7" t="s">
        <v>25</v>
      </c>
      <c r="J3069" s="13" t="str">
        <f>HYPERLINK("https://www.airitibooks.com/Detail/Detail?PublicationID=P20160725211", "https://www.airitibooks.com/Detail/Detail?PublicationID=P20160725211")</f>
        <v>https://www.airitibooks.com/Detail/Detail?PublicationID=P20160725211</v>
      </c>
      <c r="K3069" s="13" t="str">
        <f>HYPERLINK("https://ntsu.idm.oclc.org/login?url=https://www.airitibooks.com/Detail/Detail?PublicationID=P20160725211", "https://ntsu.idm.oclc.org/login?url=https://www.airitibooks.com/Detail/Detail?PublicationID=P20160725211")</f>
        <v>https://ntsu.idm.oclc.org/login?url=https://www.airitibooks.com/Detail/Detail?PublicationID=P20160725211</v>
      </c>
    </row>
    <row r="3070" spans="1:11" ht="51" x14ac:dyDescent="0.4">
      <c r="A3070" s="10" t="s">
        <v>5023</v>
      </c>
      <c r="B3070" s="10" t="s">
        <v>5024</v>
      </c>
      <c r="C3070" s="10" t="s">
        <v>4989</v>
      </c>
      <c r="D3070" s="10" t="s">
        <v>4990</v>
      </c>
      <c r="E3070" s="10" t="s">
        <v>4129</v>
      </c>
      <c r="F3070" s="10" t="s">
        <v>4993</v>
      </c>
      <c r="G3070" s="10" t="s">
        <v>23</v>
      </c>
      <c r="H3070" s="7" t="s">
        <v>24</v>
      </c>
      <c r="I3070" s="7" t="s">
        <v>25</v>
      </c>
      <c r="J3070" s="13" t="str">
        <f>HYPERLINK("https://www.airitibooks.com/Detail/Detail?PublicationID=P20160725212", "https://www.airitibooks.com/Detail/Detail?PublicationID=P20160725212")</f>
        <v>https://www.airitibooks.com/Detail/Detail?PublicationID=P20160725212</v>
      </c>
      <c r="K3070" s="13" t="str">
        <f>HYPERLINK("https://ntsu.idm.oclc.org/login?url=https://www.airitibooks.com/Detail/Detail?PublicationID=P20160725212", "https://ntsu.idm.oclc.org/login?url=https://www.airitibooks.com/Detail/Detail?PublicationID=P20160725212")</f>
        <v>https://ntsu.idm.oclc.org/login?url=https://www.airitibooks.com/Detail/Detail?PublicationID=P20160725212</v>
      </c>
    </row>
    <row r="3071" spans="1:11" ht="51" x14ac:dyDescent="0.4">
      <c r="A3071" s="10" t="s">
        <v>5025</v>
      </c>
      <c r="B3071" s="10" t="s">
        <v>5026</v>
      </c>
      <c r="C3071" s="10" t="s">
        <v>4989</v>
      </c>
      <c r="D3071" s="10" t="s">
        <v>4990</v>
      </c>
      <c r="E3071" s="10" t="s">
        <v>4129</v>
      </c>
      <c r="F3071" s="10" t="s">
        <v>3548</v>
      </c>
      <c r="G3071" s="10" t="s">
        <v>23</v>
      </c>
      <c r="H3071" s="7" t="s">
        <v>24</v>
      </c>
      <c r="I3071" s="7" t="s">
        <v>25</v>
      </c>
      <c r="J3071" s="13" t="str">
        <f>HYPERLINK("https://www.airitibooks.com/Detail/Detail?PublicationID=P20160725214", "https://www.airitibooks.com/Detail/Detail?PublicationID=P20160725214")</f>
        <v>https://www.airitibooks.com/Detail/Detail?PublicationID=P20160725214</v>
      </c>
      <c r="K3071" s="13" t="str">
        <f>HYPERLINK("https://ntsu.idm.oclc.org/login?url=https://www.airitibooks.com/Detail/Detail?PublicationID=P20160725214", "https://ntsu.idm.oclc.org/login?url=https://www.airitibooks.com/Detail/Detail?PublicationID=P20160725214")</f>
        <v>https://ntsu.idm.oclc.org/login?url=https://www.airitibooks.com/Detail/Detail?PublicationID=P20160725214</v>
      </c>
    </row>
    <row r="3072" spans="1:11" ht="51" x14ac:dyDescent="0.4">
      <c r="A3072" s="10" t="s">
        <v>5118</v>
      </c>
      <c r="B3072" s="10" t="s">
        <v>5119</v>
      </c>
      <c r="C3072" s="10" t="s">
        <v>751</v>
      </c>
      <c r="D3072" s="10" t="s">
        <v>752</v>
      </c>
      <c r="E3072" s="10" t="s">
        <v>4129</v>
      </c>
      <c r="F3072" s="10" t="s">
        <v>1646</v>
      </c>
      <c r="G3072" s="10" t="s">
        <v>23</v>
      </c>
      <c r="H3072" s="7" t="s">
        <v>24</v>
      </c>
      <c r="I3072" s="7" t="s">
        <v>25</v>
      </c>
      <c r="J3072" s="13" t="str">
        <f>HYPERLINK("https://www.airitibooks.com/Detail/Detail?PublicationID=P20160806215", "https://www.airitibooks.com/Detail/Detail?PublicationID=P20160806215")</f>
        <v>https://www.airitibooks.com/Detail/Detail?PublicationID=P20160806215</v>
      </c>
      <c r="K3072" s="13" t="str">
        <f>HYPERLINK("https://ntsu.idm.oclc.org/login?url=https://www.airitibooks.com/Detail/Detail?PublicationID=P20160806215", "https://ntsu.idm.oclc.org/login?url=https://www.airitibooks.com/Detail/Detail?PublicationID=P20160806215")</f>
        <v>https://ntsu.idm.oclc.org/login?url=https://www.airitibooks.com/Detail/Detail?PublicationID=P20160806215</v>
      </c>
    </row>
    <row r="3073" spans="1:11" ht="51" x14ac:dyDescent="0.4">
      <c r="A3073" s="10" t="s">
        <v>5120</v>
      </c>
      <c r="B3073" s="10" t="s">
        <v>5121</v>
      </c>
      <c r="C3073" s="10" t="s">
        <v>287</v>
      </c>
      <c r="D3073" s="10" t="s">
        <v>5122</v>
      </c>
      <c r="E3073" s="10" t="s">
        <v>4129</v>
      </c>
      <c r="F3073" s="10" t="s">
        <v>565</v>
      </c>
      <c r="G3073" s="10" t="s">
        <v>23</v>
      </c>
      <c r="H3073" s="7" t="s">
        <v>24</v>
      </c>
      <c r="I3073" s="7" t="s">
        <v>25</v>
      </c>
      <c r="J3073" s="13" t="str">
        <f>HYPERLINK("https://www.airitibooks.com/Detail/Detail?PublicationID=P20160806216", "https://www.airitibooks.com/Detail/Detail?PublicationID=P20160806216")</f>
        <v>https://www.airitibooks.com/Detail/Detail?PublicationID=P20160806216</v>
      </c>
      <c r="K3073" s="13" t="str">
        <f>HYPERLINK("https://ntsu.idm.oclc.org/login?url=https://www.airitibooks.com/Detail/Detail?PublicationID=P20160806216", "https://ntsu.idm.oclc.org/login?url=https://www.airitibooks.com/Detail/Detail?PublicationID=P20160806216")</f>
        <v>https://ntsu.idm.oclc.org/login?url=https://www.airitibooks.com/Detail/Detail?PublicationID=P20160806216</v>
      </c>
    </row>
    <row r="3074" spans="1:11" ht="51" x14ac:dyDescent="0.4">
      <c r="A3074" s="10" t="s">
        <v>5152</v>
      </c>
      <c r="B3074" s="10" t="s">
        <v>5153</v>
      </c>
      <c r="C3074" s="10" t="s">
        <v>212</v>
      </c>
      <c r="D3074" s="10" t="s">
        <v>671</v>
      </c>
      <c r="E3074" s="10" t="s">
        <v>4129</v>
      </c>
      <c r="F3074" s="10" t="s">
        <v>5154</v>
      </c>
      <c r="G3074" s="10" t="s">
        <v>23</v>
      </c>
      <c r="H3074" s="7" t="s">
        <v>24</v>
      </c>
      <c r="I3074" s="7" t="s">
        <v>25</v>
      </c>
      <c r="J3074" s="13" t="str">
        <f>HYPERLINK("https://www.airitibooks.com/Detail/Detail?PublicationID=P20160806254", "https://www.airitibooks.com/Detail/Detail?PublicationID=P20160806254")</f>
        <v>https://www.airitibooks.com/Detail/Detail?PublicationID=P20160806254</v>
      </c>
      <c r="K3074" s="13" t="str">
        <f>HYPERLINK("https://ntsu.idm.oclc.org/login?url=https://www.airitibooks.com/Detail/Detail?PublicationID=P20160806254", "https://ntsu.idm.oclc.org/login?url=https://www.airitibooks.com/Detail/Detail?PublicationID=P20160806254")</f>
        <v>https://ntsu.idm.oclc.org/login?url=https://www.airitibooks.com/Detail/Detail?PublicationID=P20160806254</v>
      </c>
    </row>
    <row r="3075" spans="1:11" ht="51" x14ac:dyDescent="0.4">
      <c r="A3075" s="10" t="s">
        <v>5208</v>
      </c>
      <c r="B3075" s="10" t="s">
        <v>5209</v>
      </c>
      <c r="C3075" s="10" t="s">
        <v>5210</v>
      </c>
      <c r="D3075" s="10" t="s">
        <v>5211</v>
      </c>
      <c r="E3075" s="10" t="s">
        <v>4129</v>
      </c>
      <c r="F3075" s="10" t="s">
        <v>250</v>
      </c>
      <c r="G3075" s="10" t="s">
        <v>23</v>
      </c>
      <c r="H3075" s="7" t="s">
        <v>24</v>
      </c>
      <c r="I3075" s="7" t="s">
        <v>25</v>
      </c>
      <c r="J3075" s="13" t="str">
        <f>HYPERLINK("https://www.airitibooks.com/Detail/Detail?PublicationID=P20160829055", "https://www.airitibooks.com/Detail/Detail?PublicationID=P20160829055")</f>
        <v>https://www.airitibooks.com/Detail/Detail?PublicationID=P20160829055</v>
      </c>
      <c r="K3075" s="13" t="str">
        <f>HYPERLINK("https://ntsu.idm.oclc.org/login?url=https://www.airitibooks.com/Detail/Detail?PublicationID=P20160829055", "https://ntsu.idm.oclc.org/login?url=https://www.airitibooks.com/Detail/Detail?PublicationID=P20160829055")</f>
        <v>https://ntsu.idm.oclc.org/login?url=https://www.airitibooks.com/Detail/Detail?PublicationID=P20160829055</v>
      </c>
    </row>
    <row r="3076" spans="1:11" ht="51" x14ac:dyDescent="0.4">
      <c r="A3076" s="10" t="s">
        <v>5212</v>
      </c>
      <c r="B3076" s="10" t="s">
        <v>5213</v>
      </c>
      <c r="C3076" s="10" t="s">
        <v>5210</v>
      </c>
      <c r="D3076" s="10" t="s">
        <v>5211</v>
      </c>
      <c r="E3076" s="10" t="s">
        <v>4129</v>
      </c>
      <c r="F3076" s="10" t="s">
        <v>250</v>
      </c>
      <c r="G3076" s="10" t="s">
        <v>23</v>
      </c>
      <c r="H3076" s="7" t="s">
        <v>24</v>
      </c>
      <c r="I3076" s="7" t="s">
        <v>25</v>
      </c>
      <c r="J3076" s="13" t="str">
        <f>HYPERLINK("https://www.airitibooks.com/Detail/Detail?PublicationID=P20160829056", "https://www.airitibooks.com/Detail/Detail?PublicationID=P20160829056")</f>
        <v>https://www.airitibooks.com/Detail/Detail?PublicationID=P20160829056</v>
      </c>
      <c r="K3076" s="13" t="str">
        <f>HYPERLINK("https://ntsu.idm.oclc.org/login?url=https://www.airitibooks.com/Detail/Detail?PublicationID=P20160829056", "https://ntsu.idm.oclc.org/login?url=https://www.airitibooks.com/Detail/Detail?PublicationID=P20160829056")</f>
        <v>https://ntsu.idm.oclc.org/login?url=https://www.airitibooks.com/Detail/Detail?PublicationID=P20160829056</v>
      </c>
    </row>
    <row r="3077" spans="1:11" ht="51" x14ac:dyDescent="0.4">
      <c r="A3077" s="10" t="s">
        <v>5221</v>
      </c>
      <c r="B3077" s="10" t="s">
        <v>5222</v>
      </c>
      <c r="C3077" s="10" t="s">
        <v>613</v>
      </c>
      <c r="D3077" s="10" t="s">
        <v>5223</v>
      </c>
      <c r="E3077" s="10" t="s">
        <v>4129</v>
      </c>
      <c r="F3077" s="10" t="s">
        <v>1164</v>
      </c>
      <c r="G3077" s="10" t="s">
        <v>23</v>
      </c>
      <c r="H3077" s="7" t="s">
        <v>24</v>
      </c>
      <c r="I3077" s="7" t="s">
        <v>25</v>
      </c>
      <c r="J3077" s="13" t="str">
        <f>HYPERLINK("https://www.airitibooks.com/Detail/Detail?PublicationID=P20160829106", "https://www.airitibooks.com/Detail/Detail?PublicationID=P20160829106")</f>
        <v>https://www.airitibooks.com/Detail/Detail?PublicationID=P20160829106</v>
      </c>
      <c r="K3077" s="13" t="str">
        <f>HYPERLINK("https://ntsu.idm.oclc.org/login?url=https://www.airitibooks.com/Detail/Detail?PublicationID=P20160829106", "https://ntsu.idm.oclc.org/login?url=https://www.airitibooks.com/Detail/Detail?PublicationID=P20160829106")</f>
        <v>https://ntsu.idm.oclc.org/login?url=https://www.airitibooks.com/Detail/Detail?PublicationID=P20160829106</v>
      </c>
    </row>
    <row r="3078" spans="1:11" ht="51" x14ac:dyDescent="0.4">
      <c r="A3078" s="10" t="s">
        <v>5267</v>
      </c>
      <c r="B3078" s="10" t="s">
        <v>5268</v>
      </c>
      <c r="C3078" s="10" t="s">
        <v>938</v>
      </c>
      <c r="D3078" s="10" t="s">
        <v>5269</v>
      </c>
      <c r="E3078" s="10" t="s">
        <v>4129</v>
      </c>
      <c r="F3078" s="10" t="s">
        <v>2484</v>
      </c>
      <c r="G3078" s="10" t="s">
        <v>23</v>
      </c>
      <c r="H3078" s="7" t="s">
        <v>24</v>
      </c>
      <c r="I3078" s="7" t="s">
        <v>25</v>
      </c>
      <c r="J3078" s="13" t="str">
        <f>HYPERLINK("https://www.airitibooks.com/Detail/Detail?PublicationID=P20160829143", "https://www.airitibooks.com/Detail/Detail?PublicationID=P20160829143")</f>
        <v>https://www.airitibooks.com/Detail/Detail?PublicationID=P20160829143</v>
      </c>
      <c r="K3078" s="13" t="str">
        <f>HYPERLINK("https://ntsu.idm.oclc.org/login?url=https://www.airitibooks.com/Detail/Detail?PublicationID=P20160829143", "https://ntsu.idm.oclc.org/login?url=https://www.airitibooks.com/Detail/Detail?PublicationID=P20160829143")</f>
        <v>https://ntsu.idm.oclc.org/login?url=https://www.airitibooks.com/Detail/Detail?PublicationID=P20160829143</v>
      </c>
    </row>
    <row r="3079" spans="1:11" ht="51" x14ac:dyDescent="0.4">
      <c r="A3079" s="10" t="s">
        <v>5270</v>
      </c>
      <c r="B3079" s="10" t="s">
        <v>5271</v>
      </c>
      <c r="C3079" s="10" t="s">
        <v>938</v>
      </c>
      <c r="D3079" s="10" t="s">
        <v>5269</v>
      </c>
      <c r="E3079" s="10" t="s">
        <v>4129</v>
      </c>
      <c r="F3079" s="10" t="s">
        <v>2484</v>
      </c>
      <c r="G3079" s="10" t="s">
        <v>23</v>
      </c>
      <c r="H3079" s="7" t="s">
        <v>24</v>
      </c>
      <c r="I3079" s="7" t="s">
        <v>25</v>
      </c>
      <c r="J3079" s="13" t="str">
        <f>HYPERLINK("https://www.airitibooks.com/Detail/Detail?PublicationID=P20160829144", "https://www.airitibooks.com/Detail/Detail?PublicationID=P20160829144")</f>
        <v>https://www.airitibooks.com/Detail/Detail?PublicationID=P20160829144</v>
      </c>
      <c r="K3079" s="13" t="str">
        <f>HYPERLINK("https://ntsu.idm.oclc.org/login?url=https://www.airitibooks.com/Detail/Detail?PublicationID=P20160829144", "https://ntsu.idm.oclc.org/login?url=https://www.airitibooks.com/Detail/Detail?PublicationID=P20160829144")</f>
        <v>https://ntsu.idm.oclc.org/login?url=https://www.airitibooks.com/Detail/Detail?PublicationID=P20160829144</v>
      </c>
    </row>
    <row r="3080" spans="1:11" ht="51" x14ac:dyDescent="0.4">
      <c r="A3080" s="10" t="s">
        <v>5272</v>
      </c>
      <c r="B3080" s="10" t="s">
        <v>5273</v>
      </c>
      <c r="C3080" s="10" t="s">
        <v>938</v>
      </c>
      <c r="D3080" s="10" t="s">
        <v>4021</v>
      </c>
      <c r="E3080" s="10" t="s">
        <v>4129</v>
      </c>
      <c r="F3080" s="10" t="s">
        <v>2484</v>
      </c>
      <c r="G3080" s="10" t="s">
        <v>23</v>
      </c>
      <c r="H3080" s="7" t="s">
        <v>24</v>
      </c>
      <c r="I3080" s="7" t="s">
        <v>25</v>
      </c>
      <c r="J3080" s="13" t="str">
        <f>HYPERLINK("https://www.airitibooks.com/Detail/Detail?PublicationID=P20160829145", "https://www.airitibooks.com/Detail/Detail?PublicationID=P20160829145")</f>
        <v>https://www.airitibooks.com/Detail/Detail?PublicationID=P20160829145</v>
      </c>
      <c r="K3080" s="13" t="str">
        <f>HYPERLINK("https://ntsu.idm.oclc.org/login?url=https://www.airitibooks.com/Detail/Detail?PublicationID=P20160829145", "https://ntsu.idm.oclc.org/login?url=https://www.airitibooks.com/Detail/Detail?PublicationID=P20160829145")</f>
        <v>https://ntsu.idm.oclc.org/login?url=https://www.airitibooks.com/Detail/Detail?PublicationID=P20160829145</v>
      </c>
    </row>
    <row r="3081" spans="1:11" ht="51" x14ac:dyDescent="0.4">
      <c r="A3081" s="10" t="s">
        <v>5286</v>
      </c>
      <c r="B3081" s="10" t="s">
        <v>5287</v>
      </c>
      <c r="C3081" s="10" t="s">
        <v>938</v>
      </c>
      <c r="D3081" s="10" t="s">
        <v>5288</v>
      </c>
      <c r="E3081" s="10" t="s">
        <v>4129</v>
      </c>
      <c r="F3081" s="10" t="s">
        <v>2484</v>
      </c>
      <c r="G3081" s="10" t="s">
        <v>23</v>
      </c>
      <c r="H3081" s="7" t="s">
        <v>24</v>
      </c>
      <c r="I3081" s="7" t="s">
        <v>25</v>
      </c>
      <c r="J3081" s="13" t="str">
        <f>HYPERLINK("https://www.airitibooks.com/Detail/Detail?PublicationID=P20160829153", "https://www.airitibooks.com/Detail/Detail?PublicationID=P20160829153")</f>
        <v>https://www.airitibooks.com/Detail/Detail?PublicationID=P20160829153</v>
      </c>
      <c r="K3081" s="13" t="str">
        <f>HYPERLINK("https://ntsu.idm.oclc.org/login?url=https://www.airitibooks.com/Detail/Detail?PublicationID=P20160829153", "https://ntsu.idm.oclc.org/login?url=https://www.airitibooks.com/Detail/Detail?PublicationID=P20160829153")</f>
        <v>https://ntsu.idm.oclc.org/login?url=https://www.airitibooks.com/Detail/Detail?PublicationID=P20160829153</v>
      </c>
    </row>
    <row r="3082" spans="1:11" ht="51" x14ac:dyDescent="0.4">
      <c r="A3082" s="10" t="s">
        <v>5289</v>
      </c>
      <c r="B3082" s="10" t="s">
        <v>5290</v>
      </c>
      <c r="C3082" s="10" t="s">
        <v>938</v>
      </c>
      <c r="D3082" s="10" t="s">
        <v>5291</v>
      </c>
      <c r="E3082" s="10" t="s">
        <v>4129</v>
      </c>
      <c r="F3082" s="10" t="s">
        <v>2484</v>
      </c>
      <c r="G3082" s="10" t="s">
        <v>23</v>
      </c>
      <c r="H3082" s="7" t="s">
        <v>24</v>
      </c>
      <c r="I3082" s="7" t="s">
        <v>25</v>
      </c>
      <c r="J3082" s="13" t="str">
        <f>HYPERLINK("https://www.airitibooks.com/Detail/Detail?PublicationID=P20160829155", "https://www.airitibooks.com/Detail/Detail?PublicationID=P20160829155")</f>
        <v>https://www.airitibooks.com/Detail/Detail?PublicationID=P20160829155</v>
      </c>
      <c r="K3082" s="13" t="str">
        <f>HYPERLINK("https://ntsu.idm.oclc.org/login?url=https://www.airitibooks.com/Detail/Detail?PublicationID=P20160829155", "https://ntsu.idm.oclc.org/login?url=https://www.airitibooks.com/Detail/Detail?PublicationID=P20160829155")</f>
        <v>https://ntsu.idm.oclc.org/login?url=https://www.airitibooks.com/Detail/Detail?PublicationID=P20160829155</v>
      </c>
    </row>
    <row r="3083" spans="1:11" ht="51" x14ac:dyDescent="0.4">
      <c r="A3083" s="10" t="s">
        <v>5292</v>
      </c>
      <c r="B3083" s="10" t="s">
        <v>5293</v>
      </c>
      <c r="C3083" s="10" t="s">
        <v>938</v>
      </c>
      <c r="D3083" s="10" t="s">
        <v>5294</v>
      </c>
      <c r="E3083" s="10" t="s">
        <v>4129</v>
      </c>
      <c r="F3083" s="10" t="s">
        <v>2484</v>
      </c>
      <c r="G3083" s="10" t="s">
        <v>23</v>
      </c>
      <c r="H3083" s="7" t="s">
        <v>24</v>
      </c>
      <c r="I3083" s="7" t="s">
        <v>25</v>
      </c>
      <c r="J3083" s="13" t="str">
        <f>HYPERLINK("https://www.airitibooks.com/Detail/Detail?PublicationID=P20160829156", "https://www.airitibooks.com/Detail/Detail?PublicationID=P20160829156")</f>
        <v>https://www.airitibooks.com/Detail/Detail?PublicationID=P20160829156</v>
      </c>
      <c r="K3083" s="13" t="str">
        <f>HYPERLINK("https://ntsu.idm.oclc.org/login?url=https://www.airitibooks.com/Detail/Detail?PublicationID=P20160829156", "https://ntsu.idm.oclc.org/login?url=https://www.airitibooks.com/Detail/Detail?PublicationID=P20160829156")</f>
        <v>https://ntsu.idm.oclc.org/login?url=https://www.airitibooks.com/Detail/Detail?PublicationID=P20160829156</v>
      </c>
    </row>
    <row r="3084" spans="1:11" ht="51" x14ac:dyDescent="0.4">
      <c r="A3084" s="10" t="s">
        <v>5295</v>
      </c>
      <c r="B3084" s="10" t="s">
        <v>5296</v>
      </c>
      <c r="C3084" s="10" t="s">
        <v>938</v>
      </c>
      <c r="D3084" s="10" t="s">
        <v>3907</v>
      </c>
      <c r="E3084" s="10" t="s">
        <v>4129</v>
      </c>
      <c r="F3084" s="10" t="s">
        <v>1646</v>
      </c>
      <c r="G3084" s="10" t="s">
        <v>23</v>
      </c>
      <c r="H3084" s="7" t="s">
        <v>24</v>
      </c>
      <c r="I3084" s="7" t="s">
        <v>25</v>
      </c>
      <c r="J3084" s="13" t="str">
        <f>HYPERLINK("https://www.airitibooks.com/Detail/Detail?PublicationID=P20160829158", "https://www.airitibooks.com/Detail/Detail?PublicationID=P20160829158")</f>
        <v>https://www.airitibooks.com/Detail/Detail?PublicationID=P20160829158</v>
      </c>
      <c r="K3084" s="13" t="str">
        <f>HYPERLINK("https://ntsu.idm.oclc.org/login?url=https://www.airitibooks.com/Detail/Detail?PublicationID=P20160829158", "https://ntsu.idm.oclc.org/login?url=https://www.airitibooks.com/Detail/Detail?PublicationID=P20160829158")</f>
        <v>https://ntsu.idm.oclc.org/login?url=https://www.airitibooks.com/Detail/Detail?PublicationID=P20160829158</v>
      </c>
    </row>
    <row r="3085" spans="1:11" ht="51" x14ac:dyDescent="0.4">
      <c r="A3085" s="10" t="s">
        <v>5300</v>
      </c>
      <c r="B3085" s="10" t="s">
        <v>5301</v>
      </c>
      <c r="C3085" s="10" t="s">
        <v>938</v>
      </c>
      <c r="D3085" s="10" t="s">
        <v>3907</v>
      </c>
      <c r="E3085" s="10" t="s">
        <v>4129</v>
      </c>
      <c r="F3085" s="10" t="s">
        <v>1646</v>
      </c>
      <c r="G3085" s="10" t="s">
        <v>23</v>
      </c>
      <c r="H3085" s="7" t="s">
        <v>24</v>
      </c>
      <c r="I3085" s="7" t="s">
        <v>25</v>
      </c>
      <c r="J3085" s="13" t="str">
        <f>HYPERLINK("https://www.airitibooks.com/Detail/Detail?PublicationID=P20160829166", "https://www.airitibooks.com/Detail/Detail?PublicationID=P20160829166")</f>
        <v>https://www.airitibooks.com/Detail/Detail?PublicationID=P20160829166</v>
      </c>
      <c r="K3085" s="13" t="str">
        <f>HYPERLINK("https://ntsu.idm.oclc.org/login?url=https://www.airitibooks.com/Detail/Detail?PublicationID=P20160829166", "https://ntsu.idm.oclc.org/login?url=https://www.airitibooks.com/Detail/Detail?PublicationID=P20160829166")</f>
        <v>https://ntsu.idm.oclc.org/login?url=https://www.airitibooks.com/Detail/Detail?PublicationID=P20160829166</v>
      </c>
    </row>
    <row r="3086" spans="1:11" ht="51" x14ac:dyDescent="0.4">
      <c r="A3086" s="10" t="s">
        <v>5302</v>
      </c>
      <c r="B3086" s="10" t="s">
        <v>5303</v>
      </c>
      <c r="C3086" s="10" t="s">
        <v>4616</v>
      </c>
      <c r="D3086" s="10" t="s">
        <v>5304</v>
      </c>
      <c r="E3086" s="10" t="s">
        <v>4129</v>
      </c>
      <c r="F3086" s="10" t="s">
        <v>4429</v>
      </c>
      <c r="G3086" s="10" t="s">
        <v>23</v>
      </c>
      <c r="H3086" s="7" t="s">
        <v>24</v>
      </c>
      <c r="I3086" s="7" t="s">
        <v>25</v>
      </c>
      <c r="J3086" s="13" t="str">
        <f>HYPERLINK("https://www.airitibooks.com/Detail/Detail?PublicationID=P20160829168", "https://www.airitibooks.com/Detail/Detail?PublicationID=P20160829168")</f>
        <v>https://www.airitibooks.com/Detail/Detail?PublicationID=P20160829168</v>
      </c>
      <c r="K3086" s="13" t="str">
        <f>HYPERLINK("https://ntsu.idm.oclc.org/login?url=https://www.airitibooks.com/Detail/Detail?PublicationID=P20160829168", "https://ntsu.idm.oclc.org/login?url=https://www.airitibooks.com/Detail/Detail?PublicationID=P20160829168")</f>
        <v>https://ntsu.idm.oclc.org/login?url=https://www.airitibooks.com/Detail/Detail?PublicationID=P20160829168</v>
      </c>
    </row>
    <row r="3087" spans="1:11" ht="51" x14ac:dyDescent="0.4">
      <c r="A3087" s="10" t="s">
        <v>5321</v>
      </c>
      <c r="B3087" s="10" t="s">
        <v>5322</v>
      </c>
      <c r="C3087" s="10" t="s">
        <v>5307</v>
      </c>
      <c r="D3087" s="10" t="s">
        <v>5323</v>
      </c>
      <c r="E3087" s="10" t="s">
        <v>4129</v>
      </c>
      <c r="F3087" s="10" t="s">
        <v>762</v>
      </c>
      <c r="G3087" s="10" t="s">
        <v>23</v>
      </c>
      <c r="H3087" s="7" t="s">
        <v>24</v>
      </c>
      <c r="I3087" s="7" t="s">
        <v>25</v>
      </c>
      <c r="J3087" s="13" t="str">
        <f>HYPERLINK("https://www.airitibooks.com/Detail/Detail?PublicationID=P20160901026", "https://www.airitibooks.com/Detail/Detail?PublicationID=P20160901026")</f>
        <v>https://www.airitibooks.com/Detail/Detail?PublicationID=P20160901026</v>
      </c>
      <c r="K3087" s="13" t="str">
        <f>HYPERLINK("https://ntsu.idm.oclc.org/login?url=https://www.airitibooks.com/Detail/Detail?PublicationID=P20160901026", "https://ntsu.idm.oclc.org/login?url=https://www.airitibooks.com/Detail/Detail?PublicationID=P20160901026")</f>
        <v>https://ntsu.idm.oclc.org/login?url=https://www.airitibooks.com/Detail/Detail?PublicationID=P20160901026</v>
      </c>
    </row>
    <row r="3088" spans="1:11" ht="51" x14ac:dyDescent="0.4">
      <c r="A3088" s="10" t="s">
        <v>5324</v>
      </c>
      <c r="B3088" s="10" t="s">
        <v>5325</v>
      </c>
      <c r="C3088" s="10" t="s">
        <v>1986</v>
      </c>
      <c r="D3088" s="10" t="s">
        <v>5326</v>
      </c>
      <c r="E3088" s="10" t="s">
        <v>4129</v>
      </c>
      <c r="F3088" s="10" t="s">
        <v>4653</v>
      </c>
      <c r="G3088" s="10" t="s">
        <v>23</v>
      </c>
      <c r="H3088" s="7" t="s">
        <v>24</v>
      </c>
      <c r="I3088" s="7" t="s">
        <v>25</v>
      </c>
      <c r="J3088" s="13" t="str">
        <f>HYPERLINK("https://www.airitibooks.com/Detail/Detail?PublicationID=P20160901027", "https://www.airitibooks.com/Detail/Detail?PublicationID=P20160901027")</f>
        <v>https://www.airitibooks.com/Detail/Detail?PublicationID=P20160901027</v>
      </c>
      <c r="K3088" s="13" t="str">
        <f>HYPERLINK("https://ntsu.idm.oclc.org/login?url=https://www.airitibooks.com/Detail/Detail?PublicationID=P20160901027", "https://ntsu.idm.oclc.org/login?url=https://www.airitibooks.com/Detail/Detail?PublicationID=P20160901027")</f>
        <v>https://ntsu.idm.oclc.org/login?url=https://www.airitibooks.com/Detail/Detail?PublicationID=P20160901027</v>
      </c>
    </row>
    <row r="3089" spans="1:11" ht="68" x14ac:dyDescent="0.4">
      <c r="A3089" s="10" t="s">
        <v>5327</v>
      </c>
      <c r="B3089" s="10" t="s">
        <v>5328</v>
      </c>
      <c r="C3089" s="10" t="s">
        <v>1986</v>
      </c>
      <c r="D3089" s="10" t="s">
        <v>5329</v>
      </c>
      <c r="E3089" s="10" t="s">
        <v>4129</v>
      </c>
      <c r="F3089" s="10" t="s">
        <v>4653</v>
      </c>
      <c r="G3089" s="10" t="s">
        <v>23</v>
      </c>
      <c r="H3089" s="7" t="s">
        <v>24</v>
      </c>
      <c r="I3089" s="7" t="s">
        <v>25</v>
      </c>
      <c r="J3089" s="13" t="str">
        <f>HYPERLINK("https://www.airitibooks.com/Detail/Detail?PublicationID=P20160901028", "https://www.airitibooks.com/Detail/Detail?PublicationID=P20160901028")</f>
        <v>https://www.airitibooks.com/Detail/Detail?PublicationID=P20160901028</v>
      </c>
      <c r="K3089" s="13" t="str">
        <f>HYPERLINK("https://ntsu.idm.oclc.org/login?url=https://www.airitibooks.com/Detail/Detail?PublicationID=P20160901028", "https://ntsu.idm.oclc.org/login?url=https://www.airitibooks.com/Detail/Detail?PublicationID=P20160901028")</f>
        <v>https://ntsu.idm.oclc.org/login?url=https://www.airitibooks.com/Detail/Detail?PublicationID=P20160901028</v>
      </c>
    </row>
    <row r="3090" spans="1:11" ht="51" x14ac:dyDescent="0.4">
      <c r="A3090" s="10" t="s">
        <v>5330</v>
      </c>
      <c r="B3090" s="10" t="s">
        <v>5331</v>
      </c>
      <c r="C3090" s="10" t="s">
        <v>1986</v>
      </c>
      <c r="D3090" s="10" t="s">
        <v>5332</v>
      </c>
      <c r="E3090" s="10" t="s">
        <v>4129</v>
      </c>
      <c r="F3090" s="10" t="s">
        <v>720</v>
      </c>
      <c r="G3090" s="10" t="s">
        <v>23</v>
      </c>
      <c r="H3090" s="7" t="s">
        <v>24</v>
      </c>
      <c r="I3090" s="7" t="s">
        <v>25</v>
      </c>
      <c r="J3090" s="13" t="str">
        <f>HYPERLINK("https://www.airitibooks.com/Detail/Detail?PublicationID=P20160901029", "https://www.airitibooks.com/Detail/Detail?PublicationID=P20160901029")</f>
        <v>https://www.airitibooks.com/Detail/Detail?PublicationID=P20160901029</v>
      </c>
      <c r="K3090" s="13" t="str">
        <f>HYPERLINK("https://ntsu.idm.oclc.org/login?url=https://www.airitibooks.com/Detail/Detail?PublicationID=P20160901029", "https://ntsu.idm.oclc.org/login?url=https://www.airitibooks.com/Detail/Detail?PublicationID=P20160901029")</f>
        <v>https://ntsu.idm.oclc.org/login?url=https://www.airitibooks.com/Detail/Detail?PublicationID=P20160901029</v>
      </c>
    </row>
    <row r="3091" spans="1:11" ht="51" x14ac:dyDescent="0.4">
      <c r="A3091" s="10" t="s">
        <v>5333</v>
      </c>
      <c r="B3091" s="10" t="s">
        <v>5334</v>
      </c>
      <c r="C3091" s="10" t="s">
        <v>1986</v>
      </c>
      <c r="D3091" s="10" t="s">
        <v>4658</v>
      </c>
      <c r="E3091" s="10" t="s">
        <v>4129</v>
      </c>
      <c r="F3091" s="10" t="s">
        <v>214</v>
      </c>
      <c r="G3091" s="10" t="s">
        <v>23</v>
      </c>
      <c r="H3091" s="7" t="s">
        <v>24</v>
      </c>
      <c r="I3091" s="7" t="s">
        <v>25</v>
      </c>
      <c r="J3091" s="13" t="str">
        <f>HYPERLINK("https://www.airitibooks.com/Detail/Detail?PublicationID=P20160901030", "https://www.airitibooks.com/Detail/Detail?PublicationID=P20160901030")</f>
        <v>https://www.airitibooks.com/Detail/Detail?PublicationID=P20160901030</v>
      </c>
      <c r="K3091" s="13" t="str">
        <f>HYPERLINK("https://ntsu.idm.oclc.org/login?url=https://www.airitibooks.com/Detail/Detail?PublicationID=P20160901030", "https://ntsu.idm.oclc.org/login?url=https://www.airitibooks.com/Detail/Detail?PublicationID=P20160901030")</f>
        <v>https://ntsu.idm.oclc.org/login?url=https://www.airitibooks.com/Detail/Detail?PublicationID=P20160901030</v>
      </c>
    </row>
    <row r="3092" spans="1:11" ht="51" x14ac:dyDescent="0.4">
      <c r="A3092" s="10" t="s">
        <v>5335</v>
      </c>
      <c r="B3092" s="10" t="s">
        <v>5336</v>
      </c>
      <c r="C3092" s="10" t="s">
        <v>1986</v>
      </c>
      <c r="D3092" s="10" t="s">
        <v>5337</v>
      </c>
      <c r="E3092" s="10" t="s">
        <v>4129</v>
      </c>
      <c r="F3092" s="10" t="s">
        <v>2492</v>
      </c>
      <c r="G3092" s="10" t="s">
        <v>23</v>
      </c>
      <c r="H3092" s="7" t="s">
        <v>24</v>
      </c>
      <c r="I3092" s="7" t="s">
        <v>25</v>
      </c>
      <c r="J3092" s="13" t="str">
        <f>HYPERLINK("https://www.airitibooks.com/Detail/Detail?PublicationID=P20160901031", "https://www.airitibooks.com/Detail/Detail?PublicationID=P20160901031")</f>
        <v>https://www.airitibooks.com/Detail/Detail?PublicationID=P20160901031</v>
      </c>
      <c r="K3092" s="13" t="str">
        <f>HYPERLINK("https://ntsu.idm.oclc.org/login?url=https://www.airitibooks.com/Detail/Detail?PublicationID=P20160901031", "https://ntsu.idm.oclc.org/login?url=https://www.airitibooks.com/Detail/Detail?PublicationID=P20160901031")</f>
        <v>https://ntsu.idm.oclc.org/login?url=https://www.airitibooks.com/Detail/Detail?PublicationID=P20160901031</v>
      </c>
    </row>
    <row r="3093" spans="1:11" ht="51" x14ac:dyDescent="0.4">
      <c r="A3093" s="10" t="s">
        <v>5338</v>
      </c>
      <c r="B3093" s="10" t="s">
        <v>5339</v>
      </c>
      <c r="C3093" s="10" t="s">
        <v>1986</v>
      </c>
      <c r="D3093" s="10" t="s">
        <v>5340</v>
      </c>
      <c r="E3093" s="10" t="s">
        <v>4129</v>
      </c>
      <c r="F3093" s="10" t="s">
        <v>720</v>
      </c>
      <c r="G3093" s="10" t="s">
        <v>23</v>
      </c>
      <c r="H3093" s="7" t="s">
        <v>24</v>
      </c>
      <c r="I3093" s="7" t="s">
        <v>25</v>
      </c>
      <c r="J3093" s="13" t="str">
        <f>HYPERLINK("https://www.airitibooks.com/Detail/Detail?PublicationID=P20160901032", "https://www.airitibooks.com/Detail/Detail?PublicationID=P20160901032")</f>
        <v>https://www.airitibooks.com/Detail/Detail?PublicationID=P20160901032</v>
      </c>
      <c r="K3093" s="13" t="str">
        <f>HYPERLINK("https://ntsu.idm.oclc.org/login?url=https://www.airitibooks.com/Detail/Detail?PublicationID=P20160901032", "https://ntsu.idm.oclc.org/login?url=https://www.airitibooks.com/Detail/Detail?PublicationID=P20160901032")</f>
        <v>https://ntsu.idm.oclc.org/login?url=https://www.airitibooks.com/Detail/Detail?PublicationID=P20160901032</v>
      </c>
    </row>
    <row r="3094" spans="1:11" ht="51" x14ac:dyDescent="0.4">
      <c r="A3094" s="10" t="s">
        <v>5376</v>
      </c>
      <c r="B3094" s="10" t="s">
        <v>5377</v>
      </c>
      <c r="C3094" s="10" t="s">
        <v>938</v>
      </c>
      <c r="D3094" s="10" t="s">
        <v>4021</v>
      </c>
      <c r="E3094" s="10" t="s">
        <v>4129</v>
      </c>
      <c r="F3094" s="10" t="s">
        <v>2484</v>
      </c>
      <c r="G3094" s="10" t="s">
        <v>23</v>
      </c>
      <c r="H3094" s="7" t="s">
        <v>24</v>
      </c>
      <c r="I3094" s="7" t="s">
        <v>25</v>
      </c>
      <c r="J3094" s="13" t="str">
        <f>HYPERLINK("https://www.airitibooks.com/Detail/Detail?PublicationID=P20160907129", "https://www.airitibooks.com/Detail/Detail?PublicationID=P20160907129")</f>
        <v>https://www.airitibooks.com/Detail/Detail?PublicationID=P20160907129</v>
      </c>
      <c r="K3094" s="13" t="str">
        <f>HYPERLINK("https://ntsu.idm.oclc.org/login?url=https://www.airitibooks.com/Detail/Detail?PublicationID=P20160907129", "https://ntsu.idm.oclc.org/login?url=https://www.airitibooks.com/Detail/Detail?PublicationID=P20160907129")</f>
        <v>https://ntsu.idm.oclc.org/login?url=https://www.airitibooks.com/Detail/Detail?PublicationID=P20160907129</v>
      </c>
    </row>
    <row r="3095" spans="1:11" ht="51" x14ac:dyDescent="0.4">
      <c r="A3095" s="10" t="s">
        <v>5424</v>
      </c>
      <c r="B3095" s="10" t="s">
        <v>5425</v>
      </c>
      <c r="C3095" s="10" t="s">
        <v>130</v>
      </c>
      <c r="D3095" s="10" t="s">
        <v>5426</v>
      </c>
      <c r="E3095" s="10" t="s">
        <v>4129</v>
      </c>
      <c r="F3095" s="10" t="s">
        <v>565</v>
      </c>
      <c r="G3095" s="10" t="s">
        <v>23</v>
      </c>
      <c r="H3095" s="7" t="s">
        <v>24</v>
      </c>
      <c r="I3095" s="7" t="s">
        <v>25</v>
      </c>
      <c r="J3095" s="13" t="str">
        <f>HYPERLINK("https://www.airitibooks.com/Detail/Detail?PublicationID=P20160907342", "https://www.airitibooks.com/Detail/Detail?PublicationID=P20160907342")</f>
        <v>https://www.airitibooks.com/Detail/Detail?PublicationID=P20160907342</v>
      </c>
      <c r="K3095" s="13" t="str">
        <f>HYPERLINK("https://ntsu.idm.oclc.org/login?url=https://www.airitibooks.com/Detail/Detail?PublicationID=P20160907342", "https://ntsu.idm.oclc.org/login?url=https://www.airitibooks.com/Detail/Detail?PublicationID=P20160907342")</f>
        <v>https://ntsu.idm.oclc.org/login?url=https://www.airitibooks.com/Detail/Detail?PublicationID=P20160907342</v>
      </c>
    </row>
    <row r="3096" spans="1:11" ht="51" x14ac:dyDescent="0.4">
      <c r="A3096" s="10" t="s">
        <v>5452</v>
      </c>
      <c r="B3096" s="10" t="s">
        <v>5453</v>
      </c>
      <c r="C3096" s="10" t="s">
        <v>938</v>
      </c>
      <c r="D3096" s="10" t="s">
        <v>2491</v>
      </c>
      <c r="E3096" s="10" t="s">
        <v>4129</v>
      </c>
      <c r="F3096" s="10" t="s">
        <v>1837</v>
      </c>
      <c r="G3096" s="10" t="s">
        <v>23</v>
      </c>
      <c r="H3096" s="7" t="s">
        <v>24</v>
      </c>
      <c r="I3096" s="7" t="s">
        <v>25</v>
      </c>
      <c r="J3096" s="13" t="str">
        <f>HYPERLINK("https://www.airitibooks.com/Detail/Detail?PublicationID=P20160913015", "https://www.airitibooks.com/Detail/Detail?PublicationID=P20160913015")</f>
        <v>https://www.airitibooks.com/Detail/Detail?PublicationID=P20160913015</v>
      </c>
      <c r="K3096" s="13" t="str">
        <f>HYPERLINK("https://ntsu.idm.oclc.org/login?url=https://www.airitibooks.com/Detail/Detail?PublicationID=P20160913015", "https://ntsu.idm.oclc.org/login?url=https://www.airitibooks.com/Detail/Detail?PublicationID=P20160913015")</f>
        <v>https://ntsu.idm.oclc.org/login?url=https://www.airitibooks.com/Detail/Detail?PublicationID=P20160913015</v>
      </c>
    </row>
    <row r="3097" spans="1:11" ht="51" x14ac:dyDescent="0.4">
      <c r="A3097" s="10" t="s">
        <v>2140</v>
      </c>
      <c r="B3097" s="10" t="s">
        <v>5469</v>
      </c>
      <c r="C3097" s="10" t="s">
        <v>938</v>
      </c>
      <c r="D3097" s="10" t="s">
        <v>2142</v>
      </c>
      <c r="E3097" s="10" t="s">
        <v>4129</v>
      </c>
      <c r="F3097" s="10" t="s">
        <v>1646</v>
      </c>
      <c r="G3097" s="10" t="s">
        <v>23</v>
      </c>
      <c r="H3097" s="7" t="s">
        <v>24</v>
      </c>
      <c r="I3097" s="7" t="s">
        <v>25</v>
      </c>
      <c r="J3097" s="13" t="str">
        <f>HYPERLINK("https://www.airitibooks.com/Detail/Detail?PublicationID=P20160913026", "https://www.airitibooks.com/Detail/Detail?PublicationID=P20160913026")</f>
        <v>https://www.airitibooks.com/Detail/Detail?PublicationID=P20160913026</v>
      </c>
      <c r="K3097" s="13" t="str">
        <f>HYPERLINK("https://ntsu.idm.oclc.org/login?url=https://www.airitibooks.com/Detail/Detail?PublicationID=P20160913026", "https://ntsu.idm.oclc.org/login?url=https://www.airitibooks.com/Detail/Detail?PublicationID=P20160913026")</f>
        <v>https://ntsu.idm.oclc.org/login?url=https://www.airitibooks.com/Detail/Detail?PublicationID=P20160913026</v>
      </c>
    </row>
    <row r="3098" spans="1:11" ht="51" x14ac:dyDescent="0.4">
      <c r="A3098" s="10" t="s">
        <v>3891</v>
      </c>
      <c r="B3098" s="10" t="s">
        <v>5470</v>
      </c>
      <c r="C3098" s="10" t="s">
        <v>938</v>
      </c>
      <c r="D3098" s="10" t="s">
        <v>3893</v>
      </c>
      <c r="E3098" s="10" t="s">
        <v>4129</v>
      </c>
      <c r="F3098" s="10" t="s">
        <v>1646</v>
      </c>
      <c r="G3098" s="10" t="s">
        <v>23</v>
      </c>
      <c r="H3098" s="7" t="s">
        <v>24</v>
      </c>
      <c r="I3098" s="7" t="s">
        <v>25</v>
      </c>
      <c r="J3098" s="13" t="str">
        <f>HYPERLINK("https://www.airitibooks.com/Detail/Detail?PublicationID=P20160913027", "https://www.airitibooks.com/Detail/Detail?PublicationID=P20160913027")</f>
        <v>https://www.airitibooks.com/Detail/Detail?PublicationID=P20160913027</v>
      </c>
      <c r="K3098" s="13" t="str">
        <f>HYPERLINK("https://ntsu.idm.oclc.org/login?url=https://www.airitibooks.com/Detail/Detail?PublicationID=P20160913027", "https://ntsu.idm.oclc.org/login?url=https://www.airitibooks.com/Detail/Detail?PublicationID=P20160913027")</f>
        <v>https://ntsu.idm.oclc.org/login?url=https://www.airitibooks.com/Detail/Detail?PublicationID=P20160913027</v>
      </c>
    </row>
    <row r="3099" spans="1:11" ht="51" x14ac:dyDescent="0.4">
      <c r="A3099" s="10" t="s">
        <v>5518</v>
      </c>
      <c r="B3099" s="10" t="s">
        <v>5519</v>
      </c>
      <c r="C3099" s="10" t="s">
        <v>1986</v>
      </c>
      <c r="D3099" s="10" t="s">
        <v>5520</v>
      </c>
      <c r="E3099" s="10" t="s">
        <v>4129</v>
      </c>
      <c r="F3099" s="10" t="s">
        <v>5521</v>
      </c>
      <c r="G3099" s="10" t="s">
        <v>23</v>
      </c>
      <c r="H3099" s="7" t="s">
        <v>24</v>
      </c>
      <c r="I3099" s="7" t="s">
        <v>25</v>
      </c>
      <c r="J3099" s="13" t="str">
        <f>HYPERLINK("https://www.airitibooks.com/Detail/Detail?PublicationID=P20160913069", "https://www.airitibooks.com/Detail/Detail?PublicationID=P20160913069")</f>
        <v>https://www.airitibooks.com/Detail/Detail?PublicationID=P20160913069</v>
      </c>
      <c r="K3099" s="13" t="str">
        <f>HYPERLINK("https://ntsu.idm.oclc.org/login?url=https://www.airitibooks.com/Detail/Detail?PublicationID=P20160913069", "https://ntsu.idm.oclc.org/login?url=https://www.airitibooks.com/Detail/Detail?PublicationID=P20160913069")</f>
        <v>https://ntsu.idm.oclc.org/login?url=https://www.airitibooks.com/Detail/Detail?PublicationID=P20160913069</v>
      </c>
    </row>
    <row r="3100" spans="1:11" ht="51" x14ac:dyDescent="0.4">
      <c r="A3100" s="10" t="s">
        <v>5522</v>
      </c>
      <c r="B3100" s="10" t="s">
        <v>5523</v>
      </c>
      <c r="C3100" s="10" t="s">
        <v>1986</v>
      </c>
      <c r="D3100" s="10" t="s">
        <v>5520</v>
      </c>
      <c r="E3100" s="10" t="s">
        <v>4129</v>
      </c>
      <c r="F3100" s="10" t="s">
        <v>2492</v>
      </c>
      <c r="G3100" s="10" t="s">
        <v>23</v>
      </c>
      <c r="H3100" s="7" t="s">
        <v>24</v>
      </c>
      <c r="I3100" s="7" t="s">
        <v>25</v>
      </c>
      <c r="J3100" s="13" t="str">
        <f>HYPERLINK("https://www.airitibooks.com/Detail/Detail?PublicationID=P20160913070", "https://www.airitibooks.com/Detail/Detail?PublicationID=P20160913070")</f>
        <v>https://www.airitibooks.com/Detail/Detail?PublicationID=P20160913070</v>
      </c>
      <c r="K3100" s="13" t="str">
        <f>HYPERLINK("https://ntsu.idm.oclc.org/login?url=https://www.airitibooks.com/Detail/Detail?PublicationID=P20160913070", "https://ntsu.idm.oclc.org/login?url=https://www.airitibooks.com/Detail/Detail?PublicationID=P20160913070")</f>
        <v>https://ntsu.idm.oclc.org/login?url=https://www.airitibooks.com/Detail/Detail?PublicationID=P20160913070</v>
      </c>
    </row>
    <row r="3101" spans="1:11" ht="51" x14ac:dyDescent="0.4">
      <c r="A3101" s="10" t="s">
        <v>5524</v>
      </c>
      <c r="B3101" s="10" t="s">
        <v>5525</v>
      </c>
      <c r="C3101" s="10" t="s">
        <v>1986</v>
      </c>
      <c r="D3101" s="10" t="s">
        <v>3228</v>
      </c>
      <c r="E3101" s="10" t="s">
        <v>4129</v>
      </c>
      <c r="F3101" s="10" t="s">
        <v>1454</v>
      </c>
      <c r="G3101" s="10" t="s">
        <v>23</v>
      </c>
      <c r="H3101" s="7" t="s">
        <v>24</v>
      </c>
      <c r="I3101" s="7" t="s">
        <v>25</v>
      </c>
      <c r="J3101" s="13" t="str">
        <f>HYPERLINK("https://www.airitibooks.com/Detail/Detail?PublicationID=P20160913071", "https://www.airitibooks.com/Detail/Detail?PublicationID=P20160913071")</f>
        <v>https://www.airitibooks.com/Detail/Detail?PublicationID=P20160913071</v>
      </c>
      <c r="K3101" s="13" t="str">
        <f>HYPERLINK("https://ntsu.idm.oclc.org/login?url=https://www.airitibooks.com/Detail/Detail?PublicationID=P20160913071", "https://ntsu.idm.oclc.org/login?url=https://www.airitibooks.com/Detail/Detail?PublicationID=P20160913071")</f>
        <v>https://ntsu.idm.oclc.org/login?url=https://www.airitibooks.com/Detail/Detail?PublicationID=P20160913071</v>
      </c>
    </row>
    <row r="3102" spans="1:11" ht="51" x14ac:dyDescent="0.4">
      <c r="A3102" s="10" t="s">
        <v>5526</v>
      </c>
      <c r="B3102" s="10" t="s">
        <v>5527</v>
      </c>
      <c r="C3102" s="10" t="s">
        <v>1986</v>
      </c>
      <c r="D3102" s="10" t="s">
        <v>5528</v>
      </c>
      <c r="E3102" s="10" t="s">
        <v>4129</v>
      </c>
      <c r="F3102" s="10" t="s">
        <v>5529</v>
      </c>
      <c r="G3102" s="10" t="s">
        <v>23</v>
      </c>
      <c r="H3102" s="7" t="s">
        <v>24</v>
      </c>
      <c r="I3102" s="7" t="s">
        <v>25</v>
      </c>
      <c r="J3102" s="13" t="str">
        <f>HYPERLINK("https://www.airitibooks.com/Detail/Detail?PublicationID=P20160913072", "https://www.airitibooks.com/Detail/Detail?PublicationID=P20160913072")</f>
        <v>https://www.airitibooks.com/Detail/Detail?PublicationID=P20160913072</v>
      </c>
      <c r="K3102" s="13" t="str">
        <f>HYPERLINK("https://ntsu.idm.oclc.org/login?url=https://www.airitibooks.com/Detail/Detail?PublicationID=P20160913072", "https://ntsu.idm.oclc.org/login?url=https://www.airitibooks.com/Detail/Detail?PublicationID=P20160913072")</f>
        <v>https://ntsu.idm.oclc.org/login?url=https://www.airitibooks.com/Detail/Detail?PublicationID=P20160913072</v>
      </c>
    </row>
    <row r="3103" spans="1:11" ht="51" x14ac:dyDescent="0.4">
      <c r="A3103" s="10" t="s">
        <v>5530</v>
      </c>
      <c r="B3103" s="10" t="s">
        <v>5531</v>
      </c>
      <c r="C3103" s="10" t="s">
        <v>1986</v>
      </c>
      <c r="D3103" s="10" t="s">
        <v>3233</v>
      </c>
      <c r="E3103" s="10" t="s">
        <v>4129</v>
      </c>
      <c r="F3103" s="10" t="s">
        <v>386</v>
      </c>
      <c r="G3103" s="10" t="s">
        <v>23</v>
      </c>
      <c r="H3103" s="7" t="s">
        <v>24</v>
      </c>
      <c r="I3103" s="7" t="s">
        <v>25</v>
      </c>
      <c r="J3103" s="13" t="str">
        <f>HYPERLINK("https://www.airitibooks.com/Detail/Detail?PublicationID=P20160913073", "https://www.airitibooks.com/Detail/Detail?PublicationID=P20160913073")</f>
        <v>https://www.airitibooks.com/Detail/Detail?PublicationID=P20160913073</v>
      </c>
      <c r="K3103" s="13" t="str">
        <f>HYPERLINK("https://ntsu.idm.oclc.org/login?url=https://www.airitibooks.com/Detail/Detail?PublicationID=P20160913073", "https://ntsu.idm.oclc.org/login?url=https://www.airitibooks.com/Detail/Detail?PublicationID=P20160913073")</f>
        <v>https://ntsu.idm.oclc.org/login?url=https://www.airitibooks.com/Detail/Detail?PublicationID=P20160913073</v>
      </c>
    </row>
    <row r="3104" spans="1:11" ht="51" x14ac:dyDescent="0.4">
      <c r="A3104" s="10" t="s">
        <v>5532</v>
      </c>
      <c r="B3104" s="10" t="s">
        <v>5533</v>
      </c>
      <c r="C3104" s="10" t="s">
        <v>1986</v>
      </c>
      <c r="D3104" s="10" t="s">
        <v>5520</v>
      </c>
      <c r="E3104" s="10" t="s">
        <v>4129</v>
      </c>
      <c r="F3104" s="10" t="s">
        <v>2492</v>
      </c>
      <c r="G3104" s="10" t="s">
        <v>23</v>
      </c>
      <c r="H3104" s="7" t="s">
        <v>24</v>
      </c>
      <c r="I3104" s="7" t="s">
        <v>25</v>
      </c>
      <c r="J3104" s="13" t="str">
        <f>HYPERLINK("https://www.airitibooks.com/Detail/Detail?PublicationID=P20160913074", "https://www.airitibooks.com/Detail/Detail?PublicationID=P20160913074")</f>
        <v>https://www.airitibooks.com/Detail/Detail?PublicationID=P20160913074</v>
      </c>
      <c r="K3104" s="13" t="str">
        <f>HYPERLINK("https://ntsu.idm.oclc.org/login?url=https://www.airitibooks.com/Detail/Detail?PublicationID=P20160913074", "https://ntsu.idm.oclc.org/login?url=https://www.airitibooks.com/Detail/Detail?PublicationID=P20160913074")</f>
        <v>https://ntsu.idm.oclc.org/login?url=https://www.airitibooks.com/Detail/Detail?PublicationID=P20160913074</v>
      </c>
    </row>
    <row r="3105" spans="1:11" ht="51" x14ac:dyDescent="0.4">
      <c r="A3105" s="10" t="s">
        <v>5534</v>
      </c>
      <c r="B3105" s="10" t="s">
        <v>5535</v>
      </c>
      <c r="C3105" s="10" t="s">
        <v>1986</v>
      </c>
      <c r="D3105" s="10" t="s">
        <v>5536</v>
      </c>
      <c r="E3105" s="10" t="s">
        <v>4129</v>
      </c>
      <c r="F3105" s="10" t="s">
        <v>2296</v>
      </c>
      <c r="G3105" s="10" t="s">
        <v>23</v>
      </c>
      <c r="H3105" s="7" t="s">
        <v>24</v>
      </c>
      <c r="I3105" s="7" t="s">
        <v>25</v>
      </c>
      <c r="J3105" s="13" t="str">
        <f>HYPERLINK("https://www.airitibooks.com/Detail/Detail?PublicationID=P20160913075", "https://www.airitibooks.com/Detail/Detail?PublicationID=P20160913075")</f>
        <v>https://www.airitibooks.com/Detail/Detail?PublicationID=P20160913075</v>
      </c>
      <c r="K3105" s="13" t="str">
        <f>HYPERLINK("https://ntsu.idm.oclc.org/login?url=https://www.airitibooks.com/Detail/Detail?PublicationID=P20160913075", "https://ntsu.idm.oclc.org/login?url=https://www.airitibooks.com/Detail/Detail?PublicationID=P20160913075")</f>
        <v>https://ntsu.idm.oclc.org/login?url=https://www.airitibooks.com/Detail/Detail?PublicationID=P20160913075</v>
      </c>
    </row>
    <row r="3106" spans="1:11" ht="51" x14ac:dyDescent="0.4">
      <c r="A3106" s="10" t="s">
        <v>5540</v>
      </c>
      <c r="B3106" s="10" t="s">
        <v>5541</v>
      </c>
      <c r="C3106" s="10" t="s">
        <v>222</v>
      </c>
      <c r="D3106" s="10" t="s">
        <v>5542</v>
      </c>
      <c r="E3106" s="10" t="s">
        <v>4129</v>
      </c>
      <c r="F3106" s="10" t="s">
        <v>5543</v>
      </c>
      <c r="G3106" s="10" t="s">
        <v>23</v>
      </c>
      <c r="H3106" s="7" t="s">
        <v>24</v>
      </c>
      <c r="I3106" s="7" t="s">
        <v>25</v>
      </c>
      <c r="J3106" s="13" t="str">
        <f>HYPERLINK("https://www.airitibooks.com/Detail/Detail?PublicationID=P20160913085", "https://www.airitibooks.com/Detail/Detail?PublicationID=P20160913085")</f>
        <v>https://www.airitibooks.com/Detail/Detail?PublicationID=P20160913085</v>
      </c>
      <c r="K3106" s="13" t="str">
        <f>HYPERLINK("https://ntsu.idm.oclc.org/login?url=https://www.airitibooks.com/Detail/Detail?PublicationID=P20160913085", "https://ntsu.idm.oclc.org/login?url=https://www.airitibooks.com/Detail/Detail?PublicationID=P20160913085")</f>
        <v>https://ntsu.idm.oclc.org/login?url=https://www.airitibooks.com/Detail/Detail?PublicationID=P20160913085</v>
      </c>
    </row>
    <row r="3107" spans="1:11" ht="51" x14ac:dyDescent="0.4">
      <c r="A3107" s="10" t="s">
        <v>5558</v>
      </c>
      <c r="B3107" s="10" t="s">
        <v>5559</v>
      </c>
      <c r="C3107" s="10" t="s">
        <v>4482</v>
      </c>
      <c r="D3107" s="10" t="s">
        <v>4483</v>
      </c>
      <c r="E3107" s="10" t="s">
        <v>4129</v>
      </c>
      <c r="F3107" s="10" t="s">
        <v>4484</v>
      </c>
      <c r="G3107" s="10" t="s">
        <v>23</v>
      </c>
      <c r="H3107" s="7" t="s">
        <v>24</v>
      </c>
      <c r="I3107" s="7" t="s">
        <v>25</v>
      </c>
      <c r="J3107" s="13" t="str">
        <f>HYPERLINK("https://www.airitibooks.com/Detail/Detail?PublicationID=P20160913128", "https://www.airitibooks.com/Detail/Detail?PublicationID=P20160913128")</f>
        <v>https://www.airitibooks.com/Detail/Detail?PublicationID=P20160913128</v>
      </c>
      <c r="K3107" s="13" t="str">
        <f>HYPERLINK("https://ntsu.idm.oclc.org/login?url=https://www.airitibooks.com/Detail/Detail?PublicationID=P20160913128", "https://ntsu.idm.oclc.org/login?url=https://www.airitibooks.com/Detail/Detail?PublicationID=P20160913128")</f>
        <v>https://ntsu.idm.oclc.org/login?url=https://www.airitibooks.com/Detail/Detail?PublicationID=P20160913128</v>
      </c>
    </row>
    <row r="3108" spans="1:11" ht="51" x14ac:dyDescent="0.4">
      <c r="A3108" s="10" t="s">
        <v>5613</v>
      </c>
      <c r="B3108" s="10" t="s">
        <v>5614</v>
      </c>
      <c r="C3108" s="10" t="s">
        <v>1986</v>
      </c>
      <c r="D3108" s="10" t="s">
        <v>5615</v>
      </c>
      <c r="E3108" s="10" t="s">
        <v>4129</v>
      </c>
      <c r="F3108" s="10" t="s">
        <v>720</v>
      </c>
      <c r="G3108" s="10" t="s">
        <v>23</v>
      </c>
      <c r="H3108" s="7" t="s">
        <v>24</v>
      </c>
      <c r="I3108" s="7" t="s">
        <v>25</v>
      </c>
      <c r="J3108" s="13" t="str">
        <f>HYPERLINK("https://www.airitibooks.com/Detail/Detail?PublicationID=P20161004109", "https://www.airitibooks.com/Detail/Detail?PublicationID=P20161004109")</f>
        <v>https://www.airitibooks.com/Detail/Detail?PublicationID=P20161004109</v>
      </c>
      <c r="K3108" s="13" t="str">
        <f>HYPERLINK("https://ntsu.idm.oclc.org/login?url=https://www.airitibooks.com/Detail/Detail?PublicationID=P20161004109", "https://ntsu.idm.oclc.org/login?url=https://www.airitibooks.com/Detail/Detail?PublicationID=P20161004109")</f>
        <v>https://ntsu.idm.oclc.org/login?url=https://www.airitibooks.com/Detail/Detail?PublicationID=P20161004109</v>
      </c>
    </row>
    <row r="3109" spans="1:11" ht="51" x14ac:dyDescent="0.4">
      <c r="A3109" s="10" t="s">
        <v>5658</v>
      </c>
      <c r="B3109" s="10" t="s">
        <v>5659</v>
      </c>
      <c r="C3109" s="10" t="s">
        <v>287</v>
      </c>
      <c r="D3109" s="10" t="s">
        <v>4963</v>
      </c>
      <c r="E3109" s="10" t="s">
        <v>4129</v>
      </c>
      <c r="F3109" s="10" t="s">
        <v>565</v>
      </c>
      <c r="G3109" s="10" t="s">
        <v>23</v>
      </c>
      <c r="H3109" s="7" t="s">
        <v>24</v>
      </c>
      <c r="I3109" s="7" t="s">
        <v>25</v>
      </c>
      <c r="J3109" s="13" t="str">
        <f>HYPERLINK("https://www.airitibooks.com/Detail/Detail?PublicationID=P20161107090", "https://www.airitibooks.com/Detail/Detail?PublicationID=P20161107090")</f>
        <v>https://www.airitibooks.com/Detail/Detail?PublicationID=P20161107090</v>
      </c>
      <c r="K3109" s="13" t="str">
        <f>HYPERLINK("https://ntsu.idm.oclc.org/login?url=https://www.airitibooks.com/Detail/Detail?PublicationID=P20161107090", "https://ntsu.idm.oclc.org/login?url=https://www.airitibooks.com/Detail/Detail?PublicationID=P20161107090")</f>
        <v>https://ntsu.idm.oclc.org/login?url=https://www.airitibooks.com/Detail/Detail?PublicationID=P20161107090</v>
      </c>
    </row>
    <row r="3110" spans="1:11" ht="85" x14ac:dyDescent="0.4">
      <c r="A3110" s="10" t="s">
        <v>5667</v>
      </c>
      <c r="B3110" s="10" t="s">
        <v>5668</v>
      </c>
      <c r="C3110" s="10" t="s">
        <v>3919</v>
      </c>
      <c r="D3110" s="10" t="s">
        <v>3920</v>
      </c>
      <c r="E3110" s="10" t="s">
        <v>4129</v>
      </c>
      <c r="F3110" s="10" t="s">
        <v>5669</v>
      </c>
      <c r="G3110" s="10" t="s">
        <v>23</v>
      </c>
      <c r="H3110" s="7" t="s">
        <v>24</v>
      </c>
      <c r="I3110" s="7" t="s">
        <v>25</v>
      </c>
      <c r="J3110" s="13" t="str">
        <f>HYPERLINK("https://www.airitibooks.com/Detail/Detail?PublicationID=P20161115080", "https://www.airitibooks.com/Detail/Detail?PublicationID=P20161115080")</f>
        <v>https://www.airitibooks.com/Detail/Detail?PublicationID=P20161115080</v>
      </c>
      <c r="K3110" s="13" t="str">
        <f>HYPERLINK("https://ntsu.idm.oclc.org/login?url=https://www.airitibooks.com/Detail/Detail?PublicationID=P20161115080", "https://ntsu.idm.oclc.org/login?url=https://www.airitibooks.com/Detail/Detail?PublicationID=P20161115080")</f>
        <v>https://ntsu.idm.oclc.org/login?url=https://www.airitibooks.com/Detail/Detail?PublicationID=P20161115080</v>
      </c>
    </row>
    <row r="3111" spans="1:11" ht="51" x14ac:dyDescent="0.4">
      <c r="A3111" s="10" t="s">
        <v>5676</v>
      </c>
      <c r="B3111" s="10" t="s">
        <v>5677</v>
      </c>
      <c r="C3111" s="10" t="s">
        <v>791</v>
      </c>
      <c r="D3111" s="10" t="s">
        <v>5678</v>
      </c>
      <c r="E3111" s="10" t="s">
        <v>4129</v>
      </c>
      <c r="F3111" s="10" t="s">
        <v>1122</v>
      </c>
      <c r="G3111" s="10" t="s">
        <v>23</v>
      </c>
      <c r="H3111" s="7" t="s">
        <v>24</v>
      </c>
      <c r="I3111" s="7" t="s">
        <v>25</v>
      </c>
      <c r="J3111" s="13" t="str">
        <f>HYPERLINK("https://www.airitibooks.com/Detail/Detail?PublicationID=P20161130032", "https://www.airitibooks.com/Detail/Detail?PublicationID=P20161130032")</f>
        <v>https://www.airitibooks.com/Detail/Detail?PublicationID=P20161130032</v>
      </c>
      <c r="K3111" s="13" t="str">
        <f>HYPERLINK("https://ntsu.idm.oclc.org/login?url=https://www.airitibooks.com/Detail/Detail?PublicationID=P20161130032", "https://ntsu.idm.oclc.org/login?url=https://www.airitibooks.com/Detail/Detail?PublicationID=P20161130032")</f>
        <v>https://ntsu.idm.oclc.org/login?url=https://www.airitibooks.com/Detail/Detail?PublicationID=P20161130032</v>
      </c>
    </row>
    <row r="3112" spans="1:11" ht="51" x14ac:dyDescent="0.4">
      <c r="A3112" s="10" t="s">
        <v>5698</v>
      </c>
      <c r="B3112" s="10" t="s">
        <v>5699</v>
      </c>
      <c r="C3112" s="10" t="s">
        <v>212</v>
      </c>
      <c r="D3112" s="10" t="s">
        <v>5700</v>
      </c>
      <c r="E3112" s="10" t="s">
        <v>4129</v>
      </c>
      <c r="F3112" s="10" t="s">
        <v>4653</v>
      </c>
      <c r="G3112" s="10" t="s">
        <v>23</v>
      </c>
      <c r="H3112" s="7" t="s">
        <v>24</v>
      </c>
      <c r="I3112" s="7" t="s">
        <v>25</v>
      </c>
      <c r="J3112" s="13" t="str">
        <f>HYPERLINK("https://www.airitibooks.com/Detail/Detail?PublicationID=P20161219015", "https://www.airitibooks.com/Detail/Detail?PublicationID=P20161219015")</f>
        <v>https://www.airitibooks.com/Detail/Detail?PublicationID=P20161219015</v>
      </c>
      <c r="K3112" s="13" t="str">
        <f>HYPERLINK("https://ntsu.idm.oclc.org/login?url=https://www.airitibooks.com/Detail/Detail?PublicationID=P20161219015", "https://ntsu.idm.oclc.org/login?url=https://www.airitibooks.com/Detail/Detail?PublicationID=P20161219015")</f>
        <v>https://ntsu.idm.oclc.org/login?url=https://www.airitibooks.com/Detail/Detail?PublicationID=P20161219015</v>
      </c>
    </row>
    <row r="3113" spans="1:11" ht="51" x14ac:dyDescent="0.4">
      <c r="A3113" s="10" t="s">
        <v>5701</v>
      </c>
      <c r="B3113" s="10" t="s">
        <v>5702</v>
      </c>
      <c r="C3113" s="10" t="s">
        <v>212</v>
      </c>
      <c r="D3113" s="10" t="s">
        <v>935</v>
      </c>
      <c r="E3113" s="10" t="s">
        <v>4129</v>
      </c>
      <c r="F3113" s="10" t="s">
        <v>793</v>
      </c>
      <c r="G3113" s="10" t="s">
        <v>23</v>
      </c>
      <c r="H3113" s="7" t="s">
        <v>24</v>
      </c>
      <c r="I3113" s="7" t="s">
        <v>25</v>
      </c>
      <c r="J3113" s="13" t="str">
        <f>HYPERLINK("https://www.airitibooks.com/Detail/Detail?PublicationID=P20161219016", "https://www.airitibooks.com/Detail/Detail?PublicationID=P20161219016")</f>
        <v>https://www.airitibooks.com/Detail/Detail?PublicationID=P20161219016</v>
      </c>
      <c r="K3113" s="13" t="str">
        <f>HYPERLINK("https://ntsu.idm.oclc.org/login?url=https://www.airitibooks.com/Detail/Detail?PublicationID=P20161219016", "https://ntsu.idm.oclc.org/login?url=https://www.airitibooks.com/Detail/Detail?PublicationID=P20161219016")</f>
        <v>https://ntsu.idm.oclc.org/login?url=https://www.airitibooks.com/Detail/Detail?PublicationID=P20161219016</v>
      </c>
    </row>
    <row r="3114" spans="1:11" ht="68" x14ac:dyDescent="0.4">
      <c r="A3114" s="10" t="s">
        <v>5750</v>
      </c>
      <c r="B3114" s="10" t="s">
        <v>5751</v>
      </c>
      <c r="C3114" s="10" t="s">
        <v>5752</v>
      </c>
      <c r="D3114" s="10" t="s">
        <v>5753</v>
      </c>
      <c r="E3114" s="10" t="s">
        <v>4129</v>
      </c>
      <c r="F3114" s="10" t="s">
        <v>5633</v>
      </c>
      <c r="G3114" s="10" t="s">
        <v>23</v>
      </c>
      <c r="H3114" s="7" t="s">
        <v>24</v>
      </c>
      <c r="I3114" s="7" t="s">
        <v>25</v>
      </c>
      <c r="J3114" s="13" t="str">
        <f>HYPERLINK("https://www.airitibooks.com/Detail/Detail?PublicationID=P20161221007", "https://www.airitibooks.com/Detail/Detail?PublicationID=P20161221007")</f>
        <v>https://www.airitibooks.com/Detail/Detail?PublicationID=P20161221007</v>
      </c>
      <c r="K3114" s="13" t="str">
        <f>HYPERLINK("https://ntsu.idm.oclc.org/login?url=https://www.airitibooks.com/Detail/Detail?PublicationID=P20161221007", "https://ntsu.idm.oclc.org/login?url=https://www.airitibooks.com/Detail/Detail?PublicationID=P20161221007")</f>
        <v>https://ntsu.idm.oclc.org/login?url=https://www.airitibooks.com/Detail/Detail?PublicationID=P20161221007</v>
      </c>
    </row>
    <row r="3115" spans="1:11" ht="51" x14ac:dyDescent="0.4">
      <c r="A3115" s="10" t="s">
        <v>5754</v>
      </c>
      <c r="B3115" s="10" t="s">
        <v>5755</v>
      </c>
      <c r="C3115" s="10" t="s">
        <v>1986</v>
      </c>
      <c r="D3115" s="10" t="s">
        <v>5756</v>
      </c>
      <c r="E3115" s="10" t="s">
        <v>4129</v>
      </c>
      <c r="F3115" s="10" t="s">
        <v>2296</v>
      </c>
      <c r="G3115" s="10" t="s">
        <v>23</v>
      </c>
      <c r="H3115" s="7" t="s">
        <v>24</v>
      </c>
      <c r="I3115" s="7" t="s">
        <v>25</v>
      </c>
      <c r="J3115" s="13" t="str">
        <f>HYPERLINK("https://www.airitibooks.com/Detail/Detail?PublicationID=P20161221032", "https://www.airitibooks.com/Detail/Detail?PublicationID=P20161221032")</f>
        <v>https://www.airitibooks.com/Detail/Detail?PublicationID=P20161221032</v>
      </c>
      <c r="K3115" s="13" t="str">
        <f>HYPERLINK("https://ntsu.idm.oclc.org/login?url=https://www.airitibooks.com/Detail/Detail?PublicationID=P20161221032", "https://ntsu.idm.oclc.org/login?url=https://www.airitibooks.com/Detail/Detail?PublicationID=P20161221032")</f>
        <v>https://ntsu.idm.oclc.org/login?url=https://www.airitibooks.com/Detail/Detail?PublicationID=P20161221032</v>
      </c>
    </row>
    <row r="3116" spans="1:11" ht="51" x14ac:dyDescent="0.4">
      <c r="A3116" s="10" t="s">
        <v>5759</v>
      </c>
      <c r="B3116" s="10" t="s">
        <v>5760</v>
      </c>
      <c r="C3116" s="10" t="s">
        <v>5752</v>
      </c>
      <c r="D3116" s="10" t="s">
        <v>5753</v>
      </c>
      <c r="E3116" s="10" t="s">
        <v>4129</v>
      </c>
      <c r="F3116" s="10" t="s">
        <v>5633</v>
      </c>
      <c r="G3116" s="10" t="s">
        <v>23</v>
      </c>
      <c r="H3116" s="7" t="s">
        <v>24</v>
      </c>
      <c r="I3116" s="7" t="s">
        <v>25</v>
      </c>
      <c r="J3116" s="13" t="str">
        <f>HYPERLINK("https://www.airitibooks.com/Detail/Detail?PublicationID=P20161221052", "https://www.airitibooks.com/Detail/Detail?PublicationID=P20161221052")</f>
        <v>https://www.airitibooks.com/Detail/Detail?PublicationID=P20161221052</v>
      </c>
      <c r="K3116" s="13" t="str">
        <f>HYPERLINK("https://ntsu.idm.oclc.org/login?url=https://www.airitibooks.com/Detail/Detail?PublicationID=P20161221052", "https://ntsu.idm.oclc.org/login?url=https://www.airitibooks.com/Detail/Detail?PublicationID=P20161221052")</f>
        <v>https://ntsu.idm.oclc.org/login?url=https://www.airitibooks.com/Detail/Detail?PublicationID=P20161221052</v>
      </c>
    </row>
    <row r="3117" spans="1:11" ht="51" x14ac:dyDescent="0.4">
      <c r="A3117" s="10" t="s">
        <v>5768</v>
      </c>
      <c r="B3117" s="10" t="s">
        <v>5769</v>
      </c>
      <c r="C3117" s="10" t="s">
        <v>5770</v>
      </c>
      <c r="D3117" s="10" t="s">
        <v>5771</v>
      </c>
      <c r="E3117" s="10" t="s">
        <v>4129</v>
      </c>
      <c r="F3117" s="10" t="s">
        <v>3548</v>
      </c>
      <c r="G3117" s="10" t="s">
        <v>23</v>
      </c>
      <c r="H3117" s="7" t="s">
        <v>24</v>
      </c>
      <c r="I3117" s="7" t="s">
        <v>25</v>
      </c>
      <c r="J3117" s="13" t="str">
        <f>HYPERLINK("https://www.airitibooks.com/Detail/Detail?PublicationID=P20161221068", "https://www.airitibooks.com/Detail/Detail?PublicationID=P20161221068")</f>
        <v>https://www.airitibooks.com/Detail/Detail?PublicationID=P20161221068</v>
      </c>
      <c r="K3117" s="13" t="str">
        <f>HYPERLINK("https://ntsu.idm.oclc.org/login?url=https://www.airitibooks.com/Detail/Detail?PublicationID=P20161221068", "https://ntsu.idm.oclc.org/login?url=https://www.airitibooks.com/Detail/Detail?PublicationID=P20161221068")</f>
        <v>https://ntsu.idm.oclc.org/login?url=https://www.airitibooks.com/Detail/Detail?PublicationID=P20161221068</v>
      </c>
    </row>
    <row r="3118" spans="1:11" ht="51" x14ac:dyDescent="0.4">
      <c r="A3118" s="10" t="s">
        <v>5772</v>
      </c>
      <c r="B3118" s="10" t="s">
        <v>5773</v>
      </c>
      <c r="C3118" s="10" t="s">
        <v>5770</v>
      </c>
      <c r="D3118" s="10" t="s">
        <v>5771</v>
      </c>
      <c r="E3118" s="10" t="s">
        <v>4129</v>
      </c>
      <c r="F3118" s="10" t="s">
        <v>3548</v>
      </c>
      <c r="G3118" s="10" t="s">
        <v>23</v>
      </c>
      <c r="H3118" s="7" t="s">
        <v>24</v>
      </c>
      <c r="I3118" s="7" t="s">
        <v>25</v>
      </c>
      <c r="J3118" s="13" t="str">
        <f>HYPERLINK("https://www.airitibooks.com/Detail/Detail?PublicationID=P20161221069", "https://www.airitibooks.com/Detail/Detail?PublicationID=P20161221069")</f>
        <v>https://www.airitibooks.com/Detail/Detail?PublicationID=P20161221069</v>
      </c>
      <c r="K3118" s="13" t="str">
        <f>HYPERLINK("https://ntsu.idm.oclc.org/login?url=https://www.airitibooks.com/Detail/Detail?PublicationID=P20161221069", "https://ntsu.idm.oclc.org/login?url=https://www.airitibooks.com/Detail/Detail?PublicationID=P20161221069")</f>
        <v>https://ntsu.idm.oclc.org/login?url=https://www.airitibooks.com/Detail/Detail?PublicationID=P20161221069</v>
      </c>
    </row>
    <row r="3119" spans="1:11" ht="51" x14ac:dyDescent="0.4">
      <c r="A3119" s="10" t="s">
        <v>5774</v>
      </c>
      <c r="B3119" s="10" t="s">
        <v>5775</v>
      </c>
      <c r="C3119" s="10" t="s">
        <v>5770</v>
      </c>
      <c r="D3119" s="10" t="s">
        <v>5771</v>
      </c>
      <c r="E3119" s="10" t="s">
        <v>4129</v>
      </c>
      <c r="F3119" s="10" t="s">
        <v>3548</v>
      </c>
      <c r="G3119" s="10" t="s">
        <v>23</v>
      </c>
      <c r="H3119" s="7" t="s">
        <v>24</v>
      </c>
      <c r="I3119" s="7" t="s">
        <v>25</v>
      </c>
      <c r="J3119" s="13" t="str">
        <f>HYPERLINK("https://www.airitibooks.com/Detail/Detail?PublicationID=P20161221070", "https://www.airitibooks.com/Detail/Detail?PublicationID=P20161221070")</f>
        <v>https://www.airitibooks.com/Detail/Detail?PublicationID=P20161221070</v>
      </c>
      <c r="K3119" s="13" t="str">
        <f>HYPERLINK("https://ntsu.idm.oclc.org/login?url=https://www.airitibooks.com/Detail/Detail?PublicationID=P20161221070", "https://ntsu.idm.oclc.org/login?url=https://www.airitibooks.com/Detail/Detail?PublicationID=P20161221070")</f>
        <v>https://ntsu.idm.oclc.org/login?url=https://www.airitibooks.com/Detail/Detail?PublicationID=P20161221070</v>
      </c>
    </row>
    <row r="3120" spans="1:11" ht="51" x14ac:dyDescent="0.4">
      <c r="A3120" s="10" t="s">
        <v>5776</v>
      </c>
      <c r="B3120" s="10" t="s">
        <v>5777</v>
      </c>
      <c r="C3120" s="10" t="s">
        <v>5770</v>
      </c>
      <c r="D3120" s="10" t="s">
        <v>5771</v>
      </c>
      <c r="E3120" s="10" t="s">
        <v>4129</v>
      </c>
      <c r="F3120" s="10" t="s">
        <v>3548</v>
      </c>
      <c r="G3120" s="10" t="s">
        <v>23</v>
      </c>
      <c r="H3120" s="7" t="s">
        <v>24</v>
      </c>
      <c r="I3120" s="7" t="s">
        <v>25</v>
      </c>
      <c r="J3120" s="13" t="str">
        <f>HYPERLINK("https://www.airitibooks.com/Detail/Detail?PublicationID=P20161221071", "https://www.airitibooks.com/Detail/Detail?PublicationID=P20161221071")</f>
        <v>https://www.airitibooks.com/Detail/Detail?PublicationID=P20161221071</v>
      </c>
      <c r="K3120" s="13" t="str">
        <f>HYPERLINK("https://ntsu.idm.oclc.org/login?url=https://www.airitibooks.com/Detail/Detail?PublicationID=P20161221071", "https://ntsu.idm.oclc.org/login?url=https://www.airitibooks.com/Detail/Detail?PublicationID=P20161221071")</f>
        <v>https://ntsu.idm.oclc.org/login?url=https://www.airitibooks.com/Detail/Detail?PublicationID=P20161221071</v>
      </c>
    </row>
    <row r="3121" spans="1:11" ht="51" x14ac:dyDescent="0.4">
      <c r="A3121" s="10" t="s">
        <v>5778</v>
      </c>
      <c r="B3121" s="10" t="s">
        <v>5779</v>
      </c>
      <c r="C3121" s="10" t="s">
        <v>5770</v>
      </c>
      <c r="D3121" s="10" t="s">
        <v>5771</v>
      </c>
      <c r="E3121" s="10" t="s">
        <v>4129</v>
      </c>
      <c r="F3121" s="10" t="s">
        <v>3548</v>
      </c>
      <c r="G3121" s="10" t="s">
        <v>23</v>
      </c>
      <c r="H3121" s="7" t="s">
        <v>24</v>
      </c>
      <c r="I3121" s="7" t="s">
        <v>25</v>
      </c>
      <c r="J3121" s="13" t="str">
        <f>HYPERLINK("https://www.airitibooks.com/Detail/Detail?PublicationID=P20161221072", "https://www.airitibooks.com/Detail/Detail?PublicationID=P20161221072")</f>
        <v>https://www.airitibooks.com/Detail/Detail?PublicationID=P20161221072</v>
      </c>
      <c r="K3121" s="13" t="str">
        <f>HYPERLINK("https://ntsu.idm.oclc.org/login?url=https://www.airitibooks.com/Detail/Detail?PublicationID=P20161221072", "https://ntsu.idm.oclc.org/login?url=https://www.airitibooks.com/Detail/Detail?PublicationID=P20161221072")</f>
        <v>https://ntsu.idm.oclc.org/login?url=https://www.airitibooks.com/Detail/Detail?PublicationID=P20161221072</v>
      </c>
    </row>
    <row r="3122" spans="1:11" ht="51" x14ac:dyDescent="0.4">
      <c r="A3122" s="10" t="s">
        <v>5780</v>
      </c>
      <c r="B3122" s="10" t="s">
        <v>5781</v>
      </c>
      <c r="C3122" s="10" t="s">
        <v>5770</v>
      </c>
      <c r="D3122" s="10" t="s">
        <v>5771</v>
      </c>
      <c r="E3122" s="10" t="s">
        <v>4129</v>
      </c>
      <c r="F3122" s="10" t="s">
        <v>3548</v>
      </c>
      <c r="G3122" s="10" t="s">
        <v>23</v>
      </c>
      <c r="H3122" s="7" t="s">
        <v>24</v>
      </c>
      <c r="I3122" s="7" t="s">
        <v>25</v>
      </c>
      <c r="J3122" s="13" t="str">
        <f>HYPERLINK("https://www.airitibooks.com/Detail/Detail?PublicationID=P20161221073", "https://www.airitibooks.com/Detail/Detail?PublicationID=P20161221073")</f>
        <v>https://www.airitibooks.com/Detail/Detail?PublicationID=P20161221073</v>
      </c>
      <c r="K3122" s="13" t="str">
        <f>HYPERLINK("https://ntsu.idm.oclc.org/login?url=https://www.airitibooks.com/Detail/Detail?PublicationID=P20161221073", "https://ntsu.idm.oclc.org/login?url=https://www.airitibooks.com/Detail/Detail?PublicationID=P20161221073")</f>
        <v>https://ntsu.idm.oclc.org/login?url=https://www.airitibooks.com/Detail/Detail?PublicationID=P20161221073</v>
      </c>
    </row>
    <row r="3123" spans="1:11" ht="51" x14ac:dyDescent="0.4">
      <c r="A3123" s="10" t="s">
        <v>5782</v>
      </c>
      <c r="B3123" s="10" t="s">
        <v>5783</v>
      </c>
      <c r="C3123" s="10" t="s">
        <v>5770</v>
      </c>
      <c r="D3123" s="10" t="s">
        <v>5771</v>
      </c>
      <c r="E3123" s="10" t="s">
        <v>4129</v>
      </c>
      <c r="F3123" s="10" t="s">
        <v>3548</v>
      </c>
      <c r="G3123" s="10" t="s">
        <v>23</v>
      </c>
      <c r="H3123" s="7" t="s">
        <v>24</v>
      </c>
      <c r="I3123" s="7" t="s">
        <v>25</v>
      </c>
      <c r="J3123" s="13" t="str">
        <f>HYPERLINK("https://www.airitibooks.com/Detail/Detail?PublicationID=P20161221086", "https://www.airitibooks.com/Detail/Detail?PublicationID=P20161221086")</f>
        <v>https://www.airitibooks.com/Detail/Detail?PublicationID=P20161221086</v>
      </c>
      <c r="K3123" s="13" t="str">
        <f>HYPERLINK("https://ntsu.idm.oclc.org/login?url=https://www.airitibooks.com/Detail/Detail?PublicationID=P20161221086", "https://ntsu.idm.oclc.org/login?url=https://www.airitibooks.com/Detail/Detail?PublicationID=P20161221086")</f>
        <v>https://ntsu.idm.oclc.org/login?url=https://www.airitibooks.com/Detail/Detail?PublicationID=P20161221086</v>
      </c>
    </row>
    <row r="3124" spans="1:11" ht="51" x14ac:dyDescent="0.4">
      <c r="A3124" s="10" t="s">
        <v>5784</v>
      </c>
      <c r="B3124" s="10" t="s">
        <v>5785</v>
      </c>
      <c r="C3124" s="10" t="s">
        <v>5770</v>
      </c>
      <c r="D3124" s="10" t="s">
        <v>5771</v>
      </c>
      <c r="E3124" s="10" t="s">
        <v>4129</v>
      </c>
      <c r="F3124" s="10" t="s">
        <v>3548</v>
      </c>
      <c r="G3124" s="10" t="s">
        <v>23</v>
      </c>
      <c r="H3124" s="7" t="s">
        <v>24</v>
      </c>
      <c r="I3124" s="7" t="s">
        <v>25</v>
      </c>
      <c r="J3124" s="13" t="str">
        <f>HYPERLINK("https://www.airitibooks.com/Detail/Detail?PublicationID=P20161221087", "https://www.airitibooks.com/Detail/Detail?PublicationID=P20161221087")</f>
        <v>https://www.airitibooks.com/Detail/Detail?PublicationID=P20161221087</v>
      </c>
      <c r="K3124" s="13" t="str">
        <f>HYPERLINK("https://ntsu.idm.oclc.org/login?url=https://www.airitibooks.com/Detail/Detail?PublicationID=P20161221087", "https://ntsu.idm.oclc.org/login?url=https://www.airitibooks.com/Detail/Detail?PublicationID=P20161221087")</f>
        <v>https://ntsu.idm.oclc.org/login?url=https://www.airitibooks.com/Detail/Detail?PublicationID=P20161221087</v>
      </c>
    </row>
    <row r="3125" spans="1:11" ht="51" x14ac:dyDescent="0.4">
      <c r="A3125" s="10" t="s">
        <v>5786</v>
      </c>
      <c r="B3125" s="10" t="s">
        <v>5787</v>
      </c>
      <c r="C3125" s="10" t="s">
        <v>5770</v>
      </c>
      <c r="D3125" s="10" t="s">
        <v>5771</v>
      </c>
      <c r="E3125" s="10" t="s">
        <v>4129</v>
      </c>
      <c r="F3125" s="10" t="s">
        <v>3548</v>
      </c>
      <c r="G3125" s="10" t="s">
        <v>23</v>
      </c>
      <c r="H3125" s="7" t="s">
        <v>24</v>
      </c>
      <c r="I3125" s="7" t="s">
        <v>25</v>
      </c>
      <c r="J3125" s="13" t="str">
        <f>HYPERLINK("https://www.airitibooks.com/Detail/Detail?PublicationID=P20161221088", "https://www.airitibooks.com/Detail/Detail?PublicationID=P20161221088")</f>
        <v>https://www.airitibooks.com/Detail/Detail?PublicationID=P20161221088</v>
      </c>
      <c r="K3125" s="13" t="str">
        <f>HYPERLINK("https://ntsu.idm.oclc.org/login?url=https://www.airitibooks.com/Detail/Detail?PublicationID=P20161221088", "https://ntsu.idm.oclc.org/login?url=https://www.airitibooks.com/Detail/Detail?PublicationID=P20161221088")</f>
        <v>https://ntsu.idm.oclc.org/login?url=https://www.airitibooks.com/Detail/Detail?PublicationID=P20161221088</v>
      </c>
    </row>
    <row r="3126" spans="1:11" ht="51" x14ac:dyDescent="0.4">
      <c r="A3126" s="10" t="s">
        <v>5788</v>
      </c>
      <c r="B3126" s="10" t="s">
        <v>5789</v>
      </c>
      <c r="C3126" s="10" t="s">
        <v>5770</v>
      </c>
      <c r="D3126" s="10" t="s">
        <v>5771</v>
      </c>
      <c r="E3126" s="10" t="s">
        <v>4129</v>
      </c>
      <c r="F3126" s="10" t="s">
        <v>3548</v>
      </c>
      <c r="G3126" s="10" t="s">
        <v>23</v>
      </c>
      <c r="H3126" s="7" t="s">
        <v>24</v>
      </c>
      <c r="I3126" s="7" t="s">
        <v>25</v>
      </c>
      <c r="J3126" s="13" t="str">
        <f>HYPERLINK("https://www.airitibooks.com/Detail/Detail?PublicationID=P20161221089", "https://www.airitibooks.com/Detail/Detail?PublicationID=P20161221089")</f>
        <v>https://www.airitibooks.com/Detail/Detail?PublicationID=P20161221089</v>
      </c>
      <c r="K3126" s="13" t="str">
        <f>HYPERLINK("https://ntsu.idm.oclc.org/login?url=https://www.airitibooks.com/Detail/Detail?PublicationID=P20161221089", "https://ntsu.idm.oclc.org/login?url=https://www.airitibooks.com/Detail/Detail?PublicationID=P20161221089")</f>
        <v>https://ntsu.idm.oclc.org/login?url=https://www.airitibooks.com/Detail/Detail?PublicationID=P20161221089</v>
      </c>
    </row>
    <row r="3127" spans="1:11" ht="51" x14ac:dyDescent="0.4">
      <c r="A3127" s="10" t="s">
        <v>5790</v>
      </c>
      <c r="B3127" s="10" t="s">
        <v>5791</v>
      </c>
      <c r="C3127" s="10" t="s">
        <v>5770</v>
      </c>
      <c r="D3127" s="10" t="s">
        <v>5771</v>
      </c>
      <c r="E3127" s="10" t="s">
        <v>4129</v>
      </c>
      <c r="F3127" s="10" t="s">
        <v>3548</v>
      </c>
      <c r="G3127" s="10" t="s">
        <v>23</v>
      </c>
      <c r="H3127" s="7" t="s">
        <v>24</v>
      </c>
      <c r="I3127" s="7" t="s">
        <v>25</v>
      </c>
      <c r="J3127" s="13" t="str">
        <f>HYPERLINK("https://www.airitibooks.com/Detail/Detail?PublicationID=P20161221090", "https://www.airitibooks.com/Detail/Detail?PublicationID=P20161221090")</f>
        <v>https://www.airitibooks.com/Detail/Detail?PublicationID=P20161221090</v>
      </c>
      <c r="K3127" s="13" t="str">
        <f>HYPERLINK("https://ntsu.idm.oclc.org/login?url=https://www.airitibooks.com/Detail/Detail?PublicationID=P20161221090", "https://ntsu.idm.oclc.org/login?url=https://www.airitibooks.com/Detail/Detail?PublicationID=P20161221090")</f>
        <v>https://ntsu.idm.oclc.org/login?url=https://www.airitibooks.com/Detail/Detail?PublicationID=P20161221090</v>
      </c>
    </row>
    <row r="3128" spans="1:11" ht="51" x14ac:dyDescent="0.4">
      <c r="A3128" s="10" t="s">
        <v>5792</v>
      </c>
      <c r="B3128" s="10" t="s">
        <v>5793</v>
      </c>
      <c r="C3128" s="10" t="s">
        <v>5770</v>
      </c>
      <c r="D3128" s="10" t="s">
        <v>5771</v>
      </c>
      <c r="E3128" s="10" t="s">
        <v>4129</v>
      </c>
      <c r="F3128" s="10" t="s">
        <v>3548</v>
      </c>
      <c r="G3128" s="10" t="s">
        <v>23</v>
      </c>
      <c r="H3128" s="7" t="s">
        <v>24</v>
      </c>
      <c r="I3128" s="7" t="s">
        <v>25</v>
      </c>
      <c r="J3128" s="13" t="str">
        <f>HYPERLINK("https://www.airitibooks.com/Detail/Detail?PublicationID=P20161221091", "https://www.airitibooks.com/Detail/Detail?PublicationID=P20161221091")</f>
        <v>https://www.airitibooks.com/Detail/Detail?PublicationID=P20161221091</v>
      </c>
      <c r="K3128" s="13" t="str">
        <f>HYPERLINK("https://ntsu.idm.oclc.org/login?url=https://www.airitibooks.com/Detail/Detail?PublicationID=P20161221091", "https://ntsu.idm.oclc.org/login?url=https://www.airitibooks.com/Detail/Detail?PublicationID=P20161221091")</f>
        <v>https://ntsu.idm.oclc.org/login?url=https://www.airitibooks.com/Detail/Detail?PublicationID=P20161221091</v>
      </c>
    </row>
    <row r="3129" spans="1:11" ht="51" x14ac:dyDescent="0.4">
      <c r="A3129" s="10" t="s">
        <v>5794</v>
      </c>
      <c r="B3129" s="10" t="s">
        <v>5795</v>
      </c>
      <c r="C3129" s="10" t="s">
        <v>5770</v>
      </c>
      <c r="D3129" s="10" t="s">
        <v>5771</v>
      </c>
      <c r="E3129" s="10" t="s">
        <v>4129</v>
      </c>
      <c r="F3129" s="10" t="s">
        <v>3548</v>
      </c>
      <c r="G3129" s="10" t="s">
        <v>23</v>
      </c>
      <c r="H3129" s="7" t="s">
        <v>24</v>
      </c>
      <c r="I3129" s="7" t="s">
        <v>25</v>
      </c>
      <c r="J3129" s="13" t="str">
        <f>HYPERLINK("https://www.airitibooks.com/Detail/Detail?PublicationID=P20161221095", "https://www.airitibooks.com/Detail/Detail?PublicationID=P20161221095")</f>
        <v>https://www.airitibooks.com/Detail/Detail?PublicationID=P20161221095</v>
      </c>
      <c r="K3129" s="13" t="str">
        <f>HYPERLINK("https://ntsu.idm.oclc.org/login?url=https://www.airitibooks.com/Detail/Detail?PublicationID=P20161221095", "https://ntsu.idm.oclc.org/login?url=https://www.airitibooks.com/Detail/Detail?PublicationID=P20161221095")</f>
        <v>https://ntsu.idm.oclc.org/login?url=https://www.airitibooks.com/Detail/Detail?PublicationID=P20161221095</v>
      </c>
    </row>
    <row r="3130" spans="1:11" ht="51" x14ac:dyDescent="0.4">
      <c r="A3130" s="10" t="s">
        <v>5796</v>
      </c>
      <c r="B3130" s="10" t="s">
        <v>5797</v>
      </c>
      <c r="C3130" s="10" t="s">
        <v>5770</v>
      </c>
      <c r="D3130" s="10" t="s">
        <v>5771</v>
      </c>
      <c r="E3130" s="10" t="s">
        <v>4129</v>
      </c>
      <c r="F3130" s="10" t="s">
        <v>3548</v>
      </c>
      <c r="G3130" s="10" t="s">
        <v>23</v>
      </c>
      <c r="H3130" s="7" t="s">
        <v>24</v>
      </c>
      <c r="I3130" s="7" t="s">
        <v>25</v>
      </c>
      <c r="J3130" s="13" t="str">
        <f>HYPERLINK("https://www.airitibooks.com/Detail/Detail?PublicationID=P20161221096", "https://www.airitibooks.com/Detail/Detail?PublicationID=P20161221096")</f>
        <v>https://www.airitibooks.com/Detail/Detail?PublicationID=P20161221096</v>
      </c>
      <c r="K3130" s="13" t="str">
        <f>HYPERLINK("https://ntsu.idm.oclc.org/login?url=https://www.airitibooks.com/Detail/Detail?PublicationID=P20161221096", "https://ntsu.idm.oclc.org/login?url=https://www.airitibooks.com/Detail/Detail?PublicationID=P20161221096")</f>
        <v>https://ntsu.idm.oclc.org/login?url=https://www.airitibooks.com/Detail/Detail?PublicationID=P20161221096</v>
      </c>
    </row>
    <row r="3131" spans="1:11" ht="51" x14ac:dyDescent="0.4">
      <c r="A3131" s="10" t="s">
        <v>5798</v>
      </c>
      <c r="B3131" s="10" t="s">
        <v>5799</v>
      </c>
      <c r="C3131" s="10" t="s">
        <v>5770</v>
      </c>
      <c r="D3131" s="10" t="s">
        <v>5771</v>
      </c>
      <c r="E3131" s="10" t="s">
        <v>4129</v>
      </c>
      <c r="F3131" s="10" t="s">
        <v>3548</v>
      </c>
      <c r="G3131" s="10" t="s">
        <v>23</v>
      </c>
      <c r="H3131" s="7" t="s">
        <v>24</v>
      </c>
      <c r="I3131" s="7" t="s">
        <v>25</v>
      </c>
      <c r="J3131" s="13" t="str">
        <f>HYPERLINK("https://www.airitibooks.com/Detail/Detail?PublicationID=P20161221097", "https://www.airitibooks.com/Detail/Detail?PublicationID=P20161221097")</f>
        <v>https://www.airitibooks.com/Detail/Detail?PublicationID=P20161221097</v>
      </c>
      <c r="K3131" s="13" t="str">
        <f>HYPERLINK("https://ntsu.idm.oclc.org/login?url=https://www.airitibooks.com/Detail/Detail?PublicationID=P20161221097", "https://ntsu.idm.oclc.org/login?url=https://www.airitibooks.com/Detail/Detail?PublicationID=P20161221097")</f>
        <v>https://ntsu.idm.oclc.org/login?url=https://www.airitibooks.com/Detail/Detail?PublicationID=P20161221097</v>
      </c>
    </row>
    <row r="3132" spans="1:11" ht="51" x14ac:dyDescent="0.4">
      <c r="A3132" s="10" t="s">
        <v>5800</v>
      </c>
      <c r="B3132" s="10" t="s">
        <v>5801</v>
      </c>
      <c r="C3132" s="10" t="s">
        <v>819</v>
      </c>
      <c r="D3132" s="10" t="s">
        <v>4353</v>
      </c>
      <c r="E3132" s="10" t="s">
        <v>4129</v>
      </c>
      <c r="F3132" s="10" t="s">
        <v>3548</v>
      </c>
      <c r="G3132" s="10" t="s">
        <v>23</v>
      </c>
      <c r="H3132" s="7" t="s">
        <v>24</v>
      </c>
      <c r="I3132" s="7" t="s">
        <v>25</v>
      </c>
      <c r="J3132" s="13" t="str">
        <f>HYPERLINK("https://www.airitibooks.com/Detail/Detail?PublicationID=P20161221112", "https://www.airitibooks.com/Detail/Detail?PublicationID=P20161221112")</f>
        <v>https://www.airitibooks.com/Detail/Detail?PublicationID=P20161221112</v>
      </c>
      <c r="K3132" s="13" t="str">
        <f>HYPERLINK("https://ntsu.idm.oclc.org/login?url=https://www.airitibooks.com/Detail/Detail?PublicationID=P20161221112", "https://ntsu.idm.oclc.org/login?url=https://www.airitibooks.com/Detail/Detail?PublicationID=P20161221112")</f>
        <v>https://ntsu.idm.oclc.org/login?url=https://www.airitibooks.com/Detail/Detail?PublicationID=P20161221112</v>
      </c>
    </row>
    <row r="3133" spans="1:11" ht="51" x14ac:dyDescent="0.4">
      <c r="A3133" s="10" t="s">
        <v>5802</v>
      </c>
      <c r="B3133" s="10" t="s">
        <v>5803</v>
      </c>
      <c r="C3133" s="10" t="s">
        <v>819</v>
      </c>
      <c r="D3133" s="10" t="s">
        <v>4353</v>
      </c>
      <c r="E3133" s="10" t="s">
        <v>4129</v>
      </c>
      <c r="F3133" s="10" t="s">
        <v>3548</v>
      </c>
      <c r="G3133" s="10" t="s">
        <v>23</v>
      </c>
      <c r="H3133" s="7" t="s">
        <v>24</v>
      </c>
      <c r="I3133" s="7" t="s">
        <v>25</v>
      </c>
      <c r="J3133" s="13" t="str">
        <f>HYPERLINK("https://www.airitibooks.com/Detail/Detail?PublicationID=P20161221113", "https://www.airitibooks.com/Detail/Detail?PublicationID=P20161221113")</f>
        <v>https://www.airitibooks.com/Detail/Detail?PublicationID=P20161221113</v>
      </c>
      <c r="K3133" s="13" t="str">
        <f>HYPERLINK("https://ntsu.idm.oclc.org/login?url=https://www.airitibooks.com/Detail/Detail?PublicationID=P20161221113", "https://ntsu.idm.oclc.org/login?url=https://www.airitibooks.com/Detail/Detail?PublicationID=P20161221113")</f>
        <v>https://ntsu.idm.oclc.org/login?url=https://www.airitibooks.com/Detail/Detail?PublicationID=P20161221113</v>
      </c>
    </row>
    <row r="3134" spans="1:11" ht="51" x14ac:dyDescent="0.4">
      <c r="A3134" s="10" t="s">
        <v>5804</v>
      </c>
      <c r="B3134" s="10" t="s">
        <v>5805</v>
      </c>
      <c r="C3134" s="10" t="s">
        <v>819</v>
      </c>
      <c r="D3134" s="10" t="s">
        <v>4353</v>
      </c>
      <c r="E3134" s="10" t="s">
        <v>4129</v>
      </c>
      <c r="F3134" s="10" t="s">
        <v>3548</v>
      </c>
      <c r="G3134" s="10" t="s">
        <v>23</v>
      </c>
      <c r="H3134" s="7" t="s">
        <v>24</v>
      </c>
      <c r="I3134" s="7" t="s">
        <v>25</v>
      </c>
      <c r="J3134" s="13" t="str">
        <f>HYPERLINK("https://www.airitibooks.com/Detail/Detail?PublicationID=P20161221117", "https://www.airitibooks.com/Detail/Detail?PublicationID=P20161221117")</f>
        <v>https://www.airitibooks.com/Detail/Detail?PublicationID=P20161221117</v>
      </c>
      <c r="K3134" s="13" t="str">
        <f>HYPERLINK("https://ntsu.idm.oclc.org/login?url=https://www.airitibooks.com/Detail/Detail?PublicationID=P20161221117", "https://ntsu.idm.oclc.org/login?url=https://www.airitibooks.com/Detail/Detail?PublicationID=P20161221117")</f>
        <v>https://ntsu.idm.oclc.org/login?url=https://www.airitibooks.com/Detail/Detail?PublicationID=P20161221117</v>
      </c>
    </row>
    <row r="3135" spans="1:11" ht="51" x14ac:dyDescent="0.4">
      <c r="A3135" s="10" t="s">
        <v>5806</v>
      </c>
      <c r="B3135" s="10" t="s">
        <v>5807</v>
      </c>
      <c r="C3135" s="10" t="s">
        <v>819</v>
      </c>
      <c r="D3135" s="10" t="s">
        <v>4353</v>
      </c>
      <c r="E3135" s="10" t="s">
        <v>4129</v>
      </c>
      <c r="F3135" s="10" t="s">
        <v>3548</v>
      </c>
      <c r="G3135" s="10" t="s">
        <v>23</v>
      </c>
      <c r="H3135" s="7" t="s">
        <v>24</v>
      </c>
      <c r="I3135" s="7" t="s">
        <v>25</v>
      </c>
      <c r="J3135" s="13" t="str">
        <f>HYPERLINK("https://www.airitibooks.com/Detail/Detail?PublicationID=P20161221119", "https://www.airitibooks.com/Detail/Detail?PublicationID=P20161221119")</f>
        <v>https://www.airitibooks.com/Detail/Detail?PublicationID=P20161221119</v>
      </c>
      <c r="K3135" s="13" t="str">
        <f>HYPERLINK("https://ntsu.idm.oclc.org/login?url=https://www.airitibooks.com/Detail/Detail?PublicationID=P20161221119", "https://ntsu.idm.oclc.org/login?url=https://www.airitibooks.com/Detail/Detail?PublicationID=P20161221119")</f>
        <v>https://ntsu.idm.oclc.org/login?url=https://www.airitibooks.com/Detail/Detail?PublicationID=P20161221119</v>
      </c>
    </row>
    <row r="3136" spans="1:11" ht="51" x14ac:dyDescent="0.4">
      <c r="A3136" s="10" t="s">
        <v>5808</v>
      </c>
      <c r="B3136" s="10" t="s">
        <v>5809</v>
      </c>
      <c r="C3136" s="10" t="s">
        <v>819</v>
      </c>
      <c r="D3136" s="10" t="s">
        <v>4353</v>
      </c>
      <c r="E3136" s="10" t="s">
        <v>4129</v>
      </c>
      <c r="F3136" s="10" t="s">
        <v>3548</v>
      </c>
      <c r="G3136" s="10" t="s">
        <v>23</v>
      </c>
      <c r="H3136" s="7" t="s">
        <v>24</v>
      </c>
      <c r="I3136" s="7" t="s">
        <v>25</v>
      </c>
      <c r="J3136" s="13" t="str">
        <f>HYPERLINK("https://www.airitibooks.com/Detail/Detail?PublicationID=P20161221120", "https://www.airitibooks.com/Detail/Detail?PublicationID=P20161221120")</f>
        <v>https://www.airitibooks.com/Detail/Detail?PublicationID=P20161221120</v>
      </c>
      <c r="K3136" s="13" t="str">
        <f>HYPERLINK("https://ntsu.idm.oclc.org/login?url=https://www.airitibooks.com/Detail/Detail?PublicationID=P20161221120", "https://ntsu.idm.oclc.org/login?url=https://www.airitibooks.com/Detail/Detail?PublicationID=P20161221120")</f>
        <v>https://ntsu.idm.oclc.org/login?url=https://www.airitibooks.com/Detail/Detail?PublicationID=P20161221120</v>
      </c>
    </row>
    <row r="3137" spans="1:11" ht="51" x14ac:dyDescent="0.4">
      <c r="A3137" s="10" t="s">
        <v>5810</v>
      </c>
      <c r="B3137" s="10" t="s">
        <v>5811</v>
      </c>
      <c r="C3137" s="10" t="s">
        <v>819</v>
      </c>
      <c r="D3137" s="10" t="s">
        <v>4353</v>
      </c>
      <c r="E3137" s="10" t="s">
        <v>4129</v>
      </c>
      <c r="F3137" s="10" t="s">
        <v>3548</v>
      </c>
      <c r="G3137" s="10" t="s">
        <v>23</v>
      </c>
      <c r="H3137" s="7" t="s">
        <v>24</v>
      </c>
      <c r="I3137" s="7" t="s">
        <v>25</v>
      </c>
      <c r="J3137" s="13" t="str">
        <f>HYPERLINK("https://www.airitibooks.com/Detail/Detail?PublicationID=P20161221123", "https://www.airitibooks.com/Detail/Detail?PublicationID=P20161221123")</f>
        <v>https://www.airitibooks.com/Detail/Detail?PublicationID=P20161221123</v>
      </c>
      <c r="K3137" s="13" t="str">
        <f>HYPERLINK("https://ntsu.idm.oclc.org/login?url=https://www.airitibooks.com/Detail/Detail?PublicationID=P20161221123", "https://ntsu.idm.oclc.org/login?url=https://www.airitibooks.com/Detail/Detail?PublicationID=P20161221123")</f>
        <v>https://ntsu.idm.oclc.org/login?url=https://www.airitibooks.com/Detail/Detail?PublicationID=P20161221123</v>
      </c>
    </row>
    <row r="3138" spans="1:11" ht="51" x14ac:dyDescent="0.4">
      <c r="A3138" s="10" t="s">
        <v>5812</v>
      </c>
      <c r="B3138" s="10" t="s">
        <v>5813</v>
      </c>
      <c r="C3138" s="10" t="s">
        <v>819</v>
      </c>
      <c r="D3138" s="10" t="s">
        <v>4353</v>
      </c>
      <c r="E3138" s="10" t="s">
        <v>4129</v>
      </c>
      <c r="F3138" s="10" t="s">
        <v>3548</v>
      </c>
      <c r="G3138" s="10" t="s">
        <v>23</v>
      </c>
      <c r="H3138" s="7" t="s">
        <v>24</v>
      </c>
      <c r="I3138" s="7" t="s">
        <v>25</v>
      </c>
      <c r="J3138" s="13" t="str">
        <f>HYPERLINK("https://www.airitibooks.com/Detail/Detail?PublicationID=P20161221125", "https://www.airitibooks.com/Detail/Detail?PublicationID=P20161221125")</f>
        <v>https://www.airitibooks.com/Detail/Detail?PublicationID=P20161221125</v>
      </c>
      <c r="K3138" s="13" t="str">
        <f>HYPERLINK("https://ntsu.idm.oclc.org/login?url=https://www.airitibooks.com/Detail/Detail?PublicationID=P20161221125", "https://ntsu.idm.oclc.org/login?url=https://www.airitibooks.com/Detail/Detail?PublicationID=P20161221125")</f>
        <v>https://ntsu.idm.oclc.org/login?url=https://www.airitibooks.com/Detail/Detail?PublicationID=P20161221125</v>
      </c>
    </row>
    <row r="3139" spans="1:11" ht="51" x14ac:dyDescent="0.4">
      <c r="A3139" s="10" t="s">
        <v>5814</v>
      </c>
      <c r="B3139" s="10" t="s">
        <v>5815</v>
      </c>
      <c r="C3139" s="10" t="s">
        <v>819</v>
      </c>
      <c r="D3139" s="10" t="s">
        <v>4353</v>
      </c>
      <c r="E3139" s="10" t="s">
        <v>4129</v>
      </c>
      <c r="F3139" s="10" t="s">
        <v>3548</v>
      </c>
      <c r="G3139" s="10" t="s">
        <v>23</v>
      </c>
      <c r="H3139" s="7" t="s">
        <v>24</v>
      </c>
      <c r="I3139" s="7" t="s">
        <v>25</v>
      </c>
      <c r="J3139" s="13" t="str">
        <f>HYPERLINK("https://www.airitibooks.com/Detail/Detail?PublicationID=P20161221126", "https://www.airitibooks.com/Detail/Detail?PublicationID=P20161221126")</f>
        <v>https://www.airitibooks.com/Detail/Detail?PublicationID=P20161221126</v>
      </c>
      <c r="K3139" s="13" t="str">
        <f>HYPERLINK("https://ntsu.idm.oclc.org/login?url=https://www.airitibooks.com/Detail/Detail?PublicationID=P20161221126", "https://ntsu.idm.oclc.org/login?url=https://www.airitibooks.com/Detail/Detail?PublicationID=P20161221126")</f>
        <v>https://ntsu.idm.oclc.org/login?url=https://www.airitibooks.com/Detail/Detail?PublicationID=P20161221126</v>
      </c>
    </row>
    <row r="3140" spans="1:11" ht="51" x14ac:dyDescent="0.4">
      <c r="A3140" s="10" t="s">
        <v>5816</v>
      </c>
      <c r="B3140" s="10" t="s">
        <v>5817</v>
      </c>
      <c r="C3140" s="10" t="s">
        <v>819</v>
      </c>
      <c r="D3140" s="10" t="s">
        <v>4353</v>
      </c>
      <c r="E3140" s="10" t="s">
        <v>4129</v>
      </c>
      <c r="F3140" s="10" t="s">
        <v>3548</v>
      </c>
      <c r="G3140" s="10" t="s">
        <v>23</v>
      </c>
      <c r="H3140" s="7" t="s">
        <v>24</v>
      </c>
      <c r="I3140" s="7" t="s">
        <v>25</v>
      </c>
      <c r="J3140" s="13" t="str">
        <f>HYPERLINK("https://www.airitibooks.com/Detail/Detail?PublicationID=P20161221128", "https://www.airitibooks.com/Detail/Detail?PublicationID=P20161221128")</f>
        <v>https://www.airitibooks.com/Detail/Detail?PublicationID=P20161221128</v>
      </c>
      <c r="K3140" s="13" t="str">
        <f>HYPERLINK("https://ntsu.idm.oclc.org/login?url=https://www.airitibooks.com/Detail/Detail?PublicationID=P20161221128", "https://ntsu.idm.oclc.org/login?url=https://www.airitibooks.com/Detail/Detail?PublicationID=P20161221128")</f>
        <v>https://ntsu.idm.oclc.org/login?url=https://www.airitibooks.com/Detail/Detail?PublicationID=P20161221128</v>
      </c>
    </row>
    <row r="3141" spans="1:11" ht="68" x14ac:dyDescent="0.4">
      <c r="A3141" s="10" t="s">
        <v>5818</v>
      </c>
      <c r="B3141" s="10" t="s">
        <v>5819</v>
      </c>
      <c r="C3141" s="10" t="s">
        <v>819</v>
      </c>
      <c r="D3141" s="10" t="s">
        <v>4353</v>
      </c>
      <c r="E3141" s="10" t="s">
        <v>4129</v>
      </c>
      <c r="F3141" s="10" t="s">
        <v>3548</v>
      </c>
      <c r="G3141" s="10" t="s">
        <v>23</v>
      </c>
      <c r="H3141" s="7" t="s">
        <v>24</v>
      </c>
      <c r="I3141" s="7" t="s">
        <v>25</v>
      </c>
      <c r="J3141" s="13" t="str">
        <f>HYPERLINK("https://www.airitibooks.com/Detail/Detail?PublicationID=P20161221129", "https://www.airitibooks.com/Detail/Detail?PublicationID=P20161221129")</f>
        <v>https://www.airitibooks.com/Detail/Detail?PublicationID=P20161221129</v>
      </c>
      <c r="K3141" s="13" t="str">
        <f>HYPERLINK("https://ntsu.idm.oclc.org/login?url=https://www.airitibooks.com/Detail/Detail?PublicationID=P20161221129", "https://ntsu.idm.oclc.org/login?url=https://www.airitibooks.com/Detail/Detail?PublicationID=P20161221129")</f>
        <v>https://ntsu.idm.oclc.org/login?url=https://www.airitibooks.com/Detail/Detail?PublicationID=P20161221129</v>
      </c>
    </row>
    <row r="3142" spans="1:11" ht="68" x14ac:dyDescent="0.4">
      <c r="A3142" s="10" t="s">
        <v>5820</v>
      </c>
      <c r="B3142" s="10" t="s">
        <v>5821</v>
      </c>
      <c r="C3142" s="10" t="s">
        <v>819</v>
      </c>
      <c r="D3142" s="10" t="s">
        <v>4353</v>
      </c>
      <c r="E3142" s="10" t="s">
        <v>4129</v>
      </c>
      <c r="F3142" s="10" t="s">
        <v>3548</v>
      </c>
      <c r="G3142" s="10" t="s">
        <v>23</v>
      </c>
      <c r="H3142" s="7" t="s">
        <v>24</v>
      </c>
      <c r="I3142" s="7" t="s">
        <v>25</v>
      </c>
      <c r="J3142" s="13" t="str">
        <f>HYPERLINK("https://www.airitibooks.com/Detail/Detail?PublicationID=P20161221130", "https://www.airitibooks.com/Detail/Detail?PublicationID=P20161221130")</f>
        <v>https://www.airitibooks.com/Detail/Detail?PublicationID=P20161221130</v>
      </c>
      <c r="K3142" s="13" t="str">
        <f>HYPERLINK("https://ntsu.idm.oclc.org/login?url=https://www.airitibooks.com/Detail/Detail?PublicationID=P20161221130", "https://ntsu.idm.oclc.org/login?url=https://www.airitibooks.com/Detail/Detail?PublicationID=P20161221130")</f>
        <v>https://ntsu.idm.oclc.org/login?url=https://www.airitibooks.com/Detail/Detail?PublicationID=P20161221130</v>
      </c>
    </row>
    <row r="3143" spans="1:11" ht="68" x14ac:dyDescent="0.4">
      <c r="A3143" s="10" t="s">
        <v>5822</v>
      </c>
      <c r="B3143" s="10" t="s">
        <v>5823</v>
      </c>
      <c r="C3143" s="10" t="s">
        <v>819</v>
      </c>
      <c r="D3143" s="10" t="s">
        <v>4353</v>
      </c>
      <c r="E3143" s="10" t="s">
        <v>4129</v>
      </c>
      <c r="F3143" s="10" t="s">
        <v>3548</v>
      </c>
      <c r="G3143" s="10" t="s">
        <v>23</v>
      </c>
      <c r="H3143" s="7" t="s">
        <v>24</v>
      </c>
      <c r="I3143" s="7" t="s">
        <v>25</v>
      </c>
      <c r="J3143" s="13" t="str">
        <f>HYPERLINK("https://www.airitibooks.com/Detail/Detail?PublicationID=P20161221131", "https://www.airitibooks.com/Detail/Detail?PublicationID=P20161221131")</f>
        <v>https://www.airitibooks.com/Detail/Detail?PublicationID=P20161221131</v>
      </c>
      <c r="K3143" s="13" t="str">
        <f>HYPERLINK("https://ntsu.idm.oclc.org/login?url=https://www.airitibooks.com/Detail/Detail?PublicationID=P20161221131", "https://ntsu.idm.oclc.org/login?url=https://www.airitibooks.com/Detail/Detail?PublicationID=P20161221131")</f>
        <v>https://ntsu.idm.oclc.org/login?url=https://www.airitibooks.com/Detail/Detail?PublicationID=P20161221131</v>
      </c>
    </row>
    <row r="3144" spans="1:11" ht="51" x14ac:dyDescent="0.4">
      <c r="A3144" s="10" t="s">
        <v>5824</v>
      </c>
      <c r="B3144" s="10" t="s">
        <v>5825</v>
      </c>
      <c r="C3144" s="10" t="s">
        <v>819</v>
      </c>
      <c r="D3144" s="10" t="s">
        <v>4353</v>
      </c>
      <c r="E3144" s="10" t="s">
        <v>4129</v>
      </c>
      <c r="F3144" s="10" t="s">
        <v>3548</v>
      </c>
      <c r="G3144" s="10" t="s">
        <v>23</v>
      </c>
      <c r="H3144" s="7" t="s">
        <v>24</v>
      </c>
      <c r="I3144" s="7" t="s">
        <v>25</v>
      </c>
      <c r="J3144" s="13" t="str">
        <f>HYPERLINK("https://www.airitibooks.com/Detail/Detail?PublicationID=P20161221156", "https://www.airitibooks.com/Detail/Detail?PublicationID=P20161221156")</f>
        <v>https://www.airitibooks.com/Detail/Detail?PublicationID=P20161221156</v>
      </c>
      <c r="K3144" s="13" t="str">
        <f>HYPERLINK("https://ntsu.idm.oclc.org/login?url=https://www.airitibooks.com/Detail/Detail?PublicationID=P20161221156", "https://ntsu.idm.oclc.org/login?url=https://www.airitibooks.com/Detail/Detail?PublicationID=P20161221156")</f>
        <v>https://ntsu.idm.oclc.org/login?url=https://www.airitibooks.com/Detail/Detail?PublicationID=P20161221156</v>
      </c>
    </row>
    <row r="3145" spans="1:11" ht="51" x14ac:dyDescent="0.4">
      <c r="A3145" s="10" t="s">
        <v>5826</v>
      </c>
      <c r="B3145" s="10" t="s">
        <v>5827</v>
      </c>
      <c r="C3145" s="10" t="s">
        <v>819</v>
      </c>
      <c r="D3145" s="10" t="s">
        <v>4353</v>
      </c>
      <c r="E3145" s="10" t="s">
        <v>4129</v>
      </c>
      <c r="F3145" s="10" t="s">
        <v>3548</v>
      </c>
      <c r="G3145" s="10" t="s">
        <v>23</v>
      </c>
      <c r="H3145" s="7" t="s">
        <v>24</v>
      </c>
      <c r="I3145" s="7" t="s">
        <v>25</v>
      </c>
      <c r="J3145" s="13" t="str">
        <f>HYPERLINK("https://www.airitibooks.com/Detail/Detail?PublicationID=P20161221164", "https://www.airitibooks.com/Detail/Detail?PublicationID=P20161221164")</f>
        <v>https://www.airitibooks.com/Detail/Detail?PublicationID=P20161221164</v>
      </c>
      <c r="K3145" s="13" t="str">
        <f>HYPERLINK("https://ntsu.idm.oclc.org/login?url=https://www.airitibooks.com/Detail/Detail?PublicationID=P20161221164", "https://ntsu.idm.oclc.org/login?url=https://www.airitibooks.com/Detail/Detail?PublicationID=P20161221164")</f>
        <v>https://ntsu.idm.oclc.org/login?url=https://www.airitibooks.com/Detail/Detail?PublicationID=P20161221164</v>
      </c>
    </row>
    <row r="3146" spans="1:11" ht="51" x14ac:dyDescent="0.4">
      <c r="A3146" s="10" t="s">
        <v>5828</v>
      </c>
      <c r="B3146" s="10" t="s">
        <v>5829</v>
      </c>
      <c r="C3146" s="10" t="s">
        <v>819</v>
      </c>
      <c r="D3146" s="10" t="s">
        <v>4353</v>
      </c>
      <c r="E3146" s="10" t="s">
        <v>4129</v>
      </c>
      <c r="F3146" s="10" t="s">
        <v>3548</v>
      </c>
      <c r="G3146" s="10" t="s">
        <v>23</v>
      </c>
      <c r="H3146" s="7" t="s">
        <v>24</v>
      </c>
      <c r="I3146" s="7" t="s">
        <v>25</v>
      </c>
      <c r="J3146" s="13" t="str">
        <f>HYPERLINK("https://www.airitibooks.com/Detail/Detail?PublicationID=P20161221166", "https://www.airitibooks.com/Detail/Detail?PublicationID=P20161221166")</f>
        <v>https://www.airitibooks.com/Detail/Detail?PublicationID=P20161221166</v>
      </c>
      <c r="K3146" s="13" t="str">
        <f>HYPERLINK("https://ntsu.idm.oclc.org/login?url=https://www.airitibooks.com/Detail/Detail?PublicationID=P20161221166", "https://ntsu.idm.oclc.org/login?url=https://www.airitibooks.com/Detail/Detail?PublicationID=P20161221166")</f>
        <v>https://ntsu.idm.oclc.org/login?url=https://www.airitibooks.com/Detail/Detail?PublicationID=P20161221166</v>
      </c>
    </row>
    <row r="3147" spans="1:11" ht="51" x14ac:dyDescent="0.4">
      <c r="A3147" s="10" t="s">
        <v>5842</v>
      </c>
      <c r="B3147" s="10" t="s">
        <v>5843</v>
      </c>
      <c r="C3147" s="10" t="s">
        <v>791</v>
      </c>
      <c r="D3147" s="10" t="s">
        <v>5678</v>
      </c>
      <c r="E3147" s="10" t="s">
        <v>4129</v>
      </c>
      <c r="F3147" s="10" t="s">
        <v>5154</v>
      </c>
      <c r="G3147" s="10" t="s">
        <v>23</v>
      </c>
      <c r="H3147" s="7" t="s">
        <v>24</v>
      </c>
      <c r="I3147" s="7" t="s">
        <v>25</v>
      </c>
      <c r="J3147" s="13" t="str">
        <f>HYPERLINK("https://www.airitibooks.com/Detail/Detail?PublicationID=P20170105004", "https://www.airitibooks.com/Detail/Detail?PublicationID=P20170105004")</f>
        <v>https://www.airitibooks.com/Detail/Detail?PublicationID=P20170105004</v>
      </c>
      <c r="K3147" s="13" t="str">
        <f>HYPERLINK("https://ntsu.idm.oclc.org/login?url=https://www.airitibooks.com/Detail/Detail?PublicationID=P20170105004", "https://ntsu.idm.oclc.org/login?url=https://www.airitibooks.com/Detail/Detail?PublicationID=P20170105004")</f>
        <v>https://ntsu.idm.oclc.org/login?url=https://www.airitibooks.com/Detail/Detail?PublicationID=P20170105004</v>
      </c>
    </row>
    <row r="3148" spans="1:11" ht="51" x14ac:dyDescent="0.4">
      <c r="A3148" s="10" t="s">
        <v>5846</v>
      </c>
      <c r="B3148" s="10" t="s">
        <v>5847</v>
      </c>
      <c r="C3148" s="10" t="s">
        <v>938</v>
      </c>
      <c r="D3148" s="10" t="s">
        <v>5288</v>
      </c>
      <c r="E3148" s="10" t="s">
        <v>4129</v>
      </c>
      <c r="F3148" s="10" t="s">
        <v>5848</v>
      </c>
      <c r="G3148" s="10" t="s">
        <v>23</v>
      </c>
      <c r="H3148" s="7" t="s">
        <v>24</v>
      </c>
      <c r="I3148" s="7" t="s">
        <v>25</v>
      </c>
      <c r="J3148" s="13" t="str">
        <f>HYPERLINK("https://www.airitibooks.com/Detail/Detail?PublicationID=P20170112023", "https://www.airitibooks.com/Detail/Detail?PublicationID=P20170112023")</f>
        <v>https://www.airitibooks.com/Detail/Detail?PublicationID=P20170112023</v>
      </c>
      <c r="K3148" s="13" t="str">
        <f>HYPERLINK("https://ntsu.idm.oclc.org/login?url=https://www.airitibooks.com/Detail/Detail?PublicationID=P20170112023", "https://ntsu.idm.oclc.org/login?url=https://www.airitibooks.com/Detail/Detail?PublicationID=P20170112023")</f>
        <v>https://ntsu.idm.oclc.org/login?url=https://www.airitibooks.com/Detail/Detail?PublicationID=P20170112023</v>
      </c>
    </row>
    <row r="3149" spans="1:11" ht="51" x14ac:dyDescent="0.4">
      <c r="A3149" s="10" t="s">
        <v>5897</v>
      </c>
      <c r="B3149" s="10" t="s">
        <v>5898</v>
      </c>
      <c r="C3149" s="10" t="s">
        <v>938</v>
      </c>
      <c r="D3149" s="10" t="s">
        <v>5247</v>
      </c>
      <c r="E3149" s="10" t="s">
        <v>4129</v>
      </c>
      <c r="F3149" s="10" t="s">
        <v>4022</v>
      </c>
      <c r="G3149" s="10" t="s">
        <v>23</v>
      </c>
      <c r="H3149" s="7" t="s">
        <v>24</v>
      </c>
      <c r="I3149" s="7" t="s">
        <v>25</v>
      </c>
      <c r="J3149" s="13" t="str">
        <f>HYPERLINK("https://www.airitibooks.com/Detail/Detail?PublicationID=P20170112085", "https://www.airitibooks.com/Detail/Detail?PublicationID=P20170112085")</f>
        <v>https://www.airitibooks.com/Detail/Detail?PublicationID=P20170112085</v>
      </c>
      <c r="K3149" s="13" t="str">
        <f>HYPERLINK("https://ntsu.idm.oclc.org/login?url=https://www.airitibooks.com/Detail/Detail?PublicationID=P20170112085", "https://ntsu.idm.oclc.org/login?url=https://www.airitibooks.com/Detail/Detail?PublicationID=P20170112085")</f>
        <v>https://ntsu.idm.oclc.org/login?url=https://www.airitibooks.com/Detail/Detail?PublicationID=P20170112085</v>
      </c>
    </row>
    <row r="3150" spans="1:11" ht="51" x14ac:dyDescent="0.4">
      <c r="A3150" s="10" t="s">
        <v>5977</v>
      </c>
      <c r="B3150" s="10" t="s">
        <v>5978</v>
      </c>
      <c r="C3150" s="10" t="s">
        <v>357</v>
      </c>
      <c r="D3150" s="10" t="s">
        <v>3779</v>
      </c>
      <c r="E3150" s="10" t="s">
        <v>4129</v>
      </c>
      <c r="F3150" s="10" t="s">
        <v>565</v>
      </c>
      <c r="G3150" s="10" t="s">
        <v>23</v>
      </c>
      <c r="H3150" s="7" t="s">
        <v>24</v>
      </c>
      <c r="I3150" s="7" t="s">
        <v>25</v>
      </c>
      <c r="J3150" s="13" t="str">
        <f>HYPERLINK("https://www.airitibooks.com/Detail/Detail?PublicationID=P20170203054", "https://www.airitibooks.com/Detail/Detail?PublicationID=P20170203054")</f>
        <v>https://www.airitibooks.com/Detail/Detail?PublicationID=P20170203054</v>
      </c>
      <c r="K3150" s="13" t="str">
        <f>HYPERLINK("https://ntsu.idm.oclc.org/login?url=https://www.airitibooks.com/Detail/Detail?PublicationID=P20170203054", "https://ntsu.idm.oclc.org/login?url=https://www.airitibooks.com/Detail/Detail?PublicationID=P20170203054")</f>
        <v>https://ntsu.idm.oclc.org/login?url=https://www.airitibooks.com/Detail/Detail?PublicationID=P20170203054</v>
      </c>
    </row>
    <row r="3151" spans="1:11" ht="51" x14ac:dyDescent="0.4">
      <c r="A3151" s="10" t="s">
        <v>5979</v>
      </c>
      <c r="B3151" s="10" t="s">
        <v>5980</v>
      </c>
      <c r="C3151" s="10" t="s">
        <v>357</v>
      </c>
      <c r="D3151" s="10" t="s">
        <v>3776</v>
      </c>
      <c r="E3151" s="10" t="s">
        <v>4129</v>
      </c>
      <c r="F3151" s="10" t="s">
        <v>5981</v>
      </c>
      <c r="G3151" s="10" t="s">
        <v>23</v>
      </c>
      <c r="H3151" s="7" t="s">
        <v>24</v>
      </c>
      <c r="I3151" s="7" t="s">
        <v>25</v>
      </c>
      <c r="J3151" s="13" t="str">
        <f>HYPERLINK("https://www.airitibooks.com/Detail/Detail?PublicationID=P20170203055", "https://www.airitibooks.com/Detail/Detail?PublicationID=P20170203055")</f>
        <v>https://www.airitibooks.com/Detail/Detail?PublicationID=P20170203055</v>
      </c>
      <c r="K3151" s="13" t="str">
        <f>HYPERLINK("https://ntsu.idm.oclc.org/login?url=https://www.airitibooks.com/Detail/Detail?PublicationID=P20170203055", "https://ntsu.idm.oclc.org/login?url=https://www.airitibooks.com/Detail/Detail?PublicationID=P20170203055")</f>
        <v>https://ntsu.idm.oclc.org/login?url=https://www.airitibooks.com/Detail/Detail?PublicationID=P20170203055</v>
      </c>
    </row>
    <row r="3152" spans="1:11" ht="51" x14ac:dyDescent="0.4">
      <c r="A3152" s="10" t="s">
        <v>5982</v>
      </c>
      <c r="B3152" s="10" t="s">
        <v>5983</v>
      </c>
      <c r="C3152" s="10" t="s">
        <v>357</v>
      </c>
      <c r="D3152" s="10" t="s">
        <v>3776</v>
      </c>
      <c r="E3152" s="10" t="s">
        <v>4129</v>
      </c>
      <c r="F3152" s="10" t="s">
        <v>565</v>
      </c>
      <c r="G3152" s="10" t="s">
        <v>23</v>
      </c>
      <c r="H3152" s="7" t="s">
        <v>24</v>
      </c>
      <c r="I3152" s="7" t="s">
        <v>25</v>
      </c>
      <c r="J3152" s="13" t="str">
        <f>HYPERLINK("https://www.airitibooks.com/Detail/Detail?PublicationID=P20170203056", "https://www.airitibooks.com/Detail/Detail?PublicationID=P20170203056")</f>
        <v>https://www.airitibooks.com/Detail/Detail?PublicationID=P20170203056</v>
      </c>
      <c r="K3152" s="13" t="str">
        <f>HYPERLINK("https://ntsu.idm.oclc.org/login?url=https://www.airitibooks.com/Detail/Detail?PublicationID=P20170203056", "https://ntsu.idm.oclc.org/login?url=https://www.airitibooks.com/Detail/Detail?PublicationID=P20170203056")</f>
        <v>https://ntsu.idm.oclc.org/login?url=https://www.airitibooks.com/Detail/Detail?PublicationID=P20170203056</v>
      </c>
    </row>
    <row r="3153" spans="1:11" ht="51" x14ac:dyDescent="0.4">
      <c r="A3153" s="10" t="s">
        <v>5984</v>
      </c>
      <c r="B3153" s="10" t="s">
        <v>5985</v>
      </c>
      <c r="C3153" s="10" t="s">
        <v>357</v>
      </c>
      <c r="D3153" s="10" t="s">
        <v>3776</v>
      </c>
      <c r="E3153" s="10" t="s">
        <v>4129</v>
      </c>
      <c r="F3153" s="10" t="s">
        <v>565</v>
      </c>
      <c r="G3153" s="10" t="s">
        <v>23</v>
      </c>
      <c r="H3153" s="7" t="s">
        <v>24</v>
      </c>
      <c r="I3153" s="7" t="s">
        <v>25</v>
      </c>
      <c r="J3153" s="13" t="str">
        <f>HYPERLINK("https://www.airitibooks.com/Detail/Detail?PublicationID=P20170203057", "https://www.airitibooks.com/Detail/Detail?PublicationID=P20170203057")</f>
        <v>https://www.airitibooks.com/Detail/Detail?PublicationID=P20170203057</v>
      </c>
      <c r="K3153" s="13" t="str">
        <f>HYPERLINK("https://ntsu.idm.oclc.org/login?url=https://www.airitibooks.com/Detail/Detail?PublicationID=P20170203057", "https://ntsu.idm.oclc.org/login?url=https://www.airitibooks.com/Detail/Detail?PublicationID=P20170203057")</f>
        <v>https://ntsu.idm.oclc.org/login?url=https://www.airitibooks.com/Detail/Detail?PublicationID=P20170203057</v>
      </c>
    </row>
    <row r="3154" spans="1:11" ht="51" x14ac:dyDescent="0.4">
      <c r="A3154" s="10" t="s">
        <v>5992</v>
      </c>
      <c r="B3154" s="10" t="s">
        <v>5993</v>
      </c>
      <c r="C3154" s="10" t="s">
        <v>2854</v>
      </c>
      <c r="D3154" s="10" t="s">
        <v>5994</v>
      </c>
      <c r="E3154" s="10" t="s">
        <v>4129</v>
      </c>
      <c r="F3154" s="10" t="s">
        <v>762</v>
      </c>
      <c r="G3154" s="10" t="s">
        <v>23</v>
      </c>
      <c r="H3154" s="7" t="s">
        <v>24</v>
      </c>
      <c r="I3154" s="7" t="s">
        <v>25</v>
      </c>
      <c r="J3154" s="13" t="str">
        <f>HYPERLINK("https://www.airitibooks.com/Detail/Detail?PublicationID=P20170203086", "https://www.airitibooks.com/Detail/Detail?PublicationID=P20170203086")</f>
        <v>https://www.airitibooks.com/Detail/Detail?PublicationID=P20170203086</v>
      </c>
      <c r="K3154" s="13" t="str">
        <f>HYPERLINK("https://ntsu.idm.oclc.org/login?url=https://www.airitibooks.com/Detail/Detail?PublicationID=P20170203086", "https://ntsu.idm.oclc.org/login?url=https://www.airitibooks.com/Detail/Detail?PublicationID=P20170203086")</f>
        <v>https://ntsu.idm.oclc.org/login?url=https://www.airitibooks.com/Detail/Detail?PublicationID=P20170203086</v>
      </c>
    </row>
    <row r="3155" spans="1:11" ht="51" x14ac:dyDescent="0.4">
      <c r="A3155" s="10" t="s">
        <v>6003</v>
      </c>
      <c r="B3155" s="10" t="s">
        <v>6004</v>
      </c>
      <c r="C3155" s="10" t="s">
        <v>6005</v>
      </c>
      <c r="D3155" s="10" t="s">
        <v>6006</v>
      </c>
      <c r="E3155" s="10" t="s">
        <v>4129</v>
      </c>
      <c r="F3155" s="10" t="s">
        <v>250</v>
      </c>
      <c r="G3155" s="10" t="s">
        <v>23</v>
      </c>
      <c r="H3155" s="7" t="s">
        <v>24</v>
      </c>
      <c r="I3155" s="7" t="s">
        <v>25</v>
      </c>
      <c r="J3155" s="13" t="str">
        <f>HYPERLINK("https://www.airitibooks.com/Detail/Detail?PublicationID=P20170203091", "https://www.airitibooks.com/Detail/Detail?PublicationID=P20170203091")</f>
        <v>https://www.airitibooks.com/Detail/Detail?PublicationID=P20170203091</v>
      </c>
      <c r="K3155" s="13" t="str">
        <f>HYPERLINK("https://ntsu.idm.oclc.org/login?url=https://www.airitibooks.com/Detail/Detail?PublicationID=P20170203091", "https://ntsu.idm.oclc.org/login?url=https://www.airitibooks.com/Detail/Detail?PublicationID=P20170203091")</f>
        <v>https://ntsu.idm.oclc.org/login?url=https://www.airitibooks.com/Detail/Detail?PublicationID=P20170203091</v>
      </c>
    </row>
    <row r="3156" spans="1:11" ht="51" x14ac:dyDescent="0.4">
      <c r="A3156" s="10" t="s">
        <v>6020</v>
      </c>
      <c r="B3156" s="10" t="s">
        <v>6021</v>
      </c>
      <c r="C3156" s="10" t="s">
        <v>756</v>
      </c>
      <c r="D3156" s="10" t="s">
        <v>761</v>
      </c>
      <c r="E3156" s="10" t="s">
        <v>4129</v>
      </c>
      <c r="F3156" s="10" t="s">
        <v>299</v>
      </c>
      <c r="G3156" s="10" t="s">
        <v>23</v>
      </c>
      <c r="H3156" s="7" t="s">
        <v>24</v>
      </c>
      <c r="I3156" s="7" t="s">
        <v>25</v>
      </c>
      <c r="J3156" s="13" t="str">
        <f>HYPERLINK("https://www.airitibooks.com/Detail/Detail?PublicationID=P20170203101", "https://www.airitibooks.com/Detail/Detail?PublicationID=P20170203101")</f>
        <v>https://www.airitibooks.com/Detail/Detail?PublicationID=P20170203101</v>
      </c>
      <c r="K3156" s="13" t="str">
        <f>HYPERLINK("https://ntsu.idm.oclc.org/login?url=https://www.airitibooks.com/Detail/Detail?PublicationID=P20170203101", "https://ntsu.idm.oclc.org/login?url=https://www.airitibooks.com/Detail/Detail?PublicationID=P20170203101")</f>
        <v>https://ntsu.idm.oclc.org/login?url=https://www.airitibooks.com/Detail/Detail?PublicationID=P20170203101</v>
      </c>
    </row>
    <row r="3157" spans="1:11" ht="51" x14ac:dyDescent="0.4">
      <c r="A3157" s="10" t="s">
        <v>6036</v>
      </c>
      <c r="B3157" s="10" t="s">
        <v>6037</v>
      </c>
      <c r="C3157" s="10" t="s">
        <v>938</v>
      </c>
      <c r="D3157" s="10" t="s">
        <v>5247</v>
      </c>
      <c r="E3157" s="10" t="s">
        <v>4129</v>
      </c>
      <c r="F3157" s="10" t="s">
        <v>5848</v>
      </c>
      <c r="G3157" s="10" t="s">
        <v>23</v>
      </c>
      <c r="H3157" s="7" t="s">
        <v>24</v>
      </c>
      <c r="I3157" s="7" t="s">
        <v>25</v>
      </c>
      <c r="J3157" s="13" t="str">
        <f>HYPERLINK("https://www.airitibooks.com/Detail/Detail?PublicationID=P20170203126", "https://www.airitibooks.com/Detail/Detail?PublicationID=P20170203126")</f>
        <v>https://www.airitibooks.com/Detail/Detail?PublicationID=P20170203126</v>
      </c>
      <c r="K3157" s="13" t="str">
        <f>HYPERLINK("https://ntsu.idm.oclc.org/login?url=https://www.airitibooks.com/Detail/Detail?PublicationID=P20170203126", "https://ntsu.idm.oclc.org/login?url=https://www.airitibooks.com/Detail/Detail?PublicationID=P20170203126")</f>
        <v>https://ntsu.idm.oclc.org/login?url=https://www.airitibooks.com/Detail/Detail?PublicationID=P20170203126</v>
      </c>
    </row>
    <row r="3158" spans="1:11" ht="51" x14ac:dyDescent="0.4">
      <c r="A3158" s="10" t="s">
        <v>6082</v>
      </c>
      <c r="B3158" s="10" t="s">
        <v>6083</v>
      </c>
      <c r="C3158" s="10" t="s">
        <v>5389</v>
      </c>
      <c r="D3158" s="10" t="s">
        <v>6084</v>
      </c>
      <c r="E3158" s="10" t="s">
        <v>4129</v>
      </c>
      <c r="F3158" s="10" t="s">
        <v>1646</v>
      </c>
      <c r="G3158" s="10" t="s">
        <v>23</v>
      </c>
      <c r="H3158" s="7" t="s">
        <v>24</v>
      </c>
      <c r="I3158" s="7" t="s">
        <v>25</v>
      </c>
      <c r="J3158" s="13" t="str">
        <f>HYPERLINK("https://www.airitibooks.com/Detail/Detail?PublicationID=P20170203247", "https://www.airitibooks.com/Detail/Detail?PublicationID=P20170203247")</f>
        <v>https://www.airitibooks.com/Detail/Detail?PublicationID=P20170203247</v>
      </c>
      <c r="K3158" s="13" t="str">
        <f>HYPERLINK("https://ntsu.idm.oclc.org/login?url=https://www.airitibooks.com/Detail/Detail?PublicationID=P20170203247", "https://ntsu.idm.oclc.org/login?url=https://www.airitibooks.com/Detail/Detail?PublicationID=P20170203247")</f>
        <v>https://ntsu.idm.oclc.org/login?url=https://www.airitibooks.com/Detail/Detail?PublicationID=P20170203247</v>
      </c>
    </row>
    <row r="3159" spans="1:11" ht="51" x14ac:dyDescent="0.4">
      <c r="A3159" s="10" t="s">
        <v>6085</v>
      </c>
      <c r="B3159" s="10" t="s">
        <v>6086</v>
      </c>
      <c r="C3159" s="10" t="s">
        <v>5389</v>
      </c>
      <c r="D3159" s="10" t="s">
        <v>6087</v>
      </c>
      <c r="E3159" s="10" t="s">
        <v>4129</v>
      </c>
      <c r="F3159" s="10" t="s">
        <v>1646</v>
      </c>
      <c r="G3159" s="10" t="s">
        <v>23</v>
      </c>
      <c r="H3159" s="7" t="s">
        <v>24</v>
      </c>
      <c r="I3159" s="7" t="s">
        <v>25</v>
      </c>
      <c r="J3159" s="13" t="str">
        <f>HYPERLINK("https://www.airitibooks.com/Detail/Detail?PublicationID=P20170203248", "https://www.airitibooks.com/Detail/Detail?PublicationID=P20170203248")</f>
        <v>https://www.airitibooks.com/Detail/Detail?PublicationID=P20170203248</v>
      </c>
      <c r="K3159" s="13" t="str">
        <f>HYPERLINK("https://ntsu.idm.oclc.org/login?url=https://www.airitibooks.com/Detail/Detail?PublicationID=P20170203248", "https://ntsu.idm.oclc.org/login?url=https://www.airitibooks.com/Detail/Detail?PublicationID=P20170203248")</f>
        <v>https://ntsu.idm.oclc.org/login?url=https://www.airitibooks.com/Detail/Detail?PublicationID=P20170203248</v>
      </c>
    </row>
    <row r="3160" spans="1:11" ht="51" x14ac:dyDescent="0.4">
      <c r="A3160" s="10" t="s">
        <v>6273</v>
      </c>
      <c r="B3160" s="10" t="s">
        <v>6274</v>
      </c>
      <c r="C3160" s="10" t="s">
        <v>6275</v>
      </c>
      <c r="D3160" s="10" t="s">
        <v>6276</v>
      </c>
      <c r="E3160" s="10" t="s">
        <v>4129</v>
      </c>
      <c r="F3160" s="10" t="s">
        <v>250</v>
      </c>
      <c r="G3160" s="10" t="s">
        <v>23</v>
      </c>
      <c r="H3160" s="7" t="s">
        <v>24</v>
      </c>
      <c r="I3160" s="7" t="s">
        <v>25</v>
      </c>
      <c r="J3160" s="13" t="str">
        <f>HYPERLINK("https://www.airitibooks.com/Detail/Detail?PublicationID=P20170227097", "https://www.airitibooks.com/Detail/Detail?PublicationID=P20170227097")</f>
        <v>https://www.airitibooks.com/Detail/Detail?PublicationID=P20170227097</v>
      </c>
      <c r="K3160" s="13" t="str">
        <f>HYPERLINK("https://ntsu.idm.oclc.org/login?url=https://www.airitibooks.com/Detail/Detail?PublicationID=P20170227097", "https://ntsu.idm.oclc.org/login?url=https://www.airitibooks.com/Detail/Detail?PublicationID=P20170227097")</f>
        <v>https://ntsu.idm.oclc.org/login?url=https://www.airitibooks.com/Detail/Detail?PublicationID=P20170227097</v>
      </c>
    </row>
    <row r="3161" spans="1:11" ht="51" x14ac:dyDescent="0.4">
      <c r="A3161" s="10" t="s">
        <v>6301</v>
      </c>
      <c r="B3161" s="10" t="s">
        <v>6302</v>
      </c>
      <c r="C3161" s="10" t="s">
        <v>613</v>
      </c>
      <c r="D3161" s="10" t="s">
        <v>6303</v>
      </c>
      <c r="E3161" s="10" t="s">
        <v>4129</v>
      </c>
      <c r="F3161" s="10" t="s">
        <v>6304</v>
      </c>
      <c r="G3161" s="10" t="s">
        <v>23</v>
      </c>
      <c r="H3161" s="7" t="s">
        <v>24</v>
      </c>
      <c r="I3161" s="7" t="s">
        <v>25</v>
      </c>
      <c r="J3161" s="13" t="str">
        <f>HYPERLINK("https://www.airitibooks.com/Detail/Detail?PublicationID=P20170316023", "https://www.airitibooks.com/Detail/Detail?PublicationID=P20170316023")</f>
        <v>https://www.airitibooks.com/Detail/Detail?PublicationID=P20170316023</v>
      </c>
      <c r="K3161" s="13" t="str">
        <f>HYPERLINK("https://ntsu.idm.oclc.org/login?url=https://www.airitibooks.com/Detail/Detail?PublicationID=P20170316023", "https://ntsu.idm.oclc.org/login?url=https://www.airitibooks.com/Detail/Detail?PublicationID=P20170316023")</f>
        <v>https://ntsu.idm.oclc.org/login?url=https://www.airitibooks.com/Detail/Detail?PublicationID=P20170316023</v>
      </c>
    </row>
    <row r="3162" spans="1:11" ht="51" x14ac:dyDescent="0.4">
      <c r="A3162" s="10" t="s">
        <v>6319</v>
      </c>
      <c r="B3162" s="10" t="s">
        <v>6320</v>
      </c>
      <c r="C3162" s="10" t="s">
        <v>613</v>
      </c>
      <c r="D3162" s="10" t="s">
        <v>6321</v>
      </c>
      <c r="E3162" s="10" t="s">
        <v>4129</v>
      </c>
      <c r="F3162" s="10" t="s">
        <v>565</v>
      </c>
      <c r="G3162" s="10" t="s">
        <v>23</v>
      </c>
      <c r="H3162" s="7" t="s">
        <v>24</v>
      </c>
      <c r="I3162" s="7" t="s">
        <v>25</v>
      </c>
      <c r="J3162" s="13" t="str">
        <f>HYPERLINK("https://www.airitibooks.com/Detail/Detail?PublicationID=P20170316049", "https://www.airitibooks.com/Detail/Detail?PublicationID=P20170316049")</f>
        <v>https://www.airitibooks.com/Detail/Detail?PublicationID=P20170316049</v>
      </c>
      <c r="K3162" s="13" t="str">
        <f>HYPERLINK("https://ntsu.idm.oclc.org/login?url=https://www.airitibooks.com/Detail/Detail?PublicationID=P20170316049", "https://ntsu.idm.oclc.org/login?url=https://www.airitibooks.com/Detail/Detail?PublicationID=P20170316049")</f>
        <v>https://ntsu.idm.oclc.org/login?url=https://www.airitibooks.com/Detail/Detail?PublicationID=P20170316049</v>
      </c>
    </row>
    <row r="3163" spans="1:11" ht="51" x14ac:dyDescent="0.4">
      <c r="A3163" s="10" t="s">
        <v>6326</v>
      </c>
      <c r="B3163" s="10" t="s">
        <v>6327</v>
      </c>
      <c r="C3163" s="10" t="s">
        <v>222</v>
      </c>
      <c r="D3163" s="10" t="s">
        <v>6328</v>
      </c>
      <c r="E3163" s="10" t="s">
        <v>4129</v>
      </c>
      <c r="F3163" s="10" t="s">
        <v>6329</v>
      </c>
      <c r="G3163" s="10" t="s">
        <v>23</v>
      </c>
      <c r="H3163" s="7" t="s">
        <v>24</v>
      </c>
      <c r="I3163" s="7" t="s">
        <v>25</v>
      </c>
      <c r="J3163" s="13" t="str">
        <f>HYPERLINK("https://www.airitibooks.com/Detail/Detail?PublicationID=P20170316075", "https://www.airitibooks.com/Detail/Detail?PublicationID=P20170316075")</f>
        <v>https://www.airitibooks.com/Detail/Detail?PublicationID=P20170316075</v>
      </c>
      <c r="K3163" s="13" t="str">
        <f>HYPERLINK("https://ntsu.idm.oclc.org/login?url=https://www.airitibooks.com/Detail/Detail?PublicationID=P20170316075", "https://ntsu.idm.oclc.org/login?url=https://www.airitibooks.com/Detail/Detail?PublicationID=P20170316075")</f>
        <v>https://ntsu.idm.oclc.org/login?url=https://www.airitibooks.com/Detail/Detail?PublicationID=P20170316075</v>
      </c>
    </row>
    <row r="3164" spans="1:11" ht="51" x14ac:dyDescent="0.4">
      <c r="A3164" s="10" t="s">
        <v>6379</v>
      </c>
      <c r="B3164" s="10" t="s">
        <v>6380</v>
      </c>
      <c r="C3164" s="10" t="s">
        <v>212</v>
      </c>
      <c r="D3164" s="10" t="s">
        <v>935</v>
      </c>
      <c r="E3164" s="10" t="s">
        <v>4129</v>
      </c>
      <c r="F3164" s="10" t="s">
        <v>1427</v>
      </c>
      <c r="G3164" s="10" t="s">
        <v>23</v>
      </c>
      <c r="H3164" s="7" t="s">
        <v>24</v>
      </c>
      <c r="I3164" s="7" t="s">
        <v>25</v>
      </c>
      <c r="J3164" s="13" t="str">
        <f>HYPERLINK("https://www.airitibooks.com/Detail/Detail?PublicationID=P20170328086", "https://www.airitibooks.com/Detail/Detail?PublicationID=P20170328086")</f>
        <v>https://www.airitibooks.com/Detail/Detail?PublicationID=P20170328086</v>
      </c>
      <c r="K3164" s="13" t="str">
        <f>HYPERLINK("https://ntsu.idm.oclc.org/login?url=https://www.airitibooks.com/Detail/Detail?PublicationID=P20170328086", "https://ntsu.idm.oclc.org/login?url=https://www.airitibooks.com/Detail/Detail?PublicationID=P20170328086")</f>
        <v>https://ntsu.idm.oclc.org/login?url=https://www.airitibooks.com/Detail/Detail?PublicationID=P20170328086</v>
      </c>
    </row>
    <row r="3165" spans="1:11" ht="51" x14ac:dyDescent="0.4">
      <c r="A3165" s="10" t="s">
        <v>6527</v>
      </c>
      <c r="B3165" s="10" t="s">
        <v>6528</v>
      </c>
      <c r="C3165" s="10" t="s">
        <v>2367</v>
      </c>
      <c r="D3165" s="10" t="s">
        <v>6529</v>
      </c>
      <c r="E3165" s="10" t="s">
        <v>4129</v>
      </c>
      <c r="F3165" s="10" t="s">
        <v>1646</v>
      </c>
      <c r="G3165" s="10" t="s">
        <v>23</v>
      </c>
      <c r="H3165" s="7" t="s">
        <v>24</v>
      </c>
      <c r="I3165" s="7" t="s">
        <v>25</v>
      </c>
      <c r="J3165" s="13" t="str">
        <f>HYPERLINK("https://www.airitibooks.com/Detail/Detail?PublicationID=P20170502060", "https://www.airitibooks.com/Detail/Detail?PublicationID=P20170502060")</f>
        <v>https://www.airitibooks.com/Detail/Detail?PublicationID=P20170502060</v>
      </c>
      <c r="K3165" s="13" t="str">
        <f>HYPERLINK("https://ntsu.idm.oclc.org/login?url=https://www.airitibooks.com/Detail/Detail?PublicationID=P20170502060", "https://ntsu.idm.oclc.org/login?url=https://www.airitibooks.com/Detail/Detail?PublicationID=P20170502060")</f>
        <v>https://ntsu.idm.oclc.org/login?url=https://www.airitibooks.com/Detail/Detail?PublicationID=P20170502060</v>
      </c>
    </row>
    <row r="3166" spans="1:11" ht="51" x14ac:dyDescent="0.4">
      <c r="A3166" s="10" t="s">
        <v>6606</v>
      </c>
      <c r="B3166" s="10" t="s">
        <v>6607</v>
      </c>
      <c r="C3166" s="10" t="s">
        <v>544</v>
      </c>
      <c r="D3166" s="10" t="s">
        <v>6608</v>
      </c>
      <c r="E3166" s="10" t="s">
        <v>4129</v>
      </c>
      <c r="F3166" s="10" t="s">
        <v>6609</v>
      </c>
      <c r="G3166" s="10" t="s">
        <v>23</v>
      </c>
      <c r="H3166" s="7" t="s">
        <v>24</v>
      </c>
      <c r="I3166" s="7" t="s">
        <v>25</v>
      </c>
      <c r="J3166" s="13" t="str">
        <f>HYPERLINK("https://www.airitibooks.com/Detail/Detail?PublicationID=P20170517109", "https://www.airitibooks.com/Detail/Detail?PublicationID=P20170517109")</f>
        <v>https://www.airitibooks.com/Detail/Detail?PublicationID=P20170517109</v>
      </c>
      <c r="K3166" s="13" t="str">
        <f>HYPERLINK("https://ntsu.idm.oclc.org/login?url=https://www.airitibooks.com/Detail/Detail?PublicationID=P20170517109", "https://ntsu.idm.oclc.org/login?url=https://www.airitibooks.com/Detail/Detail?PublicationID=P20170517109")</f>
        <v>https://ntsu.idm.oclc.org/login?url=https://www.airitibooks.com/Detail/Detail?PublicationID=P20170517109</v>
      </c>
    </row>
    <row r="3167" spans="1:11" ht="51" x14ac:dyDescent="0.4">
      <c r="A3167" s="10" t="s">
        <v>6614</v>
      </c>
      <c r="B3167" s="10" t="s">
        <v>6615</v>
      </c>
      <c r="C3167" s="10" t="s">
        <v>544</v>
      </c>
      <c r="D3167" s="10" t="s">
        <v>6616</v>
      </c>
      <c r="E3167" s="10" t="s">
        <v>4129</v>
      </c>
      <c r="F3167" s="10" t="s">
        <v>762</v>
      </c>
      <c r="G3167" s="10" t="s">
        <v>23</v>
      </c>
      <c r="H3167" s="7" t="s">
        <v>24</v>
      </c>
      <c r="I3167" s="7" t="s">
        <v>25</v>
      </c>
      <c r="J3167" s="13" t="str">
        <f>HYPERLINK("https://www.airitibooks.com/Detail/Detail?PublicationID=P20170517114", "https://www.airitibooks.com/Detail/Detail?PublicationID=P20170517114")</f>
        <v>https://www.airitibooks.com/Detail/Detail?PublicationID=P20170517114</v>
      </c>
      <c r="K3167" s="13" t="str">
        <f>HYPERLINK("https://ntsu.idm.oclc.org/login?url=https://www.airitibooks.com/Detail/Detail?PublicationID=P20170517114", "https://ntsu.idm.oclc.org/login?url=https://www.airitibooks.com/Detail/Detail?PublicationID=P20170517114")</f>
        <v>https://ntsu.idm.oclc.org/login?url=https://www.airitibooks.com/Detail/Detail?PublicationID=P20170517114</v>
      </c>
    </row>
    <row r="3168" spans="1:11" ht="51" x14ac:dyDescent="0.4">
      <c r="A3168" s="10" t="s">
        <v>6624</v>
      </c>
      <c r="B3168" s="10" t="s">
        <v>6625</v>
      </c>
      <c r="C3168" s="10" t="s">
        <v>544</v>
      </c>
      <c r="D3168" s="10" t="s">
        <v>6608</v>
      </c>
      <c r="E3168" s="10" t="s">
        <v>4129</v>
      </c>
      <c r="F3168" s="10" t="s">
        <v>3132</v>
      </c>
      <c r="G3168" s="10" t="s">
        <v>23</v>
      </c>
      <c r="H3168" s="7" t="s">
        <v>24</v>
      </c>
      <c r="I3168" s="7" t="s">
        <v>25</v>
      </c>
      <c r="J3168" s="13" t="str">
        <f>HYPERLINK("https://www.airitibooks.com/Detail/Detail?PublicationID=P20170517124", "https://www.airitibooks.com/Detail/Detail?PublicationID=P20170517124")</f>
        <v>https://www.airitibooks.com/Detail/Detail?PublicationID=P20170517124</v>
      </c>
      <c r="K3168" s="13" t="str">
        <f>HYPERLINK("https://ntsu.idm.oclc.org/login?url=https://www.airitibooks.com/Detail/Detail?PublicationID=P20170517124", "https://ntsu.idm.oclc.org/login?url=https://www.airitibooks.com/Detail/Detail?PublicationID=P20170517124")</f>
        <v>https://ntsu.idm.oclc.org/login?url=https://www.airitibooks.com/Detail/Detail?PublicationID=P20170517124</v>
      </c>
    </row>
    <row r="3169" spans="1:11" ht="51" x14ac:dyDescent="0.4">
      <c r="A3169" s="10" t="s">
        <v>6629</v>
      </c>
      <c r="B3169" s="10" t="s">
        <v>6630</v>
      </c>
      <c r="C3169" s="10" t="s">
        <v>544</v>
      </c>
      <c r="D3169" s="10" t="s">
        <v>6631</v>
      </c>
      <c r="E3169" s="10" t="s">
        <v>4129</v>
      </c>
      <c r="F3169" s="10" t="s">
        <v>4429</v>
      </c>
      <c r="G3169" s="10" t="s">
        <v>23</v>
      </c>
      <c r="H3169" s="7" t="s">
        <v>24</v>
      </c>
      <c r="I3169" s="7" t="s">
        <v>25</v>
      </c>
      <c r="J3169" s="13" t="str">
        <f>HYPERLINK("https://www.airitibooks.com/Detail/Detail?PublicationID=P20170517132", "https://www.airitibooks.com/Detail/Detail?PublicationID=P20170517132")</f>
        <v>https://www.airitibooks.com/Detail/Detail?PublicationID=P20170517132</v>
      </c>
      <c r="K3169" s="13" t="str">
        <f>HYPERLINK("https://ntsu.idm.oclc.org/login?url=https://www.airitibooks.com/Detail/Detail?PublicationID=P20170517132", "https://ntsu.idm.oclc.org/login?url=https://www.airitibooks.com/Detail/Detail?PublicationID=P20170517132")</f>
        <v>https://ntsu.idm.oclc.org/login?url=https://www.airitibooks.com/Detail/Detail?PublicationID=P20170517132</v>
      </c>
    </row>
    <row r="3170" spans="1:11" ht="51" x14ac:dyDescent="0.4">
      <c r="A3170" s="10" t="s">
        <v>6801</v>
      </c>
      <c r="B3170" s="10" t="s">
        <v>6802</v>
      </c>
      <c r="C3170" s="10" t="s">
        <v>3473</v>
      </c>
      <c r="D3170" s="10" t="s">
        <v>3497</v>
      </c>
      <c r="E3170" s="10" t="s">
        <v>4129</v>
      </c>
      <c r="F3170" s="10" t="s">
        <v>1127</v>
      </c>
      <c r="G3170" s="10" t="s">
        <v>23</v>
      </c>
      <c r="H3170" s="7" t="s">
        <v>24</v>
      </c>
      <c r="I3170" s="7" t="s">
        <v>25</v>
      </c>
      <c r="J3170" s="13" t="str">
        <f>HYPERLINK("https://www.airitibooks.com/Detail/Detail?PublicationID=P20170615001", "https://www.airitibooks.com/Detail/Detail?PublicationID=P20170615001")</f>
        <v>https://www.airitibooks.com/Detail/Detail?PublicationID=P20170615001</v>
      </c>
      <c r="K3170" s="13" t="str">
        <f>HYPERLINK("https://ntsu.idm.oclc.org/login?url=https://www.airitibooks.com/Detail/Detail?PublicationID=P20170615001", "https://ntsu.idm.oclc.org/login?url=https://www.airitibooks.com/Detail/Detail?PublicationID=P20170615001")</f>
        <v>https://ntsu.idm.oclc.org/login?url=https://www.airitibooks.com/Detail/Detail?PublicationID=P20170615001</v>
      </c>
    </row>
    <row r="3171" spans="1:11" ht="51" x14ac:dyDescent="0.4">
      <c r="A3171" s="10" t="s">
        <v>6970</v>
      </c>
      <c r="B3171" s="10" t="s">
        <v>6971</v>
      </c>
      <c r="C3171" s="10" t="s">
        <v>1504</v>
      </c>
      <c r="D3171" s="10" t="s">
        <v>6972</v>
      </c>
      <c r="E3171" s="10" t="s">
        <v>4129</v>
      </c>
      <c r="F3171" s="10" t="s">
        <v>762</v>
      </c>
      <c r="G3171" s="10" t="s">
        <v>23</v>
      </c>
      <c r="H3171" s="7" t="s">
        <v>24</v>
      </c>
      <c r="I3171" s="7" t="s">
        <v>25</v>
      </c>
      <c r="J3171" s="13" t="str">
        <f>HYPERLINK("https://www.airitibooks.com/Detail/Detail?PublicationID=P20170706104", "https://www.airitibooks.com/Detail/Detail?PublicationID=P20170706104")</f>
        <v>https://www.airitibooks.com/Detail/Detail?PublicationID=P20170706104</v>
      </c>
      <c r="K3171" s="13" t="str">
        <f>HYPERLINK("https://ntsu.idm.oclc.org/login?url=https://www.airitibooks.com/Detail/Detail?PublicationID=P20170706104", "https://ntsu.idm.oclc.org/login?url=https://www.airitibooks.com/Detail/Detail?PublicationID=P20170706104")</f>
        <v>https://ntsu.idm.oclc.org/login?url=https://www.airitibooks.com/Detail/Detail?PublicationID=P20170706104</v>
      </c>
    </row>
    <row r="3172" spans="1:11" ht="51" x14ac:dyDescent="0.4">
      <c r="A3172" s="10" t="s">
        <v>7142</v>
      </c>
      <c r="B3172" s="10" t="s">
        <v>7143</v>
      </c>
      <c r="C3172" s="10" t="s">
        <v>1484</v>
      </c>
      <c r="D3172" s="10" t="s">
        <v>7144</v>
      </c>
      <c r="E3172" s="10" t="s">
        <v>4129</v>
      </c>
      <c r="F3172" s="10" t="s">
        <v>7145</v>
      </c>
      <c r="G3172" s="10" t="s">
        <v>23</v>
      </c>
      <c r="H3172" s="7" t="s">
        <v>24</v>
      </c>
      <c r="I3172" s="7" t="s">
        <v>25</v>
      </c>
      <c r="J3172" s="13" t="str">
        <f>HYPERLINK("https://www.airitibooks.com/Detail/Detail?PublicationID=P20170929111", "https://www.airitibooks.com/Detail/Detail?PublicationID=P20170929111")</f>
        <v>https://www.airitibooks.com/Detail/Detail?PublicationID=P20170929111</v>
      </c>
      <c r="K3172" s="13" t="str">
        <f>HYPERLINK("https://ntsu.idm.oclc.org/login?url=https://www.airitibooks.com/Detail/Detail?PublicationID=P20170929111", "https://ntsu.idm.oclc.org/login?url=https://www.airitibooks.com/Detail/Detail?PublicationID=P20170929111")</f>
        <v>https://ntsu.idm.oclc.org/login?url=https://www.airitibooks.com/Detail/Detail?PublicationID=P20170929111</v>
      </c>
    </row>
    <row r="3173" spans="1:11" ht="68" x14ac:dyDescent="0.4">
      <c r="A3173" s="10" t="s">
        <v>7264</v>
      </c>
      <c r="B3173" s="10" t="s">
        <v>7265</v>
      </c>
      <c r="C3173" s="10" t="s">
        <v>1484</v>
      </c>
      <c r="D3173" s="10" t="s">
        <v>7266</v>
      </c>
      <c r="E3173" s="10" t="s">
        <v>4129</v>
      </c>
      <c r="F3173" s="10" t="s">
        <v>7267</v>
      </c>
      <c r="G3173" s="10" t="s">
        <v>23</v>
      </c>
      <c r="H3173" s="7" t="s">
        <v>24</v>
      </c>
      <c r="I3173" s="7" t="s">
        <v>25</v>
      </c>
      <c r="J3173" s="13" t="str">
        <f>HYPERLINK("https://www.airitibooks.com/Detail/Detail?PublicationID=P20170929399", "https://www.airitibooks.com/Detail/Detail?PublicationID=P20170929399")</f>
        <v>https://www.airitibooks.com/Detail/Detail?PublicationID=P20170929399</v>
      </c>
      <c r="K3173" s="13" t="str">
        <f>HYPERLINK("https://ntsu.idm.oclc.org/login?url=https://www.airitibooks.com/Detail/Detail?PublicationID=P20170929399", "https://ntsu.idm.oclc.org/login?url=https://www.airitibooks.com/Detail/Detail?PublicationID=P20170929399")</f>
        <v>https://ntsu.idm.oclc.org/login?url=https://www.airitibooks.com/Detail/Detail?PublicationID=P20170929399</v>
      </c>
    </row>
    <row r="3174" spans="1:11" ht="51" x14ac:dyDescent="0.4">
      <c r="A3174" s="10" t="s">
        <v>7292</v>
      </c>
      <c r="B3174" s="10" t="s">
        <v>7293</v>
      </c>
      <c r="C3174" s="10" t="s">
        <v>7294</v>
      </c>
      <c r="D3174" s="10" t="s">
        <v>7295</v>
      </c>
      <c r="E3174" s="10" t="s">
        <v>4129</v>
      </c>
      <c r="F3174" s="10" t="s">
        <v>3181</v>
      </c>
      <c r="G3174" s="10" t="s">
        <v>23</v>
      </c>
      <c r="H3174" s="7" t="s">
        <v>24</v>
      </c>
      <c r="I3174" s="7" t="s">
        <v>25</v>
      </c>
      <c r="J3174" s="13" t="str">
        <f>HYPERLINK("https://www.airitibooks.com/Detail/Detail?PublicationID=P20171012034", "https://www.airitibooks.com/Detail/Detail?PublicationID=P20171012034")</f>
        <v>https://www.airitibooks.com/Detail/Detail?PublicationID=P20171012034</v>
      </c>
      <c r="K3174" s="13" t="str">
        <f>HYPERLINK("https://ntsu.idm.oclc.org/login?url=https://www.airitibooks.com/Detail/Detail?PublicationID=P20171012034", "https://ntsu.idm.oclc.org/login?url=https://www.airitibooks.com/Detail/Detail?PublicationID=P20171012034")</f>
        <v>https://ntsu.idm.oclc.org/login?url=https://www.airitibooks.com/Detail/Detail?PublicationID=P20171012034</v>
      </c>
    </row>
    <row r="3175" spans="1:11" ht="51" x14ac:dyDescent="0.4">
      <c r="A3175" s="10" t="s">
        <v>7296</v>
      </c>
      <c r="B3175" s="10" t="s">
        <v>7297</v>
      </c>
      <c r="C3175" s="10" t="s">
        <v>3473</v>
      </c>
      <c r="D3175" s="10" t="s">
        <v>3477</v>
      </c>
      <c r="E3175" s="10" t="s">
        <v>4129</v>
      </c>
      <c r="F3175" s="10" t="s">
        <v>7298</v>
      </c>
      <c r="G3175" s="10" t="s">
        <v>23</v>
      </c>
      <c r="H3175" s="7" t="s">
        <v>24</v>
      </c>
      <c r="I3175" s="7" t="s">
        <v>25</v>
      </c>
      <c r="J3175" s="13" t="str">
        <f>HYPERLINK("https://www.airitibooks.com/Detail/Detail?PublicationID=P20171012043", "https://www.airitibooks.com/Detail/Detail?PublicationID=P20171012043")</f>
        <v>https://www.airitibooks.com/Detail/Detail?PublicationID=P20171012043</v>
      </c>
      <c r="K3175" s="13" t="str">
        <f>HYPERLINK("https://ntsu.idm.oclc.org/login?url=https://www.airitibooks.com/Detail/Detail?PublicationID=P20171012043", "https://ntsu.idm.oclc.org/login?url=https://www.airitibooks.com/Detail/Detail?PublicationID=P20171012043")</f>
        <v>https://ntsu.idm.oclc.org/login?url=https://www.airitibooks.com/Detail/Detail?PublicationID=P20171012043</v>
      </c>
    </row>
    <row r="3176" spans="1:11" ht="51" x14ac:dyDescent="0.4">
      <c r="A3176" s="10" t="s">
        <v>7302</v>
      </c>
      <c r="B3176" s="10" t="s">
        <v>7303</v>
      </c>
      <c r="C3176" s="10" t="s">
        <v>3473</v>
      </c>
      <c r="D3176" s="10" t="s">
        <v>3477</v>
      </c>
      <c r="E3176" s="10" t="s">
        <v>4129</v>
      </c>
      <c r="F3176" s="10" t="s">
        <v>7298</v>
      </c>
      <c r="G3176" s="10" t="s">
        <v>23</v>
      </c>
      <c r="H3176" s="7" t="s">
        <v>24</v>
      </c>
      <c r="I3176" s="7" t="s">
        <v>25</v>
      </c>
      <c r="J3176" s="13" t="str">
        <f>HYPERLINK("https://www.airitibooks.com/Detail/Detail?PublicationID=P20171012045", "https://www.airitibooks.com/Detail/Detail?PublicationID=P20171012045")</f>
        <v>https://www.airitibooks.com/Detail/Detail?PublicationID=P20171012045</v>
      </c>
      <c r="K3176" s="13" t="str">
        <f>HYPERLINK("https://ntsu.idm.oclc.org/login?url=https://www.airitibooks.com/Detail/Detail?PublicationID=P20171012045", "https://ntsu.idm.oclc.org/login?url=https://www.airitibooks.com/Detail/Detail?PublicationID=P20171012045")</f>
        <v>https://ntsu.idm.oclc.org/login?url=https://www.airitibooks.com/Detail/Detail?PublicationID=P20171012045</v>
      </c>
    </row>
    <row r="3177" spans="1:11" ht="51" x14ac:dyDescent="0.4">
      <c r="A3177" s="10" t="s">
        <v>7730</v>
      </c>
      <c r="B3177" s="10" t="s">
        <v>7731</v>
      </c>
      <c r="C3177" s="10" t="s">
        <v>791</v>
      </c>
      <c r="D3177" s="10" t="s">
        <v>1103</v>
      </c>
      <c r="E3177" s="10" t="s">
        <v>4129</v>
      </c>
      <c r="F3177" s="10" t="s">
        <v>720</v>
      </c>
      <c r="G3177" s="10" t="s">
        <v>23</v>
      </c>
      <c r="H3177" s="7" t="s">
        <v>24</v>
      </c>
      <c r="I3177" s="7" t="s">
        <v>25</v>
      </c>
      <c r="J3177" s="13" t="str">
        <f>HYPERLINK("https://www.airitibooks.com/Detail/Detail?PublicationID=P20171115281", "https://www.airitibooks.com/Detail/Detail?PublicationID=P20171115281")</f>
        <v>https://www.airitibooks.com/Detail/Detail?PublicationID=P20171115281</v>
      </c>
      <c r="K3177" s="13" t="str">
        <f>HYPERLINK("https://ntsu.idm.oclc.org/login?url=https://www.airitibooks.com/Detail/Detail?PublicationID=P20171115281", "https://ntsu.idm.oclc.org/login?url=https://www.airitibooks.com/Detail/Detail?PublicationID=P20171115281")</f>
        <v>https://ntsu.idm.oclc.org/login?url=https://www.airitibooks.com/Detail/Detail?PublicationID=P20171115281</v>
      </c>
    </row>
    <row r="3178" spans="1:11" ht="51" x14ac:dyDescent="0.4">
      <c r="A3178" s="10" t="s">
        <v>7872</v>
      </c>
      <c r="B3178" s="10" t="s">
        <v>7873</v>
      </c>
      <c r="C3178" s="10" t="s">
        <v>7294</v>
      </c>
      <c r="D3178" s="10" t="s">
        <v>7301</v>
      </c>
      <c r="E3178" s="10" t="s">
        <v>4129</v>
      </c>
      <c r="F3178" s="10" t="s">
        <v>394</v>
      </c>
      <c r="G3178" s="10" t="s">
        <v>23</v>
      </c>
      <c r="H3178" s="7" t="s">
        <v>24</v>
      </c>
      <c r="I3178" s="7" t="s">
        <v>25</v>
      </c>
      <c r="J3178" s="13" t="str">
        <f>HYPERLINK("https://www.airitibooks.com/Detail/Detail?PublicationID=P20171129028", "https://www.airitibooks.com/Detail/Detail?PublicationID=P20171129028")</f>
        <v>https://www.airitibooks.com/Detail/Detail?PublicationID=P20171129028</v>
      </c>
      <c r="K3178" s="13" t="str">
        <f>HYPERLINK("https://ntsu.idm.oclc.org/login?url=https://www.airitibooks.com/Detail/Detail?PublicationID=P20171129028", "https://ntsu.idm.oclc.org/login?url=https://www.airitibooks.com/Detail/Detail?PublicationID=P20171129028")</f>
        <v>https://ntsu.idm.oclc.org/login?url=https://www.airitibooks.com/Detail/Detail?PublicationID=P20171129028</v>
      </c>
    </row>
    <row r="3179" spans="1:11" ht="51" x14ac:dyDescent="0.4">
      <c r="A3179" s="10" t="s">
        <v>7874</v>
      </c>
      <c r="B3179" s="10" t="s">
        <v>7875</v>
      </c>
      <c r="C3179" s="10" t="s">
        <v>3473</v>
      </c>
      <c r="D3179" s="10" t="s">
        <v>7876</v>
      </c>
      <c r="E3179" s="10" t="s">
        <v>4129</v>
      </c>
      <c r="F3179" s="10" t="s">
        <v>720</v>
      </c>
      <c r="G3179" s="10" t="s">
        <v>23</v>
      </c>
      <c r="H3179" s="7" t="s">
        <v>24</v>
      </c>
      <c r="I3179" s="7" t="s">
        <v>25</v>
      </c>
      <c r="J3179" s="13" t="str">
        <f>HYPERLINK("https://www.airitibooks.com/Detail/Detail?PublicationID=P20171129029", "https://www.airitibooks.com/Detail/Detail?PublicationID=P20171129029")</f>
        <v>https://www.airitibooks.com/Detail/Detail?PublicationID=P20171129029</v>
      </c>
      <c r="K3179" s="13" t="str">
        <f>HYPERLINK("https://ntsu.idm.oclc.org/login?url=https://www.airitibooks.com/Detail/Detail?PublicationID=P20171129029", "https://ntsu.idm.oclc.org/login?url=https://www.airitibooks.com/Detail/Detail?PublicationID=P20171129029")</f>
        <v>https://ntsu.idm.oclc.org/login?url=https://www.airitibooks.com/Detail/Detail?PublicationID=P20171129029</v>
      </c>
    </row>
    <row r="3180" spans="1:11" ht="68" x14ac:dyDescent="0.4">
      <c r="A3180" s="10" t="s">
        <v>7914</v>
      </c>
      <c r="B3180" s="10" t="s">
        <v>7915</v>
      </c>
      <c r="C3180" s="10" t="s">
        <v>3473</v>
      </c>
      <c r="D3180" s="10" t="s">
        <v>3497</v>
      </c>
      <c r="E3180" s="10" t="s">
        <v>4129</v>
      </c>
      <c r="F3180" s="10" t="s">
        <v>1427</v>
      </c>
      <c r="G3180" s="10" t="s">
        <v>23</v>
      </c>
      <c r="H3180" s="7" t="s">
        <v>24</v>
      </c>
      <c r="I3180" s="7" t="s">
        <v>25</v>
      </c>
      <c r="J3180" s="13" t="str">
        <f>HYPERLINK("https://www.airitibooks.com/Detail/Detail?PublicationID=P20171129053", "https://www.airitibooks.com/Detail/Detail?PublicationID=P20171129053")</f>
        <v>https://www.airitibooks.com/Detail/Detail?PublicationID=P20171129053</v>
      </c>
      <c r="K3180" s="13" t="str">
        <f>HYPERLINK("https://ntsu.idm.oclc.org/login?url=https://www.airitibooks.com/Detail/Detail?PublicationID=P20171129053", "https://ntsu.idm.oclc.org/login?url=https://www.airitibooks.com/Detail/Detail?PublicationID=P20171129053")</f>
        <v>https://ntsu.idm.oclc.org/login?url=https://www.airitibooks.com/Detail/Detail?PublicationID=P20171129053</v>
      </c>
    </row>
    <row r="3181" spans="1:11" ht="51" x14ac:dyDescent="0.4">
      <c r="A3181" s="10" t="s">
        <v>7918</v>
      </c>
      <c r="B3181" s="10" t="s">
        <v>7919</v>
      </c>
      <c r="C3181" s="10" t="s">
        <v>3473</v>
      </c>
      <c r="D3181" s="10" t="s">
        <v>3477</v>
      </c>
      <c r="E3181" s="10" t="s">
        <v>4129</v>
      </c>
      <c r="F3181" s="10" t="s">
        <v>7920</v>
      </c>
      <c r="G3181" s="10" t="s">
        <v>23</v>
      </c>
      <c r="H3181" s="7" t="s">
        <v>24</v>
      </c>
      <c r="I3181" s="7" t="s">
        <v>25</v>
      </c>
      <c r="J3181" s="13" t="str">
        <f>HYPERLINK("https://www.airitibooks.com/Detail/Detail?PublicationID=P20171129068", "https://www.airitibooks.com/Detail/Detail?PublicationID=P20171129068")</f>
        <v>https://www.airitibooks.com/Detail/Detail?PublicationID=P20171129068</v>
      </c>
      <c r="K3181" s="13" t="str">
        <f>HYPERLINK("https://ntsu.idm.oclc.org/login?url=https://www.airitibooks.com/Detail/Detail?PublicationID=P20171129068", "https://ntsu.idm.oclc.org/login?url=https://www.airitibooks.com/Detail/Detail?PublicationID=P20171129068")</f>
        <v>https://ntsu.idm.oclc.org/login?url=https://www.airitibooks.com/Detail/Detail?PublicationID=P20171129068</v>
      </c>
    </row>
    <row r="3182" spans="1:11" ht="51" x14ac:dyDescent="0.4">
      <c r="A3182" s="10" t="s">
        <v>7990</v>
      </c>
      <c r="B3182" s="10" t="s">
        <v>7991</v>
      </c>
      <c r="C3182" s="10" t="s">
        <v>3473</v>
      </c>
      <c r="D3182" s="10" t="s">
        <v>7992</v>
      </c>
      <c r="E3182" s="10" t="s">
        <v>4129</v>
      </c>
      <c r="F3182" s="10" t="s">
        <v>7993</v>
      </c>
      <c r="G3182" s="10" t="s">
        <v>23</v>
      </c>
      <c r="H3182" s="7" t="s">
        <v>24</v>
      </c>
      <c r="I3182" s="7" t="s">
        <v>25</v>
      </c>
      <c r="J3182" s="13" t="str">
        <f>HYPERLINK("https://www.airitibooks.com/Detail/Detail?PublicationID=P20171129150", "https://www.airitibooks.com/Detail/Detail?PublicationID=P20171129150")</f>
        <v>https://www.airitibooks.com/Detail/Detail?PublicationID=P20171129150</v>
      </c>
      <c r="K3182" s="13" t="str">
        <f>HYPERLINK("https://ntsu.idm.oclc.org/login?url=https://www.airitibooks.com/Detail/Detail?PublicationID=P20171129150", "https://ntsu.idm.oclc.org/login?url=https://www.airitibooks.com/Detail/Detail?PublicationID=P20171129150")</f>
        <v>https://ntsu.idm.oclc.org/login?url=https://www.airitibooks.com/Detail/Detail?PublicationID=P20171129150</v>
      </c>
    </row>
    <row r="3183" spans="1:11" ht="51" x14ac:dyDescent="0.4">
      <c r="A3183" s="10" t="s">
        <v>9082</v>
      </c>
      <c r="B3183" s="10" t="s">
        <v>9083</v>
      </c>
      <c r="C3183" s="10" t="s">
        <v>627</v>
      </c>
      <c r="D3183" s="10" t="s">
        <v>631</v>
      </c>
      <c r="E3183" s="10" t="s">
        <v>4129</v>
      </c>
      <c r="F3183" s="10" t="s">
        <v>1917</v>
      </c>
      <c r="G3183" s="10" t="s">
        <v>23</v>
      </c>
      <c r="H3183" s="7" t="s">
        <v>24</v>
      </c>
      <c r="I3183" s="7" t="s">
        <v>25</v>
      </c>
      <c r="J3183" s="13" t="str">
        <f>HYPERLINK("https://www.airitibooks.com/Detail/Detail?PublicationID=P20180420030", "https://www.airitibooks.com/Detail/Detail?PublicationID=P20180420030")</f>
        <v>https://www.airitibooks.com/Detail/Detail?PublicationID=P20180420030</v>
      </c>
      <c r="K3183" s="13" t="str">
        <f>HYPERLINK("https://ntsu.idm.oclc.org/login?url=https://www.airitibooks.com/Detail/Detail?PublicationID=P20180420030", "https://ntsu.idm.oclc.org/login?url=https://www.airitibooks.com/Detail/Detail?PublicationID=P20180420030")</f>
        <v>https://ntsu.idm.oclc.org/login?url=https://www.airitibooks.com/Detail/Detail?PublicationID=P20180420030</v>
      </c>
    </row>
    <row r="3184" spans="1:11" ht="51" x14ac:dyDescent="0.4">
      <c r="A3184" s="10" t="s">
        <v>9487</v>
      </c>
      <c r="B3184" s="10" t="s">
        <v>9488</v>
      </c>
      <c r="C3184" s="10" t="s">
        <v>5050</v>
      </c>
      <c r="D3184" s="10" t="s">
        <v>9489</v>
      </c>
      <c r="E3184" s="10" t="s">
        <v>4129</v>
      </c>
      <c r="F3184" s="10" t="s">
        <v>250</v>
      </c>
      <c r="G3184" s="10" t="s">
        <v>23</v>
      </c>
      <c r="H3184" s="7" t="s">
        <v>24</v>
      </c>
      <c r="I3184" s="7" t="s">
        <v>25</v>
      </c>
      <c r="J3184" s="13" t="str">
        <f>HYPERLINK("https://www.airitibooks.com/Detail/Detail?PublicationID=P20180627014", "https://www.airitibooks.com/Detail/Detail?PublicationID=P20180627014")</f>
        <v>https://www.airitibooks.com/Detail/Detail?PublicationID=P20180627014</v>
      </c>
      <c r="K3184" s="13" t="str">
        <f>HYPERLINK("https://ntsu.idm.oclc.org/login?url=https://www.airitibooks.com/Detail/Detail?PublicationID=P20180627014", "https://ntsu.idm.oclc.org/login?url=https://www.airitibooks.com/Detail/Detail?PublicationID=P20180627014")</f>
        <v>https://ntsu.idm.oclc.org/login?url=https://www.airitibooks.com/Detail/Detail?PublicationID=P20180627014</v>
      </c>
    </row>
    <row r="3185" spans="1:11" ht="51" x14ac:dyDescent="0.4">
      <c r="A3185" s="10" t="s">
        <v>9490</v>
      </c>
      <c r="B3185" s="10" t="s">
        <v>9491</v>
      </c>
      <c r="C3185" s="10" t="s">
        <v>5050</v>
      </c>
      <c r="D3185" s="10" t="s">
        <v>9489</v>
      </c>
      <c r="E3185" s="10" t="s">
        <v>4129</v>
      </c>
      <c r="F3185" s="10" t="s">
        <v>250</v>
      </c>
      <c r="G3185" s="10" t="s">
        <v>23</v>
      </c>
      <c r="H3185" s="7" t="s">
        <v>24</v>
      </c>
      <c r="I3185" s="7" t="s">
        <v>25</v>
      </c>
      <c r="J3185" s="13" t="str">
        <f>HYPERLINK("https://www.airitibooks.com/Detail/Detail?PublicationID=P20180627015", "https://www.airitibooks.com/Detail/Detail?PublicationID=P20180627015")</f>
        <v>https://www.airitibooks.com/Detail/Detail?PublicationID=P20180627015</v>
      </c>
      <c r="K3185" s="13" t="str">
        <f>HYPERLINK("https://ntsu.idm.oclc.org/login?url=https://www.airitibooks.com/Detail/Detail?PublicationID=P20180627015", "https://ntsu.idm.oclc.org/login?url=https://www.airitibooks.com/Detail/Detail?PublicationID=P20180627015")</f>
        <v>https://ntsu.idm.oclc.org/login?url=https://www.airitibooks.com/Detail/Detail?PublicationID=P20180627015</v>
      </c>
    </row>
    <row r="3186" spans="1:11" ht="51" x14ac:dyDescent="0.4">
      <c r="A3186" s="10" t="s">
        <v>9502</v>
      </c>
      <c r="B3186" s="10" t="s">
        <v>9503</v>
      </c>
      <c r="C3186" s="10" t="s">
        <v>5050</v>
      </c>
      <c r="D3186" s="10" t="s">
        <v>9504</v>
      </c>
      <c r="E3186" s="10" t="s">
        <v>4129</v>
      </c>
      <c r="F3186" s="10" t="s">
        <v>762</v>
      </c>
      <c r="G3186" s="10" t="s">
        <v>23</v>
      </c>
      <c r="H3186" s="7" t="s">
        <v>24</v>
      </c>
      <c r="I3186" s="7" t="s">
        <v>25</v>
      </c>
      <c r="J3186" s="13" t="str">
        <f>HYPERLINK("https://www.airitibooks.com/Detail/Detail?PublicationID=P20180627048", "https://www.airitibooks.com/Detail/Detail?PublicationID=P20180627048")</f>
        <v>https://www.airitibooks.com/Detail/Detail?PublicationID=P20180627048</v>
      </c>
      <c r="K3186" s="13" t="str">
        <f>HYPERLINK("https://ntsu.idm.oclc.org/login?url=https://www.airitibooks.com/Detail/Detail?PublicationID=P20180627048", "https://ntsu.idm.oclc.org/login?url=https://www.airitibooks.com/Detail/Detail?PublicationID=P20180627048")</f>
        <v>https://ntsu.idm.oclc.org/login?url=https://www.airitibooks.com/Detail/Detail?PublicationID=P20180627048</v>
      </c>
    </row>
    <row r="3187" spans="1:11" ht="51" x14ac:dyDescent="0.4">
      <c r="A3187" s="10" t="s">
        <v>9553</v>
      </c>
      <c r="B3187" s="10" t="s">
        <v>9554</v>
      </c>
      <c r="C3187" s="10" t="s">
        <v>5050</v>
      </c>
      <c r="D3187" s="10" t="s">
        <v>6943</v>
      </c>
      <c r="E3187" s="10" t="s">
        <v>4129</v>
      </c>
      <c r="F3187" s="10" t="s">
        <v>299</v>
      </c>
      <c r="G3187" s="10" t="s">
        <v>23</v>
      </c>
      <c r="H3187" s="7" t="s">
        <v>24</v>
      </c>
      <c r="I3187" s="7" t="s">
        <v>25</v>
      </c>
      <c r="J3187" s="13" t="str">
        <f>HYPERLINK("https://www.airitibooks.com/Detail/Detail?PublicationID=P20180703016", "https://www.airitibooks.com/Detail/Detail?PublicationID=P20180703016")</f>
        <v>https://www.airitibooks.com/Detail/Detail?PublicationID=P20180703016</v>
      </c>
      <c r="K3187" s="13" t="str">
        <f>HYPERLINK("https://ntsu.idm.oclc.org/login?url=https://www.airitibooks.com/Detail/Detail?PublicationID=P20180703016", "https://ntsu.idm.oclc.org/login?url=https://www.airitibooks.com/Detail/Detail?PublicationID=P20180703016")</f>
        <v>https://ntsu.idm.oclc.org/login?url=https://www.airitibooks.com/Detail/Detail?PublicationID=P20180703016</v>
      </c>
    </row>
    <row r="3188" spans="1:11" ht="51" x14ac:dyDescent="0.4">
      <c r="A3188" s="10" t="s">
        <v>9655</v>
      </c>
      <c r="B3188" s="10" t="s">
        <v>9656</v>
      </c>
      <c r="C3188" s="10" t="s">
        <v>240</v>
      </c>
      <c r="D3188" s="10" t="s">
        <v>9657</v>
      </c>
      <c r="E3188" s="10" t="s">
        <v>4129</v>
      </c>
      <c r="F3188" s="10" t="s">
        <v>565</v>
      </c>
      <c r="G3188" s="10" t="s">
        <v>23</v>
      </c>
      <c r="H3188" s="7" t="s">
        <v>24</v>
      </c>
      <c r="I3188" s="7" t="s">
        <v>25</v>
      </c>
      <c r="J3188" s="13" t="str">
        <f>HYPERLINK("https://www.airitibooks.com/Detail/Detail?PublicationID=P20180814082", "https://www.airitibooks.com/Detail/Detail?PublicationID=P20180814082")</f>
        <v>https://www.airitibooks.com/Detail/Detail?PublicationID=P20180814082</v>
      </c>
      <c r="K3188" s="13" t="str">
        <f>HYPERLINK("https://ntsu.idm.oclc.org/login?url=https://www.airitibooks.com/Detail/Detail?PublicationID=P20180814082", "https://ntsu.idm.oclc.org/login?url=https://www.airitibooks.com/Detail/Detail?PublicationID=P20180814082")</f>
        <v>https://ntsu.idm.oclc.org/login?url=https://www.airitibooks.com/Detail/Detail?PublicationID=P20180814082</v>
      </c>
    </row>
    <row r="3189" spans="1:11" ht="51" x14ac:dyDescent="0.4">
      <c r="A3189" s="10" t="s">
        <v>9662</v>
      </c>
      <c r="B3189" s="10" t="s">
        <v>9663</v>
      </c>
      <c r="C3189" s="10" t="s">
        <v>9664</v>
      </c>
      <c r="D3189" s="10" t="s">
        <v>9665</v>
      </c>
      <c r="E3189" s="10" t="s">
        <v>4129</v>
      </c>
      <c r="F3189" s="10" t="s">
        <v>9666</v>
      </c>
      <c r="G3189" s="10" t="s">
        <v>23</v>
      </c>
      <c r="H3189" s="7" t="s">
        <v>24</v>
      </c>
      <c r="I3189" s="7" t="s">
        <v>25</v>
      </c>
      <c r="J3189" s="13" t="str">
        <f>HYPERLINK("https://www.airitibooks.com/Detail/Detail?PublicationID=P20180815011", "https://www.airitibooks.com/Detail/Detail?PublicationID=P20180815011")</f>
        <v>https://www.airitibooks.com/Detail/Detail?PublicationID=P20180815011</v>
      </c>
      <c r="K3189" s="13" t="str">
        <f>HYPERLINK("https://ntsu.idm.oclc.org/login?url=https://www.airitibooks.com/Detail/Detail?PublicationID=P20180815011", "https://ntsu.idm.oclc.org/login?url=https://www.airitibooks.com/Detail/Detail?PublicationID=P20180815011")</f>
        <v>https://ntsu.idm.oclc.org/login?url=https://www.airitibooks.com/Detail/Detail?PublicationID=P20180815011</v>
      </c>
    </row>
    <row r="3190" spans="1:11" ht="51" x14ac:dyDescent="0.4">
      <c r="A3190" s="10" t="s">
        <v>9667</v>
      </c>
      <c r="B3190" s="10" t="s">
        <v>9668</v>
      </c>
      <c r="C3190" s="10" t="s">
        <v>9631</v>
      </c>
      <c r="D3190" s="10" t="s">
        <v>7340</v>
      </c>
      <c r="E3190" s="10" t="s">
        <v>4129</v>
      </c>
      <c r="F3190" s="10" t="s">
        <v>9669</v>
      </c>
      <c r="G3190" s="10" t="s">
        <v>23</v>
      </c>
      <c r="H3190" s="7" t="s">
        <v>24</v>
      </c>
      <c r="I3190" s="7" t="s">
        <v>25</v>
      </c>
      <c r="J3190" s="13" t="str">
        <f>HYPERLINK("https://www.airitibooks.com/Detail/Detail?PublicationID=P20180815024", "https://www.airitibooks.com/Detail/Detail?PublicationID=P20180815024")</f>
        <v>https://www.airitibooks.com/Detail/Detail?PublicationID=P20180815024</v>
      </c>
      <c r="K3190" s="13" t="str">
        <f>HYPERLINK("https://ntsu.idm.oclc.org/login?url=https://www.airitibooks.com/Detail/Detail?PublicationID=P20180815024", "https://ntsu.idm.oclc.org/login?url=https://www.airitibooks.com/Detail/Detail?PublicationID=P20180815024")</f>
        <v>https://ntsu.idm.oclc.org/login?url=https://www.airitibooks.com/Detail/Detail?PublicationID=P20180815024</v>
      </c>
    </row>
    <row r="3191" spans="1:11" ht="102" x14ac:dyDescent="0.4">
      <c r="A3191" s="10" t="s">
        <v>10353</v>
      </c>
      <c r="B3191" s="10" t="s">
        <v>10354</v>
      </c>
      <c r="C3191" s="10" t="s">
        <v>5901</v>
      </c>
      <c r="D3191" s="10" t="s">
        <v>10355</v>
      </c>
      <c r="E3191" s="10" t="s">
        <v>4129</v>
      </c>
      <c r="F3191" s="10" t="s">
        <v>10349</v>
      </c>
      <c r="G3191" s="10" t="s">
        <v>23</v>
      </c>
      <c r="H3191" s="7" t="s">
        <v>24</v>
      </c>
      <c r="I3191" s="7" t="s">
        <v>25</v>
      </c>
      <c r="J3191" s="13" t="str">
        <f>HYPERLINK("https://www.airitibooks.com/Detail/Detail?PublicationID=P20181214036", "https://www.airitibooks.com/Detail/Detail?PublicationID=P20181214036")</f>
        <v>https://www.airitibooks.com/Detail/Detail?PublicationID=P20181214036</v>
      </c>
      <c r="K3191" s="13" t="str">
        <f>HYPERLINK("https://ntsu.idm.oclc.org/login?url=https://www.airitibooks.com/Detail/Detail?PublicationID=P20181214036", "https://ntsu.idm.oclc.org/login?url=https://www.airitibooks.com/Detail/Detail?PublicationID=P20181214036")</f>
        <v>https://ntsu.idm.oclc.org/login?url=https://www.airitibooks.com/Detail/Detail?PublicationID=P20181214036</v>
      </c>
    </row>
    <row r="3192" spans="1:11" ht="51" x14ac:dyDescent="0.4">
      <c r="A3192" s="10" t="s">
        <v>10868</v>
      </c>
      <c r="B3192" s="10" t="s">
        <v>10869</v>
      </c>
      <c r="C3192" s="10" t="s">
        <v>10640</v>
      </c>
      <c r="D3192" s="10" t="s">
        <v>10641</v>
      </c>
      <c r="E3192" s="10" t="s">
        <v>4129</v>
      </c>
      <c r="F3192" s="10" t="s">
        <v>3575</v>
      </c>
      <c r="G3192" s="10" t="s">
        <v>23</v>
      </c>
      <c r="H3192" s="7" t="s">
        <v>24</v>
      </c>
      <c r="I3192" s="7" t="s">
        <v>25</v>
      </c>
      <c r="J3192" s="13" t="str">
        <f>HYPERLINK("https://www.airitibooks.com/Detail/Detail?PublicationID=P20190222017", "https://www.airitibooks.com/Detail/Detail?PublicationID=P20190222017")</f>
        <v>https://www.airitibooks.com/Detail/Detail?PublicationID=P20190222017</v>
      </c>
      <c r="K3192" s="13" t="str">
        <f>HYPERLINK("https://ntsu.idm.oclc.org/login?url=https://www.airitibooks.com/Detail/Detail?PublicationID=P20190222017", "https://ntsu.idm.oclc.org/login?url=https://www.airitibooks.com/Detail/Detail?PublicationID=P20190222017")</f>
        <v>https://ntsu.idm.oclc.org/login?url=https://www.airitibooks.com/Detail/Detail?PublicationID=P20190222017</v>
      </c>
    </row>
    <row r="3193" spans="1:11" ht="51" x14ac:dyDescent="0.4">
      <c r="A3193" s="10" t="s">
        <v>11223</v>
      </c>
      <c r="B3193" s="10" t="s">
        <v>11224</v>
      </c>
      <c r="C3193" s="10" t="s">
        <v>2441</v>
      </c>
      <c r="D3193" s="10" t="s">
        <v>11225</v>
      </c>
      <c r="E3193" s="10" t="s">
        <v>4129</v>
      </c>
      <c r="F3193" s="10" t="s">
        <v>4429</v>
      </c>
      <c r="G3193" s="10" t="s">
        <v>23</v>
      </c>
      <c r="H3193" s="7" t="s">
        <v>24</v>
      </c>
      <c r="I3193" s="7" t="s">
        <v>25</v>
      </c>
      <c r="J3193" s="13" t="str">
        <f>HYPERLINK("https://www.airitibooks.com/Detail/Detail?PublicationID=P20190503017", "https://www.airitibooks.com/Detail/Detail?PublicationID=P20190503017")</f>
        <v>https://www.airitibooks.com/Detail/Detail?PublicationID=P20190503017</v>
      </c>
      <c r="K3193" s="13" t="str">
        <f>HYPERLINK("https://ntsu.idm.oclc.org/login?url=https://www.airitibooks.com/Detail/Detail?PublicationID=P20190503017", "https://ntsu.idm.oclc.org/login?url=https://www.airitibooks.com/Detail/Detail?PublicationID=P20190503017")</f>
        <v>https://ntsu.idm.oclc.org/login?url=https://www.airitibooks.com/Detail/Detail?PublicationID=P20190503017</v>
      </c>
    </row>
    <row r="3194" spans="1:11" ht="51" x14ac:dyDescent="0.4">
      <c r="A3194" s="10" t="s">
        <v>11921</v>
      </c>
      <c r="B3194" s="10" t="s">
        <v>11922</v>
      </c>
      <c r="C3194" s="10" t="s">
        <v>7294</v>
      </c>
      <c r="D3194" s="10" t="s">
        <v>11923</v>
      </c>
      <c r="E3194" s="10" t="s">
        <v>4129</v>
      </c>
      <c r="F3194" s="10" t="s">
        <v>214</v>
      </c>
      <c r="G3194" s="10" t="s">
        <v>23</v>
      </c>
      <c r="H3194" s="7" t="s">
        <v>24</v>
      </c>
      <c r="I3194" s="7" t="s">
        <v>25</v>
      </c>
      <c r="J3194" s="13" t="str">
        <f>HYPERLINK("https://www.airitibooks.com/Detail/Detail?PublicationID=P20190705031", "https://www.airitibooks.com/Detail/Detail?PublicationID=P20190705031")</f>
        <v>https://www.airitibooks.com/Detail/Detail?PublicationID=P20190705031</v>
      </c>
      <c r="K3194" s="13" t="str">
        <f>HYPERLINK("https://ntsu.idm.oclc.org/login?url=https://www.airitibooks.com/Detail/Detail?PublicationID=P20190705031", "https://ntsu.idm.oclc.org/login?url=https://www.airitibooks.com/Detail/Detail?PublicationID=P20190705031")</f>
        <v>https://ntsu.idm.oclc.org/login?url=https://www.airitibooks.com/Detail/Detail?PublicationID=P20190705031</v>
      </c>
    </row>
    <row r="3195" spans="1:11" ht="51" x14ac:dyDescent="0.4">
      <c r="A3195" s="10" t="s">
        <v>14109</v>
      </c>
      <c r="B3195" s="10" t="s">
        <v>14110</v>
      </c>
      <c r="C3195" s="10" t="s">
        <v>13223</v>
      </c>
      <c r="D3195" s="10" t="s">
        <v>14111</v>
      </c>
      <c r="E3195" s="10" t="s">
        <v>4129</v>
      </c>
      <c r="F3195" s="10" t="s">
        <v>7447</v>
      </c>
      <c r="G3195" s="10" t="s">
        <v>23</v>
      </c>
      <c r="H3195" s="7" t="s">
        <v>1031</v>
      </c>
      <c r="I3195" s="7" t="s">
        <v>25</v>
      </c>
      <c r="J3195" s="13" t="str">
        <f>HYPERLINK("https://www.airitibooks.com/Detail/Detail?PublicationID=P20200514224", "https://www.airitibooks.com/Detail/Detail?PublicationID=P20200514224")</f>
        <v>https://www.airitibooks.com/Detail/Detail?PublicationID=P20200514224</v>
      </c>
      <c r="K3195" s="13" t="str">
        <f>HYPERLINK("https://ntsu.idm.oclc.org/login?url=https://www.airitibooks.com/Detail/Detail?PublicationID=P20200514224", "https://ntsu.idm.oclc.org/login?url=https://www.airitibooks.com/Detail/Detail?PublicationID=P20200514224")</f>
        <v>https://ntsu.idm.oclc.org/login?url=https://www.airitibooks.com/Detail/Detail?PublicationID=P20200514224</v>
      </c>
    </row>
    <row r="3196" spans="1:11" ht="51" x14ac:dyDescent="0.4">
      <c r="A3196" s="10" t="s">
        <v>14364</v>
      </c>
      <c r="B3196" s="10" t="s">
        <v>14365</v>
      </c>
      <c r="C3196" s="10" t="s">
        <v>14330</v>
      </c>
      <c r="D3196" s="10" t="s">
        <v>14366</v>
      </c>
      <c r="E3196" s="10" t="s">
        <v>4129</v>
      </c>
      <c r="F3196" s="10" t="s">
        <v>2484</v>
      </c>
      <c r="G3196" s="10" t="s">
        <v>23</v>
      </c>
      <c r="H3196" s="7" t="s">
        <v>1031</v>
      </c>
      <c r="I3196" s="7" t="s">
        <v>25</v>
      </c>
      <c r="J3196" s="13" t="str">
        <f>HYPERLINK("https://www.airitibooks.com/Detail/Detail?PublicationID=P20200612325", "https://www.airitibooks.com/Detail/Detail?PublicationID=P20200612325")</f>
        <v>https://www.airitibooks.com/Detail/Detail?PublicationID=P20200612325</v>
      </c>
      <c r="K3196" s="13" t="str">
        <f>HYPERLINK("https://ntsu.idm.oclc.org/login?url=https://www.airitibooks.com/Detail/Detail?PublicationID=P20200612325", "https://ntsu.idm.oclc.org/login?url=https://www.airitibooks.com/Detail/Detail?PublicationID=P20200612325")</f>
        <v>https://ntsu.idm.oclc.org/login?url=https://www.airitibooks.com/Detail/Detail?PublicationID=P20200612325</v>
      </c>
    </row>
    <row r="3197" spans="1:11" ht="68" x14ac:dyDescent="0.4">
      <c r="A3197" s="10" t="s">
        <v>4404</v>
      </c>
      <c r="B3197" s="10" t="s">
        <v>4405</v>
      </c>
      <c r="C3197" s="10" t="s">
        <v>1484</v>
      </c>
      <c r="D3197" s="10" t="s">
        <v>4406</v>
      </c>
      <c r="E3197" s="10" t="s">
        <v>4129</v>
      </c>
      <c r="F3197" s="10" t="s">
        <v>4407</v>
      </c>
      <c r="G3197" s="10" t="s">
        <v>32</v>
      </c>
      <c r="H3197" s="7" t="s">
        <v>24</v>
      </c>
      <c r="I3197" s="7" t="s">
        <v>25</v>
      </c>
      <c r="J3197" s="13" t="str">
        <f>HYPERLINK("https://www.airitibooks.com/Detail/Detail?PublicationID=P20160319063", "https://www.airitibooks.com/Detail/Detail?PublicationID=P20160319063")</f>
        <v>https://www.airitibooks.com/Detail/Detail?PublicationID=P20160319063</v>
      </c>
      <c r="K3197" s="13" t="str">
        <f>HYPERLINK("https://ntsu.idm.oclc.org/login?url=https://www.airitibooks.com/Detail/Detail?PublicationID=P20160319063", "https://ntsu.idm.oclc.org/login?url=https://www.airitibooks.com/Detail/Detail?PublicationID=P20160319063")</f>
        <v>https://ntsu.idm.oclc.org/login?url=https://www.airitibooks.com/Detail/Detail?PublicationID=P20160319063</v>
      </c>
    </row>
    <row r="3198" spans="1:11" ht="51" x14ac:dyDescent="0.4">
      <c r="A3198" s="10" t="s">
        <v>4508</v>
      </c>
      <c r="B3198" s="10" t="s">
        <v>4509</v>
      </c>
      <c r="C3198" s="10" t="s">
        <v>838</v>
      </c>
      <c r="D3198" s="10" t="s">
        <v>4510</v>
      </c>
      <c r="E3198" s="10" t="s">
        <v>4129</v>
      </c>
      <c r="F3198" s="10" t="s">
        <v>4511</v>
      </c>
      <c r="G3198" s="10" t="s">
        <v>32</v>
      </c>
      <c r="H3198" s="7" t="s">
        <v>24</v>
      </c>
      <c r="I3198" s="7" t="s">
        <v>25</v>
      </c>
      <c r="J3198" s="13" t="str">
        <f>HYPERLINK("https://www.airitibooks.com/Detail/Detail?PublicationID=P20160421126", "https://www.airitibooks.com/Detail/Detail?PublicationID=P20160421126")</f>
        <v>https://www.airitibooks.com/Detail/Detail?PublicationID=P20160421126</v>
      </c>
      <c r="K3198" s="13" t="str">
        <f>HYPERLINK("https://ntsu.idm.oclc.org/login?url=https://www.airitibooks.com/Detail/Detail?PublicationID=P20160421126", "https://ntsu.idm.oclc.org/login?url=https://www.airitibooks.com/Detail/Detail?PublicationID=P20160421126")</f>
        <v>https://ntsu.idm.oclc.org/login?url=https://www.airitibooks.com/Detail/Detail?PublicationID=P20160421126</v>
      </c>
    </row>
    <row r="3199" spans="1:11" ht="51" x14ac:dyDescent="0.4">
      <c r="A3199" s="10" t="s">
        <v>4614</v>
      </c>
      <c r="B3199" s="10" t="s">
        <v>4615</v>
      </c>
      <c r="C3199" s="10" t="s">
        <v>4616</v>
      </c>
      <c r="D3199" s="10" t="s">
        <v>4617</v>
      </c>
      <c r="E3199" s="10" t="s">
        <v>4129</v>
      </c>
      <c r="F3199" s="10" t="s">
        <v>2856</v>
      </c>
      <c r="G3199" s="10" t="s">
        <v>32</v>
      </c>
      <c r="H3199" s="7" t="s">
        <v>24</v>
      </c>
      <c r="I3199" s="7" t="s">
        <v>25</v>
      </c>
      <c r="J3199" s="13" t="str">
        <f>HYPERLINK("https://www.airitibooks.com/Detail/Detail?PublicationID=P20160531001", "https://www.airitibooks.com/Detail/Detail?PublicationID=P20160531001")</f>
        <v>https://www.airitibooks.com/Detail/Detail?PublicationID=P20160531001</v>
      </c>
      <c r="K3199" s="13" t="str">
        <f>HYPERLINK("https://ntsu.idm.oclc.org/login?url=https://www.airitibooks.com/Detail/Detail?PublicationID=P20160531001", "https://ntsu.idm.oclc.org/login?url=https://www.airitibooks.com/Detail/Detail?PublicationID=P20160531001")</f>
        <v>https://ntsu.idm.oclc.org/login?url=https://www.airitibooks.com/Detail/Detail?PublicationID=P20160531001</v>
      </c>
    </row>
    <row r="3200" spans="1:11" ht="51" x14ac:dyDescent="0.4">
      <c r="A3200" s="10" t="s">
        <v>4746</v>
      </c>
      <c r="B3200" s="10" t="s">
        <v>4747</v>
      </c>
      <c r="C3200" s="10" t="s">
        <v>4609</v>
      </c>
      <c r="D3200" s="10" t="s">
        <v>4748</v>
      </c>
      <c r="E3200" s="10" t="s">
        <v>4129</v>
      </c>
      <c r="F3200" s="10" t="s">
        <v>4749</v>
      </c>
      <c r="G3200" s="10" t="s">
        <v>32</v>
      </c>
      <c r="H3200" s="7" t="s">
        <v>24</v>
      </c>
      <c r="I3200" s="7" t="s">
        <v>25</v>
      </c>
      <c r="J3200" s="13" t="str">
        <f>HYPERLINK("https://www.airitibooks.com/Detail/Detail?PublicationID=P20160614001", "https://www.airitibooks.com/Detail/Detail?PublicationID=P20160614001")</f>
        <v>https://www.airitibooks.com/Detail/Detail?PublicationID=P20160614001</v>
      </c>
      <c r="K3200" s="13" t="str">
        <f>HYPERLINK("https://ntsu.idm.oclc.org/login?url=https://www.airitibooks.com/Detail/Detail?PublicationID=P20160614001", "https://ntsu.idm.oclc.org/login?url=https://www.airitibooks.com/Detail/Detail?PublicationID=P20160614001")</f>
        <v>https://ntsu.idm.oclc.org/login?url=https://www.airitibooks.com/Detail/Detail?PublicationID=P20160614001</v>
      </c>
    </row>
    <row r="3201" spans="1:11" ht="51" x14ac:dyDescent="0.4">
      <c r="A3201" s="10" t="s">
        <v>4783</v>
      </c>
      <c r="B3201" s="10" t="s">
        <v>4784</v>
      </c>
      <c r="C3201" s="10" t="s">
        <v>1253</v>
      </c>
      <c r="D3201" s="10" t="s">
        <v>4785</v>
      </c>
      <c r="E3201" s="10" t="s">
        <v>4129</v>
      </c>
      <c r="F3201" s="10" t="s">
        <v>181</v>
      </c>
      <c r="G3201" s="10" t="s">
        <v>32</v>
      </c>
      <c r="H3201" s="7" t="s">
        <v>24</v>
      </c>
      <c r="I3201" s="7" t="s">
        <v>25</v>
      </c>
      <c r="J3201" s="13" t="str">
        <f>HYPERLINK("https://www.airitibooks.com/Detail/Detail?PublicationID=P20160705001", "https://www.airitibooks.com/Detail/Detail?PublicationID=P20160705001")</f>
        <v>https://www.airitibooks.com/Detail/Detail?PublicationID=P20160705001</v>
      </c>
      <c r="K3201" s="13" t="str">
        <f>HYPERLINK("https://ntsu.idm.oclc.org/login?url=https://www.airitibooks.com/Detail/Detail?PublicationID=P20160705001", "https://ntsu.idm.oclc.org/login?url=https://www.airitibooks.com/Detail/Detail?PublicationID=P20160705001")</f>
        <v>https://ntsu.idm.oclc.org/login?url=https://www.airitibooks.com/Detail/Detail?PublicationID=P20160705001</v>
      </c>
    </row>
    <row r="3202" spans="1:11" ht="51" x14ac:dyDescent="0.4">
      <c r="A3202" s="10" t="s">
        <v>4827</v>
      </c>
      <c r="B3202" s="10" t="s">
        <v>4828</v>
      </c>
      <c r="C3202" s="10" t="s">
        <v>3670</v>
      </c>
      <c r="D3202" s="10" t="s">
        <v>3629</v>
      </c>
      <c r="E3202" s="10" t="s">
        <v>4129</v>
      </c>
      <c r="F3202" s="10" t="s">
        <v>3619</v>
      </c>
      <c r="G3202" s="10" t="s">
        <v>32</v>
      </c>
      <c r="H3202" s="7" t="s">
        <v>24</v>
      </c>
      <c r="I3202" s="7" t="s">
        <v>25</v>
      </c>
      <c r="J3202" s="13" t="str">
        <f>HYPERLINK("https://www.airitibooks.com/Detail/Detail?PublicationID=P20160715119", "https://www.airitibooks.com/Detail/Detail?PublicationID=P20160715119")</f>
        <v>https://www.airitibooks.com/Detail/Detail?PublicationID=P20160715119</v>
      </c>
      <c r="K3202" s="13" t="str">
        <f>HYPERLINK("https://ntsu.idm.oclc.org/login?url=https://www.airitibooks.com/Detail/Detail?PublicationID=P20160715119", "https://ntsu.idm.oclc.org/login?url=https://www.airitibooks.com/Detail/Detail?PublicationID=P20160715119")</f>
        <v>https://ntsu.idm.oclc.org/login?url=https://www.airitibooks.com/Detail/Detail?PublicationID=P20160715119</v>
      </c>
    </row>
    <row r="3203" spans="1:11" ht="51" x14ac:dyDescent="0.4">
      <c r="A3203" s="10" t="s">
        <v>4829</v>
      </c>
      <c r="B3203" s="10" t="s">
        <v>4830</v>
      </c>
      <c r="C3203" s="10" t="s">
        <v>3670</v>
      </c>
      <c r="D3203" s="10" t="s">
        <v>4831</v>
      </c>
      <c r="E3203" s="10" t="s">
        <v>4129</v>
      </c>
      <c r="F3203" s="10" t="s">
        <v>172</v>
      </c>
      <c r="G3203" s="10" t="s">
        <v>32</v>
      </c>
      <c r="H3203" s="7" t="s">
        <v>24</v>
      </c>
      <c r="I3203" s="7" t="s">
        <v>25</v>
      </c>
      <c r="J3203" s="13" t="str">
        <f>HYPERLINK("https://www.airitibooks.com/Detail/Detail?PublicationID=P20160715121", "https://www.airitibooks.com/Detail/Detail?PublicationID=P20160715121")</f>
        <v>https://www.airitibooks.com/Detail/Detail?PublicationID=P20160715121</v>
      </c>
      <c r="K3203" s="13" t="str">
        <f>HYPERLINK("https://ntsu.idm.oclc.org/login?url=https://www.airitibooks.com/Detail/Detail?PublicationID=P20160715121", "https://ntsu.idm.oclc.org/login?url=https://www.airitibooks.com/Detail/Detail?PublicationID=P20160715121")</f>
        <v>https://ntsu.idm.oclc.org/login?url=https://www.airitibooks.com/Detail/Detail?PublicationID=P20160715121</v>
      </c>
    </row>
    <row r="3204" spans="1:11" ht="68" x14ac:dyDescent="0.4">
      <c r="A3204" s="10" t="s">
        <v>4840</v>
      </c>
      <c r="B3204" s="10" t="s">
        <v>4841</v>
      </c>
      <c r="C3204" s="10" t="s">
        <v>2367</v>
      </c>
      <c r="D3204" s="10" t="s">
        <v>2368</v>
      </c>
      <c r="E3204" s="10" t="s">
        <v>4129</v>
      </c>
      <c r="F3204" s="10" t="s">
        <v>4842</v>
      </c>
      <c r="G3204" s="10" t="s">
        <v>32</v>
      </c>
      <c r="H3204" s="7" t="s">
        <v>24</v>
      </c>
      <c r="I3204" s="7" t="s">
        <v>25</v>
      </c>
      <c r="J3204" s="13" t="str">
        <f>HYPERLINK("https://www.airitibooks.com/Detail/Detail?PublicationID=P20160715134", "https://www.airitibooks.com/Detail/Detail?PublicationID=P20160715134")</f>
        <v>https://www.airitibooks.com/Detail/Detail?PublicationID=P20160715134</v>
      </c>
      <c r="K3204" s="13" t="str">
        <f>HYPERLINK("https://ntsu.idm.oclc.org/login?url=https://www.airitibooks.com/Detail/Detail?PublicationID=P20160715134", "https://ntsu.idm.oclc.org/login?url=https://www.airitibooks.com/Detail/Detail?PublicationID=P20160715134")</f>
        <v>https://ntsu.idm.oclc.org/login?url=https://www.airitibooks.com/Detail/Detail?PublicationID=P20160715134</v>
      </c>
    </row>
    <row r="3205" spans="1:11" ht="51" x14ac:dyDescent="0.4">
      <c r="A3205" s="10" t="s">
        <v>4845</v>
      </c>
      <c r="B3205" s="10" t="s">
        <v>4846</v>
      </c>
      <c r="C3205" s="10" t="s">
        <v>3670</v>
      </c>
      <c r="D3205" s="10" t="s">
        <v>2368</v>
      </c>
      <c r="E3205" s="10" t="s">
        <v>4129</v>
      </c>
      <c r="F3205" s="10" t="s">
        <v>1535</v>
      </c>
      <c r="G3205" s="10" t="s">
        <v>32</v>
      </c>
      <c r="H3205" s="7" t="s">
        <v>24</v>
      </c>
      <c r="I3205" s="7" t="s">
        <v>25</v>
      </c>
      <c r="J3205" s="13" t="str">
        <f>HYPERLINK("https://www.airitibooks.com/Detail/Detail?PublicationID=P20160715139", "https://www.airitibooks.com/Detail/Detail?PublicationID=P20160715139")</f>
        <v>https://www.airitibooks.com/Detail/Detail?PublicationID=P20160715139</v>
      </c>
      <c r="K3205" s="13" t="str">
        <f>HYPERLINK("https://ntsu.idm.oclc.org/login?url=https://www.airitibooks.com/Detail/Detail?PublicationID=P20160715139", "https://ntsu.idm.oclc.org/login?url=https://www.airitibooks.com/Detail/Detail?PublicationID=P20160715139")</f>
        <v>https://ntsu.idm.oclc.org/login?url=https://www.airitibooks.com/Detail/Detail?PublicationID=P20160715139</v>
      </c>
    </row>
    <row r="3206" spans="1:11" ht="68" x14ac:dyDescent="0.4">
      <c r="A3206" s="10" t="s">
        <v>4847</v>
      </c>
      <c r="B3206" s="10" t="s">
        <v>4848</v>
      </c>
      <c r="C3206" s="10" t="s">
        <v>3670</v>
      </c>
      <c r="D3206" s="10" t="s">
        <v>3629</v>
      </c>
      <c r="E3206" s="10" t="s">
        <v>4129</v>
      </c>
      <c r="F3206" s="10" t="s">
        <v>4849</v>
      </c>
      <c r="G3206" s="10" t="s">
        <v>32</v>
      </c>
      <c r="H3206" s="7" t="s">
        <v>24</v>
      </c>
      <c r="I3206" s="7" t="s">
        <v>25</v>
      </c>
      <c r="J3206" s="13" t="str">
        <f>HYPERLINK("https://www.airitibooks.com/Detail/Detail?PublicationID=P20160715141", "https://www.airitibooks.com/Detail/Detail?PublicationID=P20160715141")</f>
        <v>https://www.airitibooks.com/Detail/Detail?PublicationID=P20160715141</v>
      </c>
      <c r="K3206" s="13" t="str">
        <f>HYPERLINK("https://ntsu.idm.oclc.org/login?url=https://www.airitibooks.com/Detail/Detail?PublicationID=P20160715141", "https://ntsu.idm.oclc.org/login?url=https://www.airitibooks.com/Detail/Detail?PublicationID=P20160715141")</f>
        <v>https://ntsu.idm.oclc.org/login?url=https://www.airitibooks.com/Detail/Detail?PublicationID=P20160715141</v>
      </c>
    </row>
    <row r="3207" spans="1:11" ht="51" x14ac:dyDescent="0.4">
      <c r="A3207" s="10" t="s">
        <v>4850</v>
      </c>
      <c r="B3207" s="10" t="s">
        <v>4851</v>
      </c>
      <c r="C3207" s="10" t="s">
        <v>3670</v>
      </c>
      <c r="D3207" s="10" t="s">
        <v>3629</v>
      </c>
      <c r="E3207" s="10" t="s">
        <v>4129</v>
      </c>
      <c r="F3207" s="10" t="s">
        <v>4849</v>
      </c>
      <c r="G3207" s="10" t="s">
        <v>32</v>
      </c>
      <c r="H3207" s="7" t="s">
        <v>24</v>
      </c>
      <c r="I3207" s="7" t="s">
        <v>25</v>
      </c>
      <c r="J3207" s="13" t="str">
        <f>HYPERLINK("https://www.airitibooks.com/Detail/Detail?PublicationID=P20160715142", "https://www.airitibooks.com/Detail/Detail?PublicationID=P20160715142")</f>
        <v>https://www.airitibooks.com/Detail/Detail?PublicationID=P20160715142</v>
      </c>
      <c r="K3207" s="13" t="str">
        <f>HYPERLINK("https://ntsu.idm.oclc.org/login?url=https://www.airitibooks.com/Detail/Detail?PublicationID=P20160715142", "https://ntsu.idm.oclc.org/login?url=https://www.airitibooks.com/Detail/Detail?PublicationID=P20160715142")</f>
        <v>https://ntsu.idm.oclc.org/login?url=https://www.airitibooks.com/Detail/Detail?PublicationID=P20160715142</v>
      </c>
    </row>
    <row r="3208" spans="1:11" ht="51" x14ac:dyDescent="0.4">
      <c r="A3208" s="10" t="s">
        <v>4852</v>
      </c>
      <c r="B3208" s="10" t="s">
        <v>4853</v>
      </c>
      <c r="C3208" s="10" t="s">
        <v>3670</v>
      </c>
      <c r="D3208" s="10" t="s">
        <v>2368</v>
      </c>
      <c r="E3208" s="10" t="s">
        <v>4129</v>
      </c>
      <c r="F3208" s="10" t="s">
        <v>185</v>
      </c>
      <c r="G3208" s="10" t="s">
        <v>32</v>
      </c>
      <c r="H3208" s="7" t="s">
        <v>24</v>
      </c>
      <c r="I3208" s="7" t="s">
        <v>25</v>
      </c>
      <c r="J3208" s="13" t="str">
        <f>HYPERLINK("https://www.airitibooks.com/Detail/Detail?PublicationID=P20160715144", "https://www.airitibooks.com/Detail/Detail?PublicationID=P20160715144")</f>
        <v>https://www.airitibooks.com/Detail/Detail?PublicationID=P20160715144</v>
      </c>
      <c r="K3208" s="13" t="str">
        <f>HYPERLINK("https://ntsu.idm.oclc.org/login?url=https://www.airitibooks.com/Detail/Detail?PublicationID=P20160715144", "https://ntsu.idm.oclc.org/login?url=https://www.airitibooks.com/Detail/Detail?PublicationID=P20160715144")</f>
        <v>https://ntsu.idm.oclc.org/login?url=https://www.airitibooks.com/Detail/Detail?PublicationID=P20160715144</v>
      </c>
    </row>
    <row r="3209" spans="1:11" ht="51" x14ac:dyDescent="0.4">
      <c r="A3209" s="10" t="s">
        <v>4856</v>
      </c>
      <c r="B3209" s="10" t="s">
        <v>4857</v>
      </c>
      <c r="C3209" s="10" t="s">
        <v>3670</v>
      </c>
      <c r="D3209" s="10" t="s">
        <v>2368</v>
      </c>
      <c r="E3209" s="10" t="s">
        <v>4129</v>
      </c>
      <c r="F3209" s="10" t="s">
        <v>172</v>
      </c>
      <c r="G3209" s="10" t="s">
        <v>32</v>
      </c>
      <c r="H3209" s="7" t="s">
        <v>24</v>
      </c>
      <c r="I3209" s="7" t="s">
        <v>25</v>
      </c>
      <c r="J3209" s="13" t="str">
        <f>HYPERLINK("https://www.airitibooks.com/Detail/Detail?PublicationID=P20160715147", "https://www.airitibooks.com/Detail/Detail?PublicationID=P20160715147")</f>
        <v>https://www.airitibooks.com/Detail/Detail?PublicationID=P20160715147</v>
      </c>
      <c r="K3209" s="13" t="str">
        <f>HYPERLINK("https://ntsu.idm.oclc.org/login?url=https://www.airitibooks.com/Detail/Detail?PublicationID=P20160715147", "https://ntsu.idm.oclc.org/login?url=https://www.airitibooks.com/Detail/Detail?PublicationID=P20160715147")</f>
        <v>https://ntsu.idm.oclc.org/login?url=https://www.airitibooks.com/Detail/Detail?PublicationID=P20160715147</v>
      </c>
    </row>
    <row r="3210" spans="1:11" ht="51" x14ac:dyDescent="0.4">
      <c r="A3210" s="10" t="s">
        <v>4861</v>
      </c>
      <c r="B3210" s="10" t="s">
        <v>4862</v>
      </c>
      <c r="C3210" s="10" t="s">
        <v>2367</v>
      </c>
      <c r="D3210" s="10" t="s">
        <v>2379</v>
      </c>
      <c r="E3210" s="10" t="s">
        <v>4129</v>
      </c>
      <c r="F3210" s="10" t="s">
        <v>185</v>
      </c>
      <c r="G3210" s="10" t="s">
        <v>32</v>
      </c>
      <c r="H3210" s="7" t="s">
        <v>24</v>
      </c>
      <c r="I3210" s="7" t="s">
        <v>25</v>
      </c>
      <c r="J3210" s="13" t="str">
        <f>HYPERLINK("https://www.airitibooks.com/Detail/Detail?PublicationID=P20160715150", "https://www.airitibooks.com/Detail/Detail?PublicationID=P20160715150")</f>
        <v>https://www.airitibooks.com/Detail/Detail?PublicationID=P20160715150</v>
      </c>
      <c r="K3210" s="13" t="str">
        <f>HYPERLINK("https://ntsu.idm.oclc.org/login?url=https://www.airitibooks.com/Detail/Detail?PublicationID=P20160715150", "https://ntsu.idm.oclc.org/login?url=https://www.airitibooks.com/Detail/Detail?PublicationID=P20160715150")</f>
        <v>https://ntsu.idm.oclc.org/login?url=https://www.airitibooks.com/Detail/Detail?PublicationID=P20160715150</v>
      </c>
    </row>
    <row r="3211" spans="1:11" ht="51" x14ac:dyDescent="0.4">
      <c r="A3211" s="10" t="s">
        <v>4863</v>
      </c>
      <c r="B3211" s="10" t="s">
        <v>4864</v>
      </c>
      <c r="C3211" s="10" t="s">
        <v>2367</v>
      </c>
      <c r="D3211" s="10" t="s">
        <v>2379</v>
      </c>
      <c r="E3211" s="10" t="s">
        <v>4129</v>
      </c>
      <c r="F3211" s="10" t="s">
        <v>4865</v>
      </c>
      <c r="G3211" s="10" t="s">
        <v>32</v>
      </c>
      <c r="H3211" s="7" t="s">
        <v>24</v>
      </c>
      <c r="I3211" s="7" t="s">
        <v>25</v>
      </c>
      <c r="J3211" s="13" t="str">
        <f>HYPERLINK("https://www.airitibooks.com/Detail/Detail?PublicationID=P20160715152", "https://www.airitibooks.com/Detail/Detail?PublicationID=P20160715152")</f>
        <v>https://www.airitibooks.com/Detail/Detail?PublicationID=P20160715152</v>
      </c>
      <c r="K3211" s="13" t="str">
        <f>HYPERLINK("https://ntsu.idm.oclc.org/login?url=https://www.airitibooks.com/Detail/Detail?PublicationID=P20160715152", "https://ntsu.idm.oclc.org/login?url=https://www.airitibooks.com/Detail/Detail?PublicationID=P20160715152")</f>
        <v>https://ntsu.idm.oclc.org/login?url=https://www.airitibooks.com/Detail/Detail?PublicationID=P20160715152</v>
      </c>
    </row>
    <row r="3212" spans="1:11" ht="51" x14ac:dyDescent="0.4">
      <c r="A3212" s="10" t="s">
        <v>4866</v>
      </c>
      <c r="B3212" s="10" t="s">
        <v>4867</v>
      </c>
      <c r="C3212" s="10" t="s">
        <v>3670</v>
      </c>
      <c r="D3212" s="10" t="s">
        <v>2368</v>
      </c>
      <c r="E3212" s="10" t="s">
        <v>4129</v>
      </c>
      <c r="F3212" s="10" t="s">
        <v>185</v>
      </c>
      <c r="G3212" s="10" t="s">
        <v>32</v>
      </c>
      <c r="H3212" s="7" t="s">
        <v>24</v>
      </c>
      <c r="I3212" s="7" t="s">
        <v>25</v>
      </c>
      <c r="J3212" s="13" t="str">
        <f>HYPERLINK("https://www.airitibooks.com/Detail/Detail?PublicationID=P20160715153", "https://www.airitibooks.com/Detail/Detail?PublicationID=P20160715153")</f>
        <v>https://www.airitibooks.com/Detail/Detail?PublicationID=P20160715153</v>
      </c>
      <c r="K3212" s="13" t="str">
        <f>HYPERLINK("https://ntsu.idm.oclc.org/login?url=https://www.airitibooks.com/Detail/Detail?PublicationID=P20160715153", "https://ntsu.idm.oclc.org/login?url=https://www.airitibooks.com/Detail/Detail?PublicationID=P20160715153")</f>
        <v>https://ntsu.idm.oclc.org/login?url=https://www.airitibooks.com/Detail/Detail?PublicationID=P20160715153</v>
      </c>
    </row>
    <row r="3213" spans="1:11" ht="51" x14ac:dyDescent="0.4">
      <c r="A3213" s="10" t="s">
        <v>5078</v>
      </c>
      <c r="B3213" s="10" t="s">
        <v>5079</v>
      </c>
      <c r="C3213" s="10" t="s">
        <v>568</v>
      </c>
      <c r="D3213" s="10" t="s">
        <v>5080</v>
      </c>
      <c r="E3213" s="10" t="s">
        <v>4129</v>
      </c>
      <c r="F3213" s="10" t="s">
        <v>5081</v>
      </c>
      <c r="G3213" s="10" t="s">
        <v>32</v>
      </c>
      <c r="H3213" s="7" t="s">
        <v>24</v>
      </c>
      <c r="I3213" s="7" t="s">
        <v>25</v>
      </c>
      <c r="J3213" s="13" t="str">
        <f>HYPERLINK("https://www.airitibooks.com/Detail/Detail?PublicationID=P20160806125", "https://www.airitibooks.com/Detail/Detail?PublicationID=P20160806125")</f>
        <v>https://www.airitibooks.com/Detail/Detail?PublicationID=P20160806125</v>
      </c>
      <c r="K3213" s="13" t="str">
        <f>HYPERLINK("https://ntsu.idm.oclc.org/login?url=https://www.airitibooks.com/Detail/Detail?PublicationID=P20160806125", "https://ntsu.idm.oclc.org/login?url=https://www.airitibooks.com/Detail/Detail?PublicationID=P20160806125")</f>
        <v>https://ntsu.idm.oclc.org/login?url=https://www.airitibooks.com/Detail/Detail?PublicationID=P20160806125</v>
      </c>
    </row>
    <row r="3214" spans="1:11" ht="51" x14ac:dyDescent="0.4">
      <c r="A3214" s="10" t="s">
        <v>5141</v>
      </c>
      <c r="B3214" s="10" t="s">
        <v>5142</v>
      </c>
      <c r="C3214" s="10" t="s">
        <v>297</v>
      </c>
      <c r="D3214" s="10" t="s">
        <v>5143</v>
      </c>
      <c r="E3214" s="10" t="s">
        <v>4129</v>
      </c>
      <c r="F3214" s="10" t="s">
        <v>274</v>
      </c>
      <c r="G3214" s="10" t="s">
        <v>32</v>
      </c>
      <c r="H3214" s="7" t="s">
        <v>24</v>
      </c>
      <c r="I3214" s="7" t="s">
        <v>25</v>
      </c>
      <c r="J3214" s="13" t="str">
        <f>HYPERLINK("https://www.airitibooks.com/Detail/Detail?PublicationID=P20160806248", "https://www.airitibooks.com/Detail/Detail?PublicationID=P20160806248")</f>
        <v>https://www.airitibooks.com/Detail/Detail?PublicationID=P20160806248</v>
      </c>
      <c r="K3214" s="13" t="str">
        <f>HYPERLINK("https://ntsu.idm.oclc.org/login?url=https://www.airitibooks.com/Detail/Detail?PublicationID=P20160806248", "https://ntsu.idm.oclc.org/login?url=https://www.airitibooks.com/Detail/Detail?PublicationID=P20160806248")</f>
        <v>https://ntsu.idm.oclc.org/login?url=https://www.airitibooks.com/Detail/Detail?PublicationID=P20160806248</v>
      </c>
    </row>
    <row r="3215" spans="1:11" ht="51" x14ac:dyDescent="0.4">
      <c r="A3215" s="10" t="s">
        <v>5150</v>
      </c>
      <c r="B3215" s="10" t="s">
        <v>5151</v>
      </c>
      <c r="C3215" s="10" t="s">
        <v>297</v>
      </c>
      <c r="D3215" s="10" t="s">
        <v>5143</v>
      </c>
      <c r="E3215" s="10" t="s">
        <v>4129</v>
      </c>
      <c r="F3215" s="10" t="s">
        <v>274</v>
      </c>
      <c r="G3215" s="10" t="s">
        <v>32</v>
      </c>
      <c r="H3215" s="7" t="s">
        <v>24</v>
      </c>
      <c r="I3215" s="7" t="s">
        <v>25</v>
      </c>
      <c r="J3215" s="13" t="str">
        <f>HYPERLINK("https://www.airitibooks.com/Detail/Detail?PublicationID=P20160806252", "https://www.airitibooks.com/Detail/Detail?PublicationID=P20160806252")</f>
        <v>https://www.airitibooks.com/Detail/Detail?PublicationID=P20160806252</v>
      </c>
      <c r="K3215" s="13" t="str">
        <f>HYPERLINK("https://ntsu.idm.oclc.org/login?url=https://www.airitibooks.com/Detail/Detail?PublicationID=P20160806252", "https://ntsu.idm.oclc.org/login?url=https://www.airitibooks.com/Detail/Detail?PublicationID=P20160806252")</f>
        <v>https://ntsu.idm.oclc.org/login?url=https://www.airitibooks.com/Detail/Detail?PublicationID=P20160806252</v>
      </c>
    </row>
    <row r="3216" spans="1:11" ht="204" x14ac:dyDescent="0.4">
      <c r="A3216" s="10" t="s">
        <v>5170</v>
      </c>
      <c r="B3216" s="10" t="s">
        <v>5171</v>
      </c>
      <c r="C3216" s="10" t="s">
        <v>568</v>
      </c>
      <c r="D3216" s="10" t="s">
        <v>5172</v>
      </c>
      <c r="E3216" s="10" t="s">
        <v>4129</v>
      </c>
      <c r="F3216" s="10" t="s">
        <v>4226</v>
      </c>
      <c r="G3216" s="10" t="s">
        <v>32</v>
      </c>
      <c r="H3216" s="7" t="s">
        <v>24</v>
      </c>
      <c r="I3216" s="7" t="s">
        <v>25</v>
      </c>
      <c r="J3216" s="13" t="str">
        <f>HYPERLINK("https://www.airitibooks.com/Detail/Detail?PublicationID=P20160806271", "https://www.airitibooks.com/Detail/Detail?PublicationID=P20160806271")</f>
        <v>https://www.airitibooks.com/Detail/Detail?PublicationID=P20160806271</v>
      </c>
      <c r="K3216" s="13" t="str">
        <f>HYPERLINK("https://ntsu.idm.oclc.org/login?url=https://www.airitibooks.com/Detail/Detail?PublicationID=P20160806271", "https://ntsu.idm.oclc.org/login?url=https://www.airitibooks.com/Detail/Detail?PublicationID=P20160806271")</f>
        <v>https://ntsu.idm.oclc.org/login?url=https://www.airitibooks.com/Detail/Detail?PublicationID=P20160806271</v>
      </c>
    </row>
    <row r="3217" spans="1:11" ht="51" x14ac:dyDescent="0.4">
      <c r="A3217" s="10" t="s">
        <v>5233</v>
      </c>
      <c r="B3217" s="10" t="s">
        <v>5234</v>
      </c>
      <c r="C3217" s="10" t="s">
        <v>613</v>
      </c>
      <c r="D3217" s="10" t="s">
        <v>3695</v>
      </c>
      <c r="E3217" s="10" t="s">
        <v>4129</v>
      </c>
      <c r="F3217" s="10" t="s">
        <v>172</v>
      </c>
      <c r="G3217" s="10" t="s">
        <v>32</v>
      </c>
      <c r="H3217" s="7" t="s">
        <v>24</v>
      </c>
      <c r="I3217" s="7" t="s">
        <v>25</v>
      </c>
      <c r="J3217" s="13" t="str">
        <f>HYPERLINK("https://www.airitibooks.com/Detail/Detail?PublicationID=P20160829111", "https://www.airitibooks.com/Detail/Detail?PublicationID=P20160829111")</f>
        <v>https://www.airitibooks.com/Detail/Detail?PublicationID=P20160829111</v>
      </c>
      <c r="K3217" s="13" t="str">
        <f>HYPERLINK("https://ntsu.idm.oclc.org/login?url=https://www.airitibooks.com/Detail/Detail?PublicationID=P20160829111", "https://ntsu.idm.oclc.org/login?url=https://www.airitibooks.com/Detail/Detail?PublicationID=P20160829111")</f>
        <v>https://ntsu.idm.oclc.org/login?url=https://www.airitibooks.com/Detail/Detail?PublicationID=P20160829111</v>
      </c>
    </row>
    <row r="3218" spans="1:11" ht="68" x14ac:dyDescent="0.4">
      <c r="A3218" s="10" t="s">
        <v>5239</v>
      </c>
      <c r="B3218" s="10" t="s">
        <v>5240</v>
      </c>
      <c r="C3218" s="10" t="s">
        <v>1484</v>
      </c>
      <c r="D3218" s="10" t="s">
        <v>5241</v>
      </c>
      <c r="E3218" s="10" t="s">
        <v>4129</v>
      </c>
      <c r="F3218" s="10" t="s">
        <v>172</v>
      </c>
      <c r="G3218" s="10" t="s">
        <v>32</v>
      </c>
      <c r="H3218" s="7" t="s">
        <v>24</v>
      </c>
      <c r="I3218" s="7" t="s">
        <v>25</v>
      </c>
      <c r="J3218" s="13" t="str">
        <f>HYPERLINK("https://www.airitibooks.com/Detail/Detail?PublicationID=P20160829116", "https://www.airitibooks.com/Detail/Detail?PublicationID=P20160829116")</f>
        <v>https://www.airitibooks.com/Detail/Detail?PublicationID=P20160829116</v>
      </c>
      <c r="K3218" s="13" t="str">
        <f>HYPERLINK("https://ntsu.idm.oclc.org/login?url=https://www.airitibooks.com/Detail/Detail?PublicationID=P20160829116", "https://ntsu.idm.oclc.org/login?url=https://www.airitibooks.com/Detail/Detail?PublicationID=P20160829116")</f>
        <v>https://ntsu.idm.oclc.org/login?url=https://www.airitibooks.com/Detail/Detail?PublicationID=P20160829116</v>
      </c>
    </row>
    <row r="3219" spans="1:11" ht="85" x14ac:dyDescent="0.4">
      <c r="A3219" s="10" t="s">
        <v>5242</v>
      </c>
      <c r="B3219" s="10" t="s">
        <v>5243</v>
      </c>
      <c r="C3219" s="10" t="s">
        <v>1484</v>
      </c>
      <c r="D3219" s="10" t="s">
        <v>5244</v>
      </c>
      <c r="E3219" s="10" t="s">
        <v>4129</v>
      </c>
      <c r="F3219" s="10" t="s">
        <v>172</v>
      </c>
      <c r="G3219" s="10" t="s">
        <v>32</v>
      </c>
      <c r="H3219" s="7" t="s">
        <v>24</v>
      </c>
      <c r="I3219" s="7" t="s">
        <v>25</v>
      </c>
      <c r="J3219" s="13" t="str">
        <f>HYPERLINK("https://www.airitibooks.com/Detail/Detail?PublicationID=P20160829117", "https://www.airitibooks.com/Detail/Detail?PublicationID=P20160829117")</f>
        <v>https://www.airitibooks.com/Detail/Detail?PublicationID=P20160829117</v>
      </c>
      <c r="K3219" s="13" t="str">
        <f>HYPERLINK("https://ntsu.idm.oclc.org/login?url=https://www.airitibooks.com/Detail/Detail?PublicationID=P20160829117", "https://ntsu.idm.oclc.org/login?url=https://www.airitibooks.com/Detail/Detail?PublicationID=P20160829117")</f>
        <v>https://ntsu.idm.oclc.org/login?url=https://www.airitibooks.com/Detail/Detail?PublicationID=P20160829117</v>
      </c>
    </row>
    <row r="3220" spans="1:11" ht="51" x14ac:dyDescent="0.4">
      <c r="A3220" s="10" t="s">
        <v>5249</v>
      </c>
      <c r="B3220" s="10" t="s">
        <v>5250</v>
      </c>
      <c r="C3220" s="10" t="s">
        <v>938</v>
      </c>
      <c r="D3220" s="10" t="s">
        <v>5251</v>
      </c>
      <c r="E3220" s="10" t="s">
        <v>4129</v>
      </c>
      <c r="F3220" s="10" t="s">
        <v>3901</v>
      </c>
      <c r="G3220" s="10" t="s">
        <v>32</v>
      </c>
      <c r="H3220" s="7" t="s">
        <v>24</v>
      </c>
      <c r="I3220" s="7" t="s">
        <v>25</v>
      </c>
      <c r="J3220" s="13" t="str">
        <f>HYPERLINK("https://www.airitibooks.com/Detail/Detail?PublicationID=P20160829134", "https://www.airitibooks.com/Detail/Detail?PublicationID=P20160829134")</f>
        <v>https://www.airitibooks.com/Detail/Detail?PublicationID=P20160829134</v>
      </c>
      <c r="K3220" s="13" t="str">
        <f>HYPERLINK("https://ntsu.idm.oclc.org/login?url=https://www.airitibooks.com/Detail/Detail?PublicationID=P20160829134", "https://ntsu.idm.oclc.org/login?url=https://www.airitibooks.com/Detail/Detail?PublicationID=P20160829134")</f>
        <v>https://ntsu.idm.oclc.org/login?url=https://www.airitibooks.com/Detail/Detail?PublicationID=P20160829134</v>
      </c>
    </row>
    <row r="3221" spans="1:11" ht="51" x14ac:dyDescent="0.4">
      <c r="A3221" s="10" t="s">
        <v>5258</v>
      </c>
      <c r="B3221" s="10" t="s">
        <v>5259</v>
      </c>
      <c r="C3221" s="10" t="s">
        <v>938</v>
      </c>
      <c r="D3221" s="10" t="s">
        <v>5260</v>
      </c>
      <c r="E3221" s="10" t="s">
        <v>4129</v>
      </c>
      <c r="F3221" s="10" t="s">
        <v>181</v>
      </c>
      <c r="G3221" s="10" t="s">
        <v>32</v>
      </c>
      <c r="H3221" s="7" t="s">
        <v>24</v>
      </c>
      <c r="I3221" s="7" t="s">
        <v>25</v>
      </c>
      <c r="J3221" s="13" t="str">
        <f>HYPERLINK("https://www.airitibooks.com/Detail/Detail?PublicationID=P20160829139", "https://www.airitibooks.com/Detail/Detail?PublicationID=P20160829139")</f>
        <v>https://www.airitibooks.com/Detail/Detail?PublicationID=P20160829139</v>
      </c>
      <c r="K3221" s="13" t="str">
        <f>HYPERLINK("https://ntsu.idm.oclc.org/login?url=https://www.airitibooks.com/Detail/Detail?PublicationID=P20160829139", "https://ntsu.idm.oclc.org/login?url=https://www.airitibooks.com/Detail/Detail?PublicationID=P20160829139")</f>
        <v>https://ntsu.idm.oclc.org/login?url=https://www.airitibooks.com/Detail/Detail?PublicationID=P20160829139</v>
      </c>
    </row>
    <row r="3222" spans="1:11" ht="51" x14ac:dyDescent="0.4">
      <c r="A3222" s="10" t="s">
        <v>5261</v>
      </c>
      <c r="B3222" s="10" t="s">
        <v>5262</v>
      </c>
      <c r="C3222" s="10" t="s">
        <v>938</v>
      </c>
      <c r="D3222" s="10" t="s">
        <v>5263</v>
      </c>
      <c r="E3222" s="10" t="s">
        <v>4129</v>
      </c>
      <c r="F3222" s="10" t="s">
        <v>181</v>
      </c>
      <c r="G3222" s="10" t="s">
        <v>32</v>
      </c>
      <c r="H3222" s="7" t="s">
        <v>24</v>
      </c>
      <c r="I3222" s="7" t="s">
        <v>25</v>
      </c>
      <c r="J3222" s="13" t="str">
        <f>HYPERLINK("https://www.airitibooks.com/Detail/Detail?PublicationID=P20160829140", "https://www.airitibooks.com/Detail/Detail?PublicationID=P20160829140")</f>
        <v>https://www.airitibooks.com/Detail/Detail?PublicationID=P20160829140</v>
      </c>
      <c r="K3222" s="13" t="str">
        <f>HYPERLINK("https://ntsu.idm.oclc.org/login?url=https://www.airitibooks.com/Detail/Detail?PublicationID=P20160829140", "https://ntsu.idm.oclc.org/login?url=https://www.airitibooks.com/Detail/Detail?PublicationID=P20160829140")</f>
        <v>https://ntsu.idm.oclc.org/login?url=https://www.airitibooks.com/Detail/Detail?PublicationID=P20160829140</v>
      </c>
    </row>
    <row r="3223" spans="1:11" ht="51" x14ac:dyDescent="0.4">
      <c r="A3223" s="10" t="s">
        <v>5278</v>
      </c>
      <c r="B3223" s="10" t="s">
        <v>5279</v>
      </c>
      <c r="C3223" s="10" t="s">
        <v>938</v>
      </c>
      <c r="D3223" s="10" t="s">
        <v>2487</v>
      </c>
      <c r="E3223" s="10" t="s">
        <v>4129</v>
      </c>
      <c r="F3223" s="10" t="s">
        <v>3901</v>
      </c>
      <c r="G3223" s="10" t="s">
        <v>32</v>
      </c>
      <c r="H3223" s="7" t="s">
        <v>24</v>
      </c>
      <c r="I3223" s="7" t="s">
        <v>25</v>
      </c>
      <c r="J3223" s="13" t="str">
        <f>HYPERLINK("https://www.airitibooks.com/Detail/Detail?PublicationID=P20160829148", "https://www.airitibooks.com/Detail/Detail?PublicationID=P20160829148")</f>
        <v>https://www.airitibooks.com/Detail/Detail?PublicationID=P20160829148</v>
      </c>
      <c r="K3223" s="13" t="str">
        <f>HYPERLINK("https://ntsu.idm.oclc.org/login?url=https://www.airitibooks.com/Detail/Detail?PublicationID=P20160829148", "https://ntsu.idm.oclc.org/login?url=https://www.airitibooks.com/Detail/Detail?PublicationID=P20160829148")</f>
        <v>https://ntsu.idm.oclc.org/login?url=https://www.airitibooks.com/Detail/Detail?PublicationID=P20160829148</v>
      </c>
    </row>
    <row r="3224" spans="1:11" ht="51" x14ac:dyDescent="0.4">
      <c r="A3224" s="10" t="s">
        <v>5283</v>
      </c>
      <c r="B3224" s="10" t="s">
        <v>5284</v>
      </c>
      <c r="C3224" s="10" t="s">
        <v>938</v>
      </c>
      <c r="D3224" s="10" t="s">
        <v>5285</v>
      </c>
      <c r="E3224" s="10" t="s">
        <v>4129</v>
      </c>
      <c r="F3224" s="10" t="s">
        <v>3901</v>
      </c>
      <c r="G3224" s="10" t="s">
        <v>32</v>
      </c>
      <c r="H3224" s="7" t="s">
        <v>24</v>
      </c>
      <c r="I3224" s="7" t="s">
        <v>25</v>
      </c>
      <c r="J3224" s="13" t="str">
        <f>HYPERLINK("https://www.airitibooks.com/Detail/Detail?PublicationID=P20160829150", "https://www.airitibooks.com/Detail/Detail?PublicationID=P20160829150")</f>
        <v>https://www.airitibooks.com/Detail/Detail?PublicationID=P20160829150</v>
      </c>
      <c r="K3224" s="13" t="str">
        <f>HYPERLINK("https://ntsu.idm.oclc.org/login?url=https://www.airitibooks.com/Detail/Detail?PublicationID=P20160829150", "https://ntsu.idm.oclc.org/login?url=https://www.airitibooks.com/Detail/Detail?PublicationID=P20160829150")</f>
        <v>https://ntsu.idm.oclc.org/login?url=https://www.airitibooks.com/Detail/Detail?PublicationID=P20160829150</v>
      </c>
    </row>
    <row r="3225" spans="1:11" ht="51" x14ac:dyDescent="0.4">
      <c r="A3225" s="10" t="s">
        <v>5355</v>
      </c>
      <c r="B3225" s="10" t="s">
        <v>5356</v>
      </c>
      <c r="C3225" s="10" t="s">
        <v>938</v>
      </c>
      <c r="D3225" s="10" t="s">
        <v>5357</v>
      </c>
      <c r="E3225" s="10" t="s">
        <v>4129</v>
      </c>
      <c r="F3225" s="10" t="s">
        <v>3901</v>
      </c>
      <c r="G3225" s="10" t="s">
        <v>32</v>
      </c>
      <c r="H3225" s="7" t="s">
        <v>24</v>
      </c>
      <c r="I3225" s="7" t="s">
        <v>25</v>
      </c>
      <c r="J3225" s="13" t="str">
        <f>HYPERLINK("https://www.airitibooks.com/Detail/Detail?PublicationID=P20160907104", "https://www.airitibooks.com/Detail/Detail?PublicationID=P20160907104")</f>
        <v>https://www.airitibooks.com/Detail/Detail?PublicationID=P20160907104</v>
      </c>
      <c r="K3225" s="13" t="str">
        <f>HYPERLINK("https://ntsu.idm.oclc.org/login?url=https://www.airitibooks.com/Detail/Detail?PublicationID=P20160907104", "https://ntsu.idm.oclc.org/login?url=https://www.airitibooks.com/Detail/Detail?PublicationID=P20160907104")</f>
        <v>https://ntsu.idm.oclc.org/login?url=https://www.airitibooks.com/Detail/Detail?PublicationID=P20160907104</v>
      </c>
    </row>
    <row r="3226" spans="1:11" ht="51" x14ac:dyDescent="0.4">
      <c r="A3226" s="10" t="s">
        <v>5361</v>
      </c>
      <c r="B3226" s="10" t="s">
        <v>5362</v>
      </c>
      <c r="C3226" s="10" t="s">
        <v>938</v>
      </c>
      <c r="D3226" s="10" t="s">
        <v>5251</v>
      </c>
      <c r="E3226" s="10" t="s">
        <v>4129</v>
      </c>
      <c r="F3226" s="10" t="s">
        <v>3901</v>
      </c>
      <c r="G3226" s="10" t="s">
        <v>32</v>
      </c>
      <c r="H3226" s="7" t="s">
        <v>24</v>
      </c>
      <c r="I3226" s="7" t="s">
        <v>25</v>
      </c>
      <c r="J3226" s="13" t="str">
        <f>HYPERLINK("https://www.airitibooks.com/Detail/Detail?PublicationID=P20160907110", "https://www.airitibooks.com/Detail/Detail?PublicationID=P20160907110")</f>
        <v>https://www.airitibooks.com/Detail/Detail?PublicationID=P20160907110</v>
      </c>
      <c r="K3226" s="13" t="str">
        <f>HYPERLINK("https://ntsu.idm.oclc.org/login?url=https://www.airitibooks.com/Detail/Detail?PublicationID=P20160907110", "https://ntsu.idm.oclc.org/login?url=https://www.airitibooks.com/Detail/Detail?PublicationID=P20160907110")</f>
        <v>https://ntsu.idm.oclc.org/login?url=https://www.airitibooks.com/Detail/Detail?PublicationID=P20160907110</v>
      </c>
    </row>
    <row r="3227" spans="1:11" ht="51" x14ac:dyDescent="0.4">
      <c r="A3227" s="10" t="s">
        <v>5363</v>
      </c>
      <c r="B3227" s="10" t="s">
        <v>5364</v>
      </c>
      <c r="C3227" s="10" t="s">
        <v>938</v>
      </c>
      <c r="D3227" s="10" t="s">
        <v>5365</v>
      </c>
      <c r="E3227" s="10" t="s">
        <v>4129</v>
      </c>
      <c r="F3227" s="10" t="s">
        <v>3901</v>
      </c>
      <c r="G3227" s="10" t="s">
        <v>32</v>
      </c>
      <c r="H3227" s="7" t="s">
        <v>24</v>
      </c>
      <c r="I3227" s="7" t="s">
        <v>25</v>
      </c>
      <c r="J3227" s="13" t="str">
        <f>HYPERLINK("https://www.airitibooks.com/Detail/Detail?PublicationID=P20160907112", "https://www.airitibooks.com/Detail/Detail?PublicationID=P20160907112")</f>
        <v>https://www.airitibooks.com/Detail/Detail?PublicationID=P20160907112</v>
      </c>
      <c r="K3227" s="13" t="str">
        <f>HYPERLINK("https://ntsu.idm.oclc.org/login?url=https://www.airitibooks.com/Detail/Detail?PublicationID=P20160907112", "https://ntsu.idm.oclc.org/login?url=https://www.airitibooks.com/Detail/Detail?PublicationID=P20160907112")</f>
        <v>https://ntsu.idm.oclc.org/login?url=https://www.airitibooks.com/Detail/Detail?PublicationID=P20160907112</v>
      </c>
    </row>
    <row r="3228" spans="1:11" ht="51" x14ac:dyDescent="0.4">
      <c r="A3228" s="10" t="s">
        <v>5366</v>
      </c>
      <c r="B3228" s="10" t="s">
        <v>5367</v>
      </c>
      <c r="C3228" s="10" t="s">
        <v>938</v>
      </c>
      <c r="D3228" s="10" t="s">
        <v>5365</v>
      </c>
      <c r="E3228" s="10" t="s">
        <v>4129</v>
      </c>
      <c r="F3228" s="10" t="s">
        <v>3901</v>
      </c>
      <c r="G3228" s="10" t="s">
        <v>32</v>
      </c>
      <c r="H3228" s="7" t="s">
        <v>24</v>
      </c>
      <c r="I3228" s="7" t="s">
        <v>25</v>
      </c>
      <c r="J3228" s="13" t="str">
        <f>HYPERLINK("https://www.airitibooks.com/Detail/Detail?PublicationID=P20160907113", "https://www.airitibooks.com/Detail/Detail?PublicationID=P20160907113")</f>
        <v>https://www.airitibooks.com/Detail/Detail?PublicationID=P20160907113</v>
      </c>
      <c r="K3228" s="13" t="str">
        <f>HYPERLINK("https://ntsu.idm.oclc.org/login?url=https://www.airitibooks.com/Detail/Detail?PublicationID=P20160907113", "https://ntsu.idm.oclc.org/login?url=https://www.airitibooks.com/Detail/Detail?PublicationID=P20160907113")</f>
        <v>https://ntsu.idm.oclc.org/login?url=https://www.airitibooks.com/Detail/Detail?PublicationID=P20160907113</v>
      </c>
    </row>
    <row r="3229" spans="1:11" ht="51" x14ac:dyDescent="0.4">
      <c r="A3229" s="10" t="s">
        <v>5372</v>
      </c>
      <c r="B3229" s="10" t="s">
        <v>5373</v>
      </c>
      <c r="C3229" s="10" t="s">
        <v>938</v>
      </c>
      <c r="D3229" s="10" t="s">
        <v>5374</v>
      </c>
      <c r="E3229" s="10" t="s">
        <v>4129</v>
      </c>
      <c r="F3229" s="10" t="s">
        <v>5375</v>
      </c>
      <c r="G3229" s="10" t="s">
        <v>32</v>
      </c>
      <c r="H3229" s="7" t="s">
        <v>24</v>
      </c>
      <c r="I3229" s="7" t="s">
        <v>25</v>
      </c>
      <c r="J3229" s="13" t="str">
        <f>HYPERLINK("https://www.airitibooks.com/Detail/Detail?PublicationID=P20160907124", "https://www.airitibooks.com/Detail/Detail?PublicationID=P20160907124")</f>
        <v>https://www.airitibooks.com/Detail/Detail?PublicationID=P20160907124</v>
      </c>
      <c r="K3229" s="13" t="str">
        <f>HYPERLINK("https://ntsu.idm.oclc.org/login?url=https://www.airitibooks.com/Detail/Detail?PublicationID=P20160907124", "https://ntsu.idm.oclc.org/login?url=https://www.airitibooks.com/Detail/Detail?PublicationID=P20160907124")</f>
        <v>https://ntsu.idm.oclc.org/login?url=https://www.airitibooks.com/Detail/Detail?PublicationID=P20160907124</v>
      </c>
    </row>
    <row r="3230" spans="1:11" ht="85" x14ac:dyDescent="0.4">
      <c r="A3230" s="10" t="s">
        <v>5381</v>
      </c>
      <c r="B3230" s="10" t="s">
        <v>5382</v>
      </c>
      <c r="C3230" s="10" t="s">
        <v>1375</v>
      </c>
      <c r="D3230" s="10" t="s">
        <v>5383</v>
      </c>
      <c r="E3230" s="10" t="s">
        <v>4129</v>
      </c>
      <c r="F3230" s="10" t="s">
        <v>5384</v>
      </c>
      <c r="G3230" s="10" t="s">
        <v>32</v>
      </c>
      <c r="H3230" s="7" t="s">
        <v>24</v>
      </c>
      <c r="I3230" s="7" t="s">
        <v>25</v>
      </c>
      <c r="J3230" s="13" t="str">
        <f>HYPERLINK("https://www.airitibooks.com/Detail/Detail?PublicationID=P20160907280", "https://www.airitibooks.com/Detail/Detail?PublicationID=P20160907280")</f>
        <v>https://www.airitibooks.com/Detail/Detail?PublicationID=P20160907280</v>
      </c>
      <c r="K3230" s="13" t="str">
        <f>HYPERLINK("https://ntsu.idm.oclc.org/login?url=https://www.airitibooks.com/Detail/Detail?PublicationID=P20160907280", "https://ntsu.idm.oclc.org/login?url=https://www.airitibooks.com/Detail/Detail?PublicationID=P20160907280")</f>
        <v>https://ntsu.idm.oclc.org/login?url=https://www.airitibooks.com/Detail/Detail?PublicationID=P20160907280</v>
      </c>
    </row>
    <row r="3231" spans="1:11" ht="51" x14ac:dyDescent="0.4">
      <c r="A3231" s="10" t="s">
        <v>5395</v>
      </c>
      <c r="B3231" s="10" t="s">
        <v>5396</v>
      </c>
      <c r="C3231" s="10" t="s">
        <v>4609</v>
      </c>
      <c r="D3231" s="10" t="s">
        <v>5397</v>
      </c>
      <c r="E3231" s="10" t="s">
        <v>4129</v>
      </c>
      <c r="F3231" s="10" t="s">
        <v>4849</v>
      </c>
      <c r="G3231" s="10" t="s">
        <v>32</v>
      </c>
      <c r="H3231" s="7" t="s">
        <v>24</v>
      </c>
      <c r="I3231" s="7" t="s">
        <v>25</v>
      </c>
      <c r="J3231" s="13" t="str">
        <f>HYPERLINK("https://www.airitibooks.com/Detail/Detail?PublicationID=P20160907291", "https://www.airitibooks.com/Detail/Detail?PublicationID=P20160907291")</f>
        <v>https://www.airitibooks.com/Detail/Detail?PublicationID=P20160907291</v>
      </c>
      <c r="K3231" s="13" t="str">
        <f>HYPERLINK("https://ntsu.idm.oclc.org/login?url=https://www.airitibooks.com/Detail/Detail?PublicationID=P20160907291", "https://ntsu.idm.oclc.org/login?url=https://www.airitibooks.com/Detail/Detail?PublicationID=P20160907291")</f>
        <v>https://ntsu.idm.oclc.org/login?url=https://www.airitibooks.com/Detail/Detail?PublicationID=P20160907291</v>
      </c>
    </row>
    <row r="3232" spans="1:11" ht="51" x14ac:dyDescent="0.4">
      <c r="A3232" s="10" t="s">
        <v>5398</v>
      </c>
      <c r="B3232" s="10" t="s">
        <v>5399</v>
      </c>
      <c r="C3232" s="10" t="s">
        <v>4609</v>
      </c>
      <c r="D3232" s="10" t="s">
        <v>5400</v>
      </c>
      <c r="E3232" s="10" t="s">
        <v>4129</v>
      </c>
      <c r="F3232" s="10" t="s">
        <v>110</v>
      </c>
      <c r="G3232" s="10" t="s">
        <v>32</v>
      </c>
      <c r="H3232" s="7" t="s">
        <v>24</v>
      </c>
      <c r="I3232" s="7" t="s">
        <v>25</v>
      </c>
      <c r="J3232" s="13" t="str">
        <f>HYPERLINK("https://www.airitibooks.com/Detail/Detail?PublicationID=P20160907294", "https://www.airitibooks.com/Detail/Detail?PublicationID=P20160907294")</f>
        <v>https://www.airitibooks.com/Detail/Detail?PublicationID=P20160907294</v>
      </c>
      <c r="K3232" s="13" t="str">
        <f>HYPERLINK("https://ntsu.idm.oclc.org/login?url=https://www.airitibooks.com/Detail/Detail?PublicationID=P20160907294", "https://ntsu.idm.oclc.org/login?url=https://www.airitibooks.com/Detail/Detail?PublicationID=P20160907294")</f>
        <v>https://ntsu.idm.oclc.org/login?url=https://www.airitibooks.com/Detail/Detail?PublicationID=P20160907294</v>
      </c>
    </row>
    <row r="3233" spans="1:11" ht="51" x14ac:dyDescent="0.4">
      <c r="A3233" s="10" t="s">
        <v>5401</v>
      </c>
      <c r="B3233" s="10" t="s">
        <v>5402</v>
      </c>
      <c r="C3233" s="10" t="s">
        <v>4609</v>
      </c>
      <c r="D3233" s="10" t="s">
        <v>5403</v>
      </c>
      <c r="E3233" s="10" t="s">
        <v>4129</v>
      </c>
      <c r="F3233" s="10" t="s">
        <v>2844</v>
      </c>
      <c r="G3233" s="10" t="s">
        <v>32</v>
      </c>
      <c r="H3233" s="7" t="s">
        <v>24</v>
      </c>
      <c r="I3233" s="7" t="s">
        <v>25</v>
      </c>
      <c r="J3233" s="13" t="str">
        <f>HYPERLINK("https://www.airitibooks.com/Detail/Detail?PublicationID=P20160907297", "https://www.airitibooks.com/Detail/Detail?PublicationID=P20160907297")</f>
        <v>https://www.airitibooks.com/Detail/Detail?PublicationID=P20160907297</v>
      </c>
      <c r="K3233" s="13" t="str">
        <f>HYPERLINK("https://ntsu.idm.oclc.org/login?url=https://www.airitibooks.com/Detail/Detail?PublicationID=P20160907297", "https://ntsu.idm.oclc.org/login?url=https://www.airitibooks.com/Detail/Detail?PublicationID=P20160907297")</f>
        <v>https://ntsu.idm.oclc.org/login?url=https://www.airitibooks.com/Detail/Detail?PublicationID=P20160907297</v>
      </c>
    </row>
    <row r="3234" spans="1:11" ht="68" x14ac:dyDescent="0.4">
      <c r="A3234" s="10" t="s">
        <v>5404</v>
      </c>
      <c r="B3234" s="10" t="s">
        <v>5405</v>
      </c>
      <c r="C3234" s="10" t="s">
        <v>2367</v>
      </c>
      <c r="D3234" s="10" t="s">
        <v>4809</v>
      </c>
      <c r="E3234" s="10" t="s">
        <v>4129</v>
      </c>
      <c r="F3234" s="10" t="s">
        <v>172</v>
      </c>
      <c r="G3234" s="10" t="s">
        <v>32</v>
      </c>
      <c r="H3234" s="7" t="s">
        <v>24</v>
      </c>
      <c r="I3234" s="7" t="s">
        <v>25</v>
      </c>
      <c r="J3234" s="13" t="str">
        <f>HYPERLINK("https://www.airitibooks.com/Detail/Detail?PublicationID=P20160907307", "https://www.airitibooks.com/Detail/Detail?PublicationID=P20160907307")</f>
        <v>https://www.airitibooks.com/Detail/Detail?PublicationID=P20160907307</v>
      </c>
      <c r="K3234" s="13" t="str">
        <f>HYPERLINK("https://ntsu.idm.oclc.org/login?url=https://www.airitibooks.com/Detail/Detail?PublicationID=P20160907307", "https://ntsu.idm.oclc.org/login?url=https://www.airitibooks.com/Detail/Detail?PublicationID=P20160907307")</f>
        <v>https://ntsu.idm.oclc.org/login?url=https://www.airitibooks.com/Detail/Detail?PublicationID=P20160907307</v>
      </c>
    </row>
    <row r="3235" spans="1:11" ht="51" x14ac:dyDescent="0.4">
      <c r="A3235" s="10" t="s">
        <v>5406</v>
      </c>
      <c r="B3235" s="10" t="s">
        <v>5407</v>
      </c>
      <c r="C3235" s="10" t="s">
        <v>2367</v>
      </c>
      <c r="D3235" s="10" t="s">
        <v>3600</v>
      </c>
      <c r="E3235" s="10" t="s">
        <v>4129</v>
      </c>
      <c r="F3235" s="10" t="s">
        <v>2628</v>
      </c>
      <c r="G3235" s="10" t="s">
        <v>32</v>
      </c>
      <c r="H3235" s="7" t="s">
        <v>24</v>
      </c>
      <c r="I3235" s="7" t="s">
        <v>25</v>
      </c>
      <c r="J3235" s="13" t="str">
        <f>HYPERLINK("https://www.airitibooks.com/Detail/Detail?PublicationID=P20160907308", "https://www.airitibooks.com/Detail/Detail?PublicationID=P20160907308")</f>
        <v>https://www.airitibooks.com/Detail/Detail?PublicationID=P20160907308</v>
      </c>
      <c r="K3235" s="13" t="str">
        <f>HYPERLINK("https://ntsu.idm.oclc.org/login?url=https://www.airitibooks.com/Detail/Detail?PublicationID=P20160907308", "https://ntsu.idm.oclc.org/login?url=https://www.airitibooks.com/Detail/Detail?PublicationID=P20160907308")</f>
        <v>https://ntsu.idm.oclc.org/login?url=https://www.airitibooks.com/Detail/Detail?PublicationID=P20160907308</v>
      </c>
    </row>
    <row r="3236" spans="1:11" ht="68" x14ac:dyDescent="0.4">
      <c r="A3236" s="10" t="s">
        <v>5408</v>
      </c>
      <c r="B3236" s="10" t="s">
        <v>5409</v>
      </c>
      <c r="C3236" s="10" t="s">
        <v>2367</v>
      </c>
      <c r="D3236" s="10" t="s">
        <v>5410</v>
      </c>
      <c r="E3236" s="10" t="s">
        <v>4129</v>
      </c>
      <c r="F3236" s="10" t="s">
        <v>2628</v>
      </c>
      <c r="G3236" s="10" t="s">
        <v>32</v>
      </c>
      <c r="H3236" s="7" t="s">
        <v>24</v>
      </c>
      <c r="I3236" s="7" t="s">
        <v>25</v>
      </c>
      <c r="J3236" s="13" t="str">
        <f>HYPERLINK("https://www.airitibooks.com/Detail/Detail?PublicationID=P20160907312", "https://www.airitibooks.com/Detail/Detail?PublicationID=P20160907312")</f>
        <v>https://www.airitibooks.com/Detail/Detail?PublicationID=P20160907312</v>
      </c>
      <c r="K3236" s="13" t="str">
        <f>HYPERLINK("https://ntsu.idm.oclc.org/login?url=https://www.airitibooks.com/Detail/Detail?PublicationID=P20160907312", "https://ntsu.idm.oclc.org/login?url=https://www.airitibooks.com/Detail/Detail?PublicationID=P20160907312")</f>
        <v>https://ntsu.idm.oclc.org/login?url=https://www.airitibooks.com/Detail/Detail?PublicationID=P20160907312</v>
      </c>
    </row>
    <row r="3237" spans="1:11" ht="51" x14ac:dyDescent="0.4">
      <c r="A3237" s="10" t="s">
        <v>5411</v>
      </c>
      <c r="B3237" s="10" t="s">
        <v>5412</v>
      </c>
      <c r="C3237" s="10" t="s">
        <v>2367</v>
      </c>
      <c r="D3237" s="10" t="s">
        <v>3600</v>
      </c>
      <c r="E3237" s="10" t="s">
        <v>4129</v>
      </c>
      <c r="F3237" s="10" t="s">
        <v>2628</v>
      </c>
      <c r="G3237" s="10" t="s">
        <v>32</v>
      </c>
      <c r="H3237" s="7" t="s">
        <v>24</v>
      </c>
      <c r="I3237" s="7" t="s">
        <v>25</v>
      </c>
      <c r="J3237" s="13" t="str">
        <f>HYPERLINK("https://www.airitibooks.com/Detail/Detail?PublicationID=P20160907316", "https://www.airitibooks.com/Detail/Detail?PublicationID=P20160907316")</f>
        <v>https://www.airitibooks.com/Detail/Detail?PublicationID=P20160907316</v>
      </c>
      <c r="K3237" s="13" t="str">
        <f>HYPERLINK("https://ntsu.idm.oclc.org/login?url=https://www.airitibooks.com/Detail/Detail?PublicationID=P20160907316", "https://ntsu.idm.oclc.org/login?url=https://www.airitibooks.com/Detail/Detail?PublicationID=P20160907316")</f>
        <v>https://ntsu.idm.oclc.org/login?url=https://www.airitibooks.com/Detail/Detail?PublicationID=P20160907316</v>
      </c>
    </row>
    <row r="3238" spans="1:11" ht="51" x14ac:dyDescent="0.4">
      <c r="A3238" s="10" t="s">
        <v>5413</v>
      </c>
      <c r="B3238" s="10" t="s">
        <v>5414</v>
      </c>
      <c r="C3238" s="10" t="s">
        <v>2367</v>
      </c>
      <c r="D3238" s="10" t="s">
        <v>5415</v>
      </c>
      <c r="E3238" s="10" t="s">
        <v>4129</v>
      </c>
      <c r="F3238" s="10" t="s">
        <v>2628</v>
      </c>
      <c r="G3238" s="10" t="s">
        <v>32</v>
      </c>
      <c r="H3238" s="7" t="s">
        <v>24</v>
      </c>
      <c r="I3238" s="7" t="s">
        <v>25</v>
      </c>
      <c r="J3238" s="13" t="str">
        <f>HYPERLINK("https://www.airitibooks.com/Detail/Detail?PublicationID=P20160907322", "https://www.airitibooks.com/Detail/Detail?PublicationID=P20160907322")</f>
        <v>https://www.airitibooks.com/Detail/Detail?PublicationID=P20160907322</v>
      </c>
      <c r="K3238" s="13" t="str">
        <f>HYPERLINK("https://ntsu.idm.oclc.org/login?url=https://www.airitibooks.com/Detail/Detail?PublicationID=P20160907322", "https://ntsu.idm.oclc.org/login?url=https://www.airitibooks.com/Detail/Detail?PublicationID=P20160907322")</f>
        <v>https://ntsu.idm.oclc.org/login?url=https://www.airitibooks.com/Detail/Detail?PublicationID=P20160907322</v>
      </c>
    </row>
    <row r="3239" spans="1:11" ht="51" x14ac:dyDescent="0.4">
      <c r="A3239" s="10" t="s">
        <v>5420</v>
      </c>
      <c r="B3239" s="10" t="s">
        <v>5421</v>
      </c>
      <c r="C3239" s="10" t="s">
        <v>130</v>
      </c>
      <c r="D3239" s="10" t="s">
        <v>5422</v>
      </c>
      <c r="E3239" s="10" t="s">
        <v>4129</v>
      </c>
      <c r="F3239" s="10" t="s">
        <v>5423</v>
      </c>
      <c r="G3239" s="10" t="s">
        <v>32</v>
      </c>
      <c r="H3239" s="7" t="s">
        <v>24</v>
      </c>
      <c r="I3239" s="7" t="s">
        <v>25</v>
      </c>
      <c r="J3239" s="13" t="str">
        <f>HYPERLINK("https://www.airitibooks.com/Detail/Detail?PublicationID=P20160907341", "https://www.airitibooks.com/Detail/Detail?PublicationID=P20160907341")</f>
        <v>https://www.airitibooks.com/Detail/Detail?PublicationID=P20160907341</v>
      </c>
      <c r="K3239" s="13" t="str">
        <f>HYPERLINK("https://ntsu.idm.oclc.org/login?url=https://www.airitibooks.com/Detail/Detail?PublicationID=P20160907341", "https://ntsu.idm.oclc.org/login?url=https://www.airitibooks.com/Detail/Detail?PublicationID=P20160907341")</f>
        <v>https://ntsu.idm.oclc.org/login?url=https://www.airitibooks.com/Detail/Detail?PublicationID=P20160907341</v>
      </c>
    </row>
    <row r="3240" spans="1:11" ht="51" x14ac:dyDescent="0.4">
      <c r="A3240" s="10" t="s">
        <v>5444</v>
      </c>
      <c r="B3240" s="10" t="s">
        <v>5445</v>
      </c>
      <c r="C3240" s="10" t="s">
        <v>938</v>
      </c>
      <c r="D3240" s="10" t="s">
        <v>5446</v>
      </c>
      <c r="E3240" s="10" t="s">
        <v>4129</v>
      </c>
      <c r="F3240" s="10" t="s">
        <v>181</v>
      </c>
      <c r="G3240" s="10" t="s">
        <v>32</v>
      </c>
      <c r="H3240" s="7" t="s">
        <v>24</v>
      </c>
      <c r="I3240" s="7" t="s">
        <v>25</v>
      </c>
      <c r="J3240" s="13" t="str">
        <f>HYPERLINK("https://www.airitibooks.com/Detail/Detail?PublicationID=P20160913010", "https://www.airitibooks.com/Detail/Detail?PublicationID=P20160913010")</f>
        <v>https://www.airitibooks.com/Detail/Detail?PublicationID=P20160913010</v>
      </c>
      <c r="K3240" s="13" t="str">
        <f>HYPERLINK("https://ntsu.idm.oclc.org/login?url=https://www.airitibooks.com/Detail/Detail?PublicationID=P20160913010", "https://ntsu.idm.oclc.org/login?url=https://www.airitibooks.com/Detail/Detail?PublicationID=P20160913010")</f>
        <v>https://ntsu.idm.oclc.org/login?url=https://www.airitibooks.com/Detail/Detail?PublicationID=P20160913010</v>
      </c>
    </row>
    <row r="3241" spans="1:11" ht="51" x14ac:dyDescent="0.4">
      <c r="A3241" s="10" t="s">
        <v>5447</v>
      </c>
      <c r="B3241" s="10" t="s">
        <v>5448</v>
      </c>
      <c r="C3241" s="10" t="s">
        <v>938</v>
      </c>
      <c r="D3241" s="10" t="s">
        <v>5263</v>
      </c>
      <c r="E3241" s="10" t="s">
        <v>4129</v>
      </c>
      <c r="F3241" s="10" t="s">
        <v>181</v>
      </c>
      <c r="G3241" s="10" t="s">
        <v>32</v>
      </c>
      <c r="H3241" s="7" t="s">
        <v>24</v>
      </c>
      <c r="I3241" s="7" t="s">
        <v>25</v>
      </c>
      <c r="J3241" s="13" t="str">
        <f>HYPERLINK("https://www.airitibooks.com/Detail/Detail?PublicationID=P20160913013", "https://www.airitibooks.com/Detail/Detail?PublicationID=P20160913013")</f>
        <v>https://www.airitibooks.com/Detail/Detail?PublicationID=P20160913013</v>
      </c>
      <c r="K3241" s="13" t="str">
        <f>HYPERLINK("https://ntsu.idm.oclc.org/login?url=https://www.airitibooks.com/Detail/Detail?PublicationID=P20160913013", "https://ntsu.idm.oclc.org/login?url=https://www.airitibooks.com/Detail/Detail?PublicationID=P20160913013")</f>
        <v>https://ntsu.idm.oclc.org/login?url=https://www.airitibooks.com/Detail/Detail?PublicationID=P20160913013</v>
      </c>
    </row>
    <row r="3242" spans="1:11" ht="51" x14ac:dyDescent="0.4">
      <c r="A3242" s="10" t="s">
        <v>5449</v>
      </c>
      <c r="B3242" s="10" t="s">
        <v>5450</v>
      </c>
      <c r="C3242" s="10" t="s">
        <v>938</v>
      </c>
      <c r="D3242" s="10" t="s">
        <v>5451</v>
      </c>
      <c r="E3242" s="10" t="s">
        <v>4129</v>
      </c>
      <c r="F3242" s="10" t="s">
        <v>4038</v>
      </c>
      <c r="G3242" s="10" t="s">
        <v>32</v>
      </c>
      <c r="H3242" s="7" t="s">
        <v>24</v>
      </c>
      <c r="I3242" s="7" t="s">
        <v>25</v>
      </c>
      <c r="J3242" s="13" t="str">
        <f>HYPERLINK("https://www.airitibooks.com/Detail/Detail?PublicationID=P20160913014", "https://www.airitibooks.com/Detail/Detail?PublicationID=P20160913014")</f>
        <v>https://www.airitibooks.com/Detail/Detail?PublicationID=P20160913014</v>
      </c>
      <c r="K3242" s="13" t="str">
        <f>HYPERLINK("https://ntsu.idm.oclc.org/login?url=https://www.airitibooks.com/Detail/Detail?PublicationID=P20160913014", "https://ntsu.idm.oclc.org/login?url=https://www.airitibooks.com/Detail/Detail?PublicationID=P20160913014")</f>
        <v>https://ntsu.idm.oclc.org/login?url=https://www.airitibooks.com/Detail/Detail?PublicationID=P20160913014</v>
      </c>
    </row>
    <row r="3243" spans="1:11" ht="51" x14ac:dyDescent="0.4">
      <c r="A3243" s="10" t="s">
        <v>5454</v>
      </c>
      <c r="B3243" s="10" t="s">
        <v>5455</v>
      </c>
      <c r="C3243" s="10" t="s">
        <v>938</v>
      </c>
      <c r="D3243" s="10" t="s">
        <v>5446</v>
      </c>
      <c r="E3243" s="10" t="s">
        <v>4129</v>
      </c>
      <c r="F3243" s="10" t="s">
        <v>181</v>
      </c>
      <c r="G3243" s="10" t="s">
        <v>32</v>
      </c>
      <c r="H3243" s="7" t="s">
        <v>24</v>
      </c>
      <c r="I3243" s="7" t="s">
        <v>25</v>
      </c>
      <c r="J3243" s="13" t="str">
        <f>HYPERLINK("https://www.airitibooks.com/Detail/Detail?PublicationID=P20160913016", "https://www.airitibooks.com/Detail/Detail?PublicationID=P20160913016")</f>
        <v>https://www.airitibooks.com/Detail/Detail?PublicationID=P20160913016</v>
      </c>
      <c r="K3243" s="13" t="str">
        <f>HYPERLINK("https://ntsu.idm.oclc.org/login?url=https://www.airitibooks.com/Detail/Detail?PublicationID=P20160913016", "https://ntsu.idm.oclc.org/login?url=https://www.airitibooks.com/Detail/Detail?PublicationID=P20160913016")</f>
        <v>https://ntsu.idm.oclc.org/login?url=https://www.airitibooks.com/Detail/Detail?PublicationID=P20160913016</v>
      </c>
    </row>
    <row r="3244" spans="1:11" ht="51" x14ac:dyDescent="0.4">
      <c r="A3244" s="10" t="s">
        <v>5479</v>
      </c>
      <c r="B3244" s="10" t="s">
        <v>5480</v>
      </c>
      <c r="C3244" s="10" t="s">
        <v>938</v>
      </c>
      <c r="D3244" s="10" t="s">
        <v>5481</v>
      </c>
      <c r="E3244" s="10" t="s">
        <v>4129</v>
      </c>
      <c r="F3244" s="10" t="s">
        <v>5482</v>
      </c>
      <c r="G3244" s="10" t="s">
        <v>32</v>
      </c>
      <c r="H3244" s="7" t="s">
        <v>24</v>
      </c>
      <c r="I3244" s="7" t="s">
        <v>25</v>
      </c>
      <c r="J3244" s="13" t="str">
        <f>HYPERLINK("https://www.airitibooks.com/Detail/Detail?PublicationID=P20160913045", "https://www.airitibooks.com/Detail/Detail?PublicationID=P20160913045")</f>
        <v>https://www.airitibooks.com/Detail/Detail?PublicationID=P20160913045</v>
      </c>
      <c r="K3244" s="13" t="str">
        <f>HYPERLINK("https://ntsu.idm.oclc.org/login?url=https://www.airitibooks.com/Detail/Detail?PublicationID=P20160913045", "https://ntsu.idm.oclc.org/login?url=https://www.airitibooks.com/Detail/Detail?PublicationID=P20160913045")</f>
        <v>https://ntsu.idm.oclc.org/login?url=https://www.airitibooks.com/Detail/Detail?PublicationID=P20160913045</v>
      </c>
    </row>
    <row r="3245" spans="1:11" ht="51" x14ac:dyDescent="0.4">
      <c r="A3245" s="10" t="s">
        <v>5493</v>
      </c>
      <c r="B3245" s="10" t="s">
        <v>5494</v>
      </c>
      <c r="C3245" s="10" t="s">
        <v>130</v>
      </c>
      <c r="D3245" s="10" t="s">
        <v>4164</v>
      </c>
      <c r="E3245" s="10" t="s">
        <v>4129</v>
      </c>
      <c r="F3245" s="10" t="s">
        <v>2844</v>
      </c>
      <c r="G3245" s="10" t="s">
        <v>32</v>
      </c>
      <c r="H3245" s="7" t="s">
        <v>24</v>
      </c>
      <c r="I3245" s="7" t="s">
        <v>25</v>
      </c>
      <c r="J3245" s="13" t="str">
        <f>HYPERLINK("https://www.airitibooks.com/Detail/Detail?PublicationID=P20160913055", "https://www.airitibooks.com/Detail/Detail?PublicationID=P20160913055")</f>
        <v>https://www.airitibooks.com/Detail/Detail?PublicationID=P20160913055</v>
      </c>
      <c r="K3245" s="13" t="str">
        <f>HYPERLINK("https://ntsu.idm.oclc.org/login?url=https://www.airitibooks.com/Detail/Detail?PublicationID=P20160913055", "https://ntsu.idm.oclc.org/login?url=https://www.airitibooks.com/Detail/Detail?PublicationID=P20160913055")</f>
        <v>https://ntsu.idm.oclc.org/login?url=https://www.airitibooks.com/Detail/Detail?PublicationID=P20160913055</v>
      </c>
    </row>
    <row r="3246" spans="1:11" ht="51" x14ac:dyDescent="0.4">
      <c r="A3246" s="10" t="s">
        <v>5495</v>
      </c>
      <c r="B3246" s="10" t="s">
        <v>5496</v>
      </c>
      <c r="C3246" s="10" t="s">
        <v>130</v>
      </c>
      <c r="D3246" s="10" t="s">
        <v>5497</v>
      </c>
      <c r="E3246" s="10" t="s">
        <v>4129</v>
      </c>
      <c r="F3246" s="10" t="s">
        <v>5498</v>
      </c>
      <c r="G3246" s="10" t="s">
        <v>32</v>
      </c>
      <c r="H3246" s="7" t="s">
        <v>24</v>
      </c>
      <c r="I3246" s="7" t="s">
        <v>25</v>
      </c>
      <c r="J3246" s="13" t="str">
        <f>HYPERLINK("https://www.airitibooks.com/Detail/Detail?PublicationID=P20160913056", "https://www.airitibooks.com/Detail/Detail?PublicationID=P20160913056")</f>
        <v>https://www.airitibooks.com/Detail/Detail?PublicationID=P20160913056</v>
      </c>
      <c r="K3246" s="13" t="str">
        <f>HYPERLINK("https://ntsu.idm.oclc.org/login?url=https://www.airitibooks.com/Detail/Detail?PublicationID=P20160913056", "https://ntsu.idm.oclc.org/login?url=https://www.airitibooks.com/Detail/Detail?PublicationID=P20160913056")</f>
        <v>https://ntsu.idm.oclc.org/login?url=https://www.airitibooks.com/Detail/Detail?PublicationID=P20160913056</v>
      </c>
    </row>
    <row r="3247" spans="1:11" ht="51" x14ac:dyDescent="0.4">
      <c r="A3247" s="10" t="s">
        <v>5499</v>
      </c>
      <c r="B3247" s="10" t="s">
        <v>5500</v>
      </c>
      <c r="C3247" s="10" t="s">
        <v>746</v>
      </c>
      <c r="D3247" s="10" t="s">
        <v>5501</v>
      </c>
      <c r="E3247" s="10" t="s">
        <v>4129</v>
      </c>
      <c r="F3247" s="10" t="s">
        <v>5498</v>
      </c>
      <c r="G3247" s="10" t="s">
        <v>32</v>
      </c>
      <c r="H3247" s="7" t="s">
        <v>24</v>
      </c>
      <c r="I3247" s="7" t="s">
        <v>25</v>
      </c>
      <c r="J3247" s="13" t="str">
        <f>HYPERLINK("https://www.airitibooks.com/Detail/Detail?PublicationID=P20160913057", "https://www.airitibooks.com/Detail/Detail?PublicationID=P20160913057")</f>
        <v>https://www.airitibooks.com/Detail/Detail?PublicationID=P20160913057</v>
      </c>
      <c r="K3247" s="13" t="str">
        <f>HYPERLINK("https://ntsu.idm.oclc.org/login?url=https://www.airitibooks.com/Detail/Detail?PublicationID=P20160913057", "https://ntsu.idm.oclc.org/login?url=https://www.airitibooks.com/Detail/Detail?PublicationID=P20160913057")</f>
        <v>https://ntsu.idm.oclc.org/login?url=https://www.airitibooks.com/Detail/Detail?PublicationID=P20160913057</v>
      </c>
    </row>
    <row r="3248" spans="1:11" ht="51" x14ac:dyDescent="0.4">
      <c r="A3248" s="10" t="s">
        <v>5507</v>
      </c>
      <c r="B3248" s="10" t="s">
        <v>5508</v>
      </c>
      <c r="C3248" s="10" t="s">
        <v>746</v>
      </c>
      <c r="D3248" s="10" t="s">
        <v>5509</v>
      </c>
      <c r="E3248" s="10" t="s">
        <v>4129</v>
      </c>
      <c r="F3248" s="10" t="s">
        <v>5498</v>
      </c>
      <c r="G3248" s="10" t="s">
        <v>32</v>
      </c>
      <c r="H3248" s="7" t="s">
        <v>24</v>
      </c>
      <c r="I3248" s="7" t="s">
        <v>25</v>
      </c>
      <c r="J3248" s="13" t="str">
        <f>HYPERLINK("https://www.airitibooks.com/Detail/Detail?PublicationID=P20160913061", "https://www.airitibooks.com/Detail/Detail?PublicationID=P20160913061")</f>
        <v>https://www.airitibooks.com/Detail/Detail?PublicationID=P20160913061</v>
      </c>
      <c r="K3248" s="13" t="str">
        <f>HYPERLINK("https://ntsu.idm.oclc.org/login?url=https://www.airitibooks.com/Detail/Detail?PublicationID=P20160913061", "https://ntsu.idm.oclc.org/login?url=https://www.airitibooks.com/Detail/Detail?PublicationID=P20160913061")</f>
        <v>https://ntsu.idm.oclc.org/login?url=https://www.airitibooks.com/Detail/Detail?PublicationID=P20160913061</v>
      </c>
    </row>
    <row r="3249" spans="1:11" ht="68" x14ac:dyDescent="0.4">
      <c r="A3249" s="10" t="s">
        <v>5537</v>
      </c>
      <c r="B3249" s="10" t="s">
        <v>5538</v>
      </c>
      <c r="C3249" s="10" t="s">
        <v>3832</v>
      </c>
      <c r="D3249" s="10" t="s">
        <v>5539</v>
      </c>
      <c r="E3249" s="10" t="s">
        <v>4129</v>
      </c>
      <c r="F3249" s="10" t="s">
        <v>1135</v>
      </c>
      <c r="G3249" s="10" t="s">
        <v>32</v>
      </c>
      <c r="H3249" s="7" t="s">
        <v>24</v>
      </c>
      <c r="I3249" s="7" t="s">
        <v>25</v>
      </c>
      <c r="J3249" s="13" t="str">
        <f>HYPERLINK("https://www.airitibooks.com/Detail/Detail?PublicationID=P20160913076", "https://www.airitibooks.com/Detail/Detail?PublicationID=P20160913076")</f>
        <v>https://www.airitibooks.com/Detail/Detail?PublicationID=P20160913076</v>
      </c>
      <c r="K3249" s="13" t="str">
        <f>HYPERLINK("https://ntsu.idm.oclc.org/login?url=https://www.airitibooks.com/Detail/Detail?PublicationID=P20160913076", "https://ntsu.idm.oclc.org/login?url=https://www.airitibooks.com/Detail/Detail?PublicationID=P20160913076")</f>
        <v>https://ntsu.idm.oclc.org/login?url=https://www.airitibooks.com/Detail/Detail?PublicationID=P20160913076</v>
      </c>
    </row>
    <row r="3250" spans="1:11" ht="51" x14ac:dyDescent="0.4">
      <c r="A3250" s="10" t="s">
        <v>5599</v>
      </c>
      <c r="B3250" s="10" t="s">
        <v>5600</v>
      </c>
      <c r="C3250" s="10" t="s">
        <v>746</v>
      </c>
      <c r="D3250" s="10" t="s">
        <v>5601</v>
      </c>
      <c r="E3250" s="10" t="s">
        <v>4129</v>
      </c>
      <c r="F3250" s="10" t="s">
        <v>5602</v>
      </c>
      <c r="G3250" s="10" t="s">
        <v>32</v>
      </c>
      <c r="H3250" s="7" t="s">
        <v>24</v>
      </c>
      <c r="I3250" s="7" t="s">
        <v>25</v>
      </c>
      <c r="J3250" s="13" t="str">
        <f>HYPERLINK("https://www.airitibooks.com/Detail/Detail?PublicationID=P20161004096", "https://www.airitibooks.com/Detail/Detail?PublicationID=P20161004096")</f>
        <v>https://www.airitibooks.com/Detail/Detail?PublicationID=P20161004096</v>
      </c>
      <c r="K3250" s="13" t="str">
        <f>HYPERLINK("https://ntsu.idm.oclc.org/login?url=https://www.airitibooks.com/Detail/Detail?PublicationID=P20161004096", "https://ntsu.idm.oclc.org/login?url=https://www.airitibooks.com/Detail/Detail?PublicationID=P20161004096")</f>
        <v>https://ntsu.idm.oclc.org/login?url=https://www.airitibooks.com/Detail/Detail?PublicationID=P20161004096</v>
      </c>
    </row>
    <row r="3251" spans="1:11" ht="51" x14ac:dyDescent="0.4">
      <c r="A3251" s="10" t="s">
        <v>5606</v>
      </c>
      <c r="B3251" s="10" t="s">
        <v>5607</v>
      </c>
      <c r="C3251" s="10" t="s">
        <v>746</v>
      </c>
      <c r="D3251" s="10" t="s">
        <v>5608</v>
      </c>
      <c r="E3251" s="10" t="s">
        <v>4129</v>
      </c>
      <c r="F3251" s="10" t="s">
        <v>5609</v>
      </c>
      <c r="G3251" s="10" t="s">
        <v>32</v>
      </c>
      <c r="H3251" s="7" t="s">
        <v>24</v>
      </c>
      <c r="I3251" s="7" t="s">
        <v>25</v>
      </c>
      <c r="J3251" s="13" t="str">
        <f>HYPERLINK("https://www.airitibooks.com/Detail/Detail?PublicationID=P20161004098", "https://www.airitibooks.com/Detail/Detail?PublicationID=P20161004098")</f>
        <v>https://www.airitibooks.com/Detail/Detail?PublicationID=P20161004098</v>
      </c>
      <c r="K3251" s="13" t="str">
        <f>HYPERLINK("https://ntsu.idm.oclc.org/login?url=https://www.airitibooks.com/Detail/Detail?PublicationID=P20161004098", "https://ntsu.idm.oclc.org/login?url=https://www.airitibooks.com/Detail/Detail?PublicationID=P20161004098")</f>
        <v>https://ntsu.idm.oclc.org/login?url=https://www.airitibooks.com/Detail/Detail?PublicationID=P20161004098</v>
      </c>
    </row>
    <row r="3252" spans="1:11" ht="68" x14ac:dyDescent="0.4">
      <c r="A3252" s="10" t="s">
        <v>5619</v>
      </c>
      <c r="B3252" s="10" t="s">
        <v>5620</v>
      </c>
      <c r="C3252" s="10" t="s">
        <v>108</v>
      </c>
      <c r="D3252" s="10" t="s">
        <v>5621</v>
      </c>
      <c r="E3252" s="10" t="s">
        <v>4129</v>
      </c>
      <c r="F3252" s="10" t="s">
        <v>185</v>
      </c>
      <c r="G3252" s="10" t="s">
        <v>32</v>
      </c>
      <c r="H3252" s="7" t="s">
        <v>24</v>
      </c>
      <c r="I3252" s="7" t="s">
        <v>25</v>
      </c>
      <c r="J3252" s="13" t="str">
        <f>HYPERLINK("https://www.airitibooks.com/Detail/Detail?PublicationID=P20161004121", "https://www.airitibooks.com/Detail/Detail?PublicationID=P20161004121")</f>
        <v>https://www.airitibooks.com/Detail/Detail?PublicationID=P20161004121</v>
      </c>
      <c r="K3252" s="13" t="str">
        <f>HYPERLINK("https://ntsu.idm.oclc.org/login?url=https://www.airitibooks.com/Detail/Detail?PublicationID=P20161004121", "https://ntsu.idm.oclc.org/login?url=https://www.airitibooks.com/Detail/Detail?PublicationID=P20161004121")</f>
        <v>https://ntsu.idm.oclc.org/login?url=https://www.airitibooks.com/Detail/Detail?PublicationID=P20161004121</v>
      </c>
    </row>
    <row r="3253" spans="1:11" ht="51" x14ac:dyDescent="0.4">
      <c r="A3253" s="10" t="s">
        <v>5703</v>
      </c>
      <c r="B3253" s="10" t="s">
        <v>5704</v>
      </c>
      <c r="C3253" s="10" t="s">
        <v>152</v>
      </c>
      <c r="D3253" s="10" t="s">
        <v>5705</v>
      </c>
      <c r="E3253" s="10" t="s">
        <v>4129</v>
      </c>
      <c r="F3253" s="10" t="s">
        <v>1941</v>
      </c>
      <c r="G3253" s="10" t="s">
        <v>32</v>
      </c>
      <c r="H3253" s="7" t="s">
        <v>24</v>
      </c>
      <c r="I3253" s="7" t="s">
        <v>25</v>
      </c>
      <c r="J3253" s="13" t="str">
        <f>HYPERLINK("https://www.airitibooks.com/Detail/Detail?PublicationID=P20161219024", "https://www.airitibooks.com/Detail/Detail?PublicationID=P20161219024")</f>
        <v>https://www.airitibooks.com/Detail/Detail?PublicationID=P20161219024</v>
      </c>
      <c r="K3253" s="13" t="str">
        <f>HYPERLINK("https://ntsu.idm.oclc.org/login?url=https://www.airitibooks.com/Detail/Detail?PublicationID=P20161219024", "https://ntsu.idm.oclc.org/login?url=https://www.airitibooks.com/Detail/Detail?PublicationID=P20161219024")</f>
        <v>https://ntsu.idm.oclc.org/login?url=https://www.airitibooks.com/Detail/Detail?PublicationID=P20161219024</v>
      </c>
    </row>
    <row r="3254" spans="1:11" ht="51" x14ac:dyDescent="0.4">
      <c r="A3254" s="10" t="s">
        <v>5706</v>
      </c>
      <c r="B3254" s="10" t="s">
        <v>5707</v>
      </c>
      <c r="C3254" s="10" t="s">
        <v>152</v>
      </c>
      <c r="D3254" s="10" t="s">
        <v>5708</v>
      </c>
      <c r="E3254" s="10" t="s">
        <v>4129</v>
      </c>
      <c r="F3254" s="10" t="s">
        <v>3949</v>
      </c>
      <c r="G3254" s="10" t="s">
        <v>32</v>
      </c>
      <c r="H3254" s="7" t="s">
        <v>24</v>
      </c>
      <c r="I3254" s="7" t="s">
        <v>25</v>
      </c>
      <c r="J3254" s="13" t="str">
        <f>HYPERLINK("https://www.airitibooks.com/Detail/Detail?PublicationID=P20161219025", "https://www.airitibooks.com/Detail/Detail?PublicationID=P20161219025")</f>
        <v>https://www.airitibooks.com/Detail/Detail?PublicationID=P20161219025</v>
      </c>
      <c r="K3254" s="13" t="str">
        <f>HYPERLINK("https://ntsu.idm.oclc.org/login?url=https://www.airitibooks.com/Detail/Detail?PublicationID=P20161219025", "https://ntsu.idm.oclc.org/login?url=https://www.airitibooks.com/Detail/Detail?PublicationID=P20161219025")</f>
        <v>https://ntsu.idm.oclc.org/login?url=https://www.airitibooks.com/Detail/Detail?PublicationID=P20161219025</v>
      </c>
    </row>
    <row r="3255" spans="1:11" ht="85" x14ac:dyDescent="0.4">
      <c r="A3255" s="10" t="s">
        <v>5709</v>
      </c>
      <c r="B3255" s="10" t="s">
        <v>5710</v>
      </c>
      <c r="C3255" s="10" t="s">
        <v>152</v>
      </c>
      <c r="D3255" s="10" t="s">
        <v>5711</v>
      </c>
      <c r="E3255" s="10" t="s">
        <v>4129</v>
      </c>
      <c r="F3255" s="10" t="s">
        <v>181</v>
      </c>
      <c r="G3255" s="10" t="s">
        <v>32</v>
      </c>
      <c r="H3255" s="7" t="s">
        <v>24</v>
      </c>
      <c r="I3255" s="7" t="s">
        <v>25</v>
      </c>
      <c r="J3255" s="13" t="str">
        <f>HYPERLINK("https://www.airitibooks.com/Detail/Detail?PublicationID=P20161219026", "https://www.airitibooks.com/Detail/Detail?PublicationID=P20161219026")</f>
        <v>https://www.airitibooks.com/Detail/Detail?PublicationID=P20161219026</v>
      </c>
      <c r="K3255" s="13" t="str">
        <f>HYPERLINK("https://ntsu.idm.oclc.org/login?url=https://www.airitibooks.com/Detail/Detail?PublicationID=P20161219026", "https://ntsu.idm.oclc.org/login?url=https://www.airitibooks.com/Detail/Detail?PublicationID=P20161219026")</f>
        <v>https://ntsu.idm.oclc.org/login?url=https://www.airitibooks.com/Detail/Detail?PublicationID=P20161219026</v>
      </c>
    </row>
    <row r="3256" spans="1:11" ht="51" x14ac:dyDescent="0.4">
      <c r="A3256" s="10" t="s">
        <v>5712</v>
      </c>
      <c r="B3256" s="10" t="s">
        <v>5713</v>
      </c>
      <c r="C3256" s="10" t="s">
        <v>152</v>
      </c>
      <c r="D3256" s="10" t="s">
        <v>5714</v>
      </c>
      <c r="E3256" s="10" t="s">
        <v>4129</v>
      </c>
      <c r="F3256" s="10" t="s">
        <v>181</v>
      </c>
      <c r="G3256" s="10" t="s">
        <v>32</v>
      </c>
      <c r="H3256" s="7" t="s">
        <v>24</v>
      </c>
      <c r="I3256" s="7" t="s">
        <v>25</v>
      </c>
      <c r="J3256" s="13" t="str">
        <f>HYPERLINK("https://www.airitibooks.com/Detail/Detail?PublicationID=P20161219027", "https://www.airitibooks.com/Detail/Detail?PublicationID=P20161219027")</f>
        <v>https://www.airitibooks.com/Detail/Detail?PublicationID=P20161219027</v>
      </c>
      <c r="K3256" s="13" t="str">
        <f>HYPERLINK("https://ntsu.idm.oclc.org/login?url=https://www.airitibooks.com/Detail/Detail?PublicationID=P20161219027", "https://ntsu.idm.oclc.org/login?url=https://www.airitibooks.com/Detail/Detail?PublicationID=P20161219027")</f>
        <v>https://ntsu.idm.oclc.org/login?url=https://www.airitibooks.com/Detail/Detail?PublicationID=P20161219027</v>
      </c>
    </row>
    <row r="3257" spans="1:11" ht="51" x14ac:dyDescent="0.4">
      <c r="A3257" s="10" t="s">
        <v>5715</v>
      </c>
      <c r="B3257" s="10" t="s">
        <v>5716</v>
      </c>
      <c r="C3257" s="10" t="s">
        <v>152</v>
      </c>
      <c r="D3257" s="10" t="s">
        <v>5717</v>
      </c>
      <c r="E3257" s="10" t="s">
        <v>4129</v>
      </c>
      <c r="F3257" s="10" t="s">
        <v>3953</v>
      </c>
      <c r="G3257" s="10" t="s">
        <v>32</v>
      </c>
      <c r="H3257" s="7" t="s">
        <v>24</v>
      </c>
      <c r="I3257" s="7" t="s">
        <v>25</v>
      </c>
      <c r="J3257" s="13" t="str">
        <f>HYPERLINK("https://www.airitibooks.com/Detail/Detail?PublicationID=P20161219029", "https://www.airitibooks.com/Detail/Detail?PublicationID=P20161219029")</f>
        <v>https://www.airitibooks.com/Detail/Detail?PublicationID=P20161219029</v>
      </c>
      <c r="K3257" s="13" t="str">
        <f>HYPERLINK("https://ntsu.idm.oclc.org/login?url=https://www.airitibooks.com/Detail/Detail?PublicationID=P20161219029", "https://ntsu.idm.oclc.org/login?url=https://www.airitibooks.com/Detail/Detail?PublicationID=P20161219029")</f>
        <v>https://ntsu.idm.oclc.org/login?url=https://www.airitibooks.com/Detail/Detail?PublicationID=P20161219029</v>
      </c>
    </row>
    <row r="3258" spans="1:11" ht="51" x14ac:dyDescent="0.4">
      <c r="A3258" s="10" t="s">
        <v>5718</v>
      </c>
      <c r="B3258" s="10" t="s">
        <v>5719</v>
      </c>
      <c r="C3258" s="10" t="s">
        <v>152</v>
      </c>
      <c r="D3258" s="10" t="s">
        <v>5720</v>
      </c>
      <c r="E3258" s="10" t="s">
        <v>4129</v>
      </c>
      <c r="F3258" s="10" t="s">
        <v>3953</v>
      </c>
      <c r="G3258" s="10" t="s">
        <v>32</v>
      </c>
      <c r="H3258" s="7" t="s">
        <v>24</v>
      </c>
      <c r="I3258" s="7" t="s">
        <v>25</v>
      </c>
      <c r="J3258" s="13" t="str">
        <f>HYPERLINK("https://www.airitibooks.com/Detail/Detail?PublicationID=P20161219030", "https://www.airitibooks.com/Detail/Detail?PublicationID=P20161219030")</f>
        <v>https://www.airitibooks.com/Detail/Detail?PublicationID=P20161219030</v>
      </c>
      <c r="K3258" s="13" t="str">
        <f>HYPERLINK("https://ntsu.idm.oclc.org/login?url=https://www.airitibooks.com/Detail/Detail?PublicationID=P20161219030", "https://ntsu.idm.oclc.org/login?url=https://www.airitibooks.com/Detail/Detail?PublicationID=P20161219030")</f>
        <v>https://ntsu.idm.oclc.org/login?url=https://www.airitibooks.com/Detail/Detail?PublicationID=P20161219030</v>
      </c>
    </row>
    <row r="3259" spans="1:11" ht="51" x14ac:dyDescent="0.4">
      <c r="A3259" s="10" t="s">
        <v>5721</v>
      </c>
      <c r="B3259" s="10" t="s">
        <v>5722</v>
      </c>
      <c r="C3259" s="10" t="s">
        <v>152</v>
      </c>
      <c r="D3259" s="10" t="s">
        <v>5723</v>
      </c>
      <c r="E3259" s="10" t="s">
        <v>4129</v>
      </c>
      <c r="F3259" s="10" t="s">
        <v>3953</v>
      </c>
      <c r="G3259" s="10" t="s">
        <v>32</v>
      </c>
      <c r="H3259" s="7" t="s">
        <v>24</v>
      </c>
      <c r="I3259" s="7" t="s">
        <v>25</v>
      </c>
      <c r="J3259" s="13" t="str">
        <f>HYPERLINK("https://www.airitibooks.com/Detail/Detail?PublicationID=P20161219031", "https://www.airitibooks.com/Detail/Detail?PublicationID=P20161219031")</f>
        <v>https://www.airitibooks.com/Detail/Detail?PublicationID=P20161219031</v>
      </c>
      <c r="K3259" s="13" t="str">
        <f>HYPERLINK("https://ntsu.idm.oclc.org/login?url=https://www.airitibooks.com/Detail/Detail?PublicationID=P20161219031", "https://ntsu.idm.oclc.org/login?url=https://www.airitibooks.com/Detail/Detail?PublicationID=P20161219031")</f>
        <v>https://ntsu.idm.oclc.org/login?url=https://www.airitibooks.com/Detail/Detail?PublicationID=P20161219031</v>
      </c>
    </row>
    <row r="3260" spans="1:11" ht="51" x14ac:dyDescent="0.4">
      <c r="A3260" s="10" t="s">
        <v>5724</v>
      </c>
      <c r="B3260" s="10" t="s">
        <v>5725</v>
      </c>
      <c r="C3260" s="10" t="s">
        <v>152</v>
      </c>
      <c r="D3260" s="10" t="s">
        <v>5726</v>
      </c>
      <c r="E3260" s="10" t="s">
        <v>4129</v>
      </c>
      <c r="F3260" s="10" t="s">
        <v>3953</v>
      </c>
      <c r="G3260" s="10" t="s">
        <v>32</v>
      </c>
      <c r="H3260" s="7" t="s">
        <v>24</v>
      </c>
      <c r="I3260" s="7" t="s">
        <v>25</v>
      </c>
      <c r="J3260" s="13" t="str">
        <f>HYPERLINK("https://www.airitibooks.com/Detail/Detail?PublicationID=P20161219032", "https://www.airitibooks.com/Detail/Detail?PublicationID=P20161219032")</f>
        <v>https://www.airitibooks.com/Detail/Detail?PublicationID=P20161219032</v>
      </c>
      <c r="K3260" s="13" t="str">
        <f>HYPERLINK("https://ntsu.idm.oclc.org/login?url=https://www.airitibooks.com/Detail/Detail?PublicationID=P20161219032", "https://ntsu.idm.oclc.org/login?url=https://www.airitibooks.com/Detail/Detail?PublicationID=P20161219032")</f>
        <v>https://ntsu.idm.oclc.org/login?url=https://www.airitibooks.com/Detail/Detail?PublicationID=P20161219032</v>
      </c>
    </row>
    <row r="3261" spans="1:11" ht="51" x14ac:dyDescent="0.4">
      <c r="A3261" s="10" t="s">
        <v>5727</v>
      </c>
      <c r="B3261" s="10" t="s">
        <v>5728</v>
      </c>
      <c r="C3261" s="10" t="s">
        <v>152</v>
      </c>
      <c r="D3261" s="10" t="s">
        <v>5729</v>
      </c>
      <c r="E3261" s="10" t="s">
        <v>4129</v>
      </c>
      <c r="F3261" s="10" t="s">
        <v>575</v>
      </c>
      <c r="G3261" s="10" t="s">
        <v>32</v>
      </c>
      <c r="H3261" s="7" t="s">
        <v>24</v>
      </c>
      <c r="I3261" s="7" t="s">
        <v>25</v>
      </c>
      <c r="J3261" s="13" t="str">
        <f>HYPERLINK("https://www.airitibooks.com/Detail/Detail?PublicationID=P20161219039", "https://www.airitibooks.com/Detail/Detail?PublicationID=P20161219039")</f>
        <v>https://www.airitibooks.com/Detail/Detail?PublicationID=P20161219039</v>
      </c>
      <c r="K3261" s="13" t="str">
        <f>HYPERLINK("https://ntsu.idm.oclc.org/login?url=https://www.airitibooks.com/Detail/Detail?PublicationID=P20161219039", "https://ntsu.idm.oclc.org/login?url=https://www.airitibooks.com/Detail/Detail?PublicationID=P20161219039")</f>
        <v>https://ntsu.idm.oclc.org/login?url=https://www.airitibooks.com/Detail/Detail?PublicationID=P20161219039</v>
      </c>
    </row>
    <row r="3262" spans="1:11" ht="51" x14ac:dyDescent="0.4">
      <c r="A3262" s="10" t="s">
        <v>5730</v>
      </c>
      <c r="B3262" s="10" t="s">
        <v>5731</v>
      </c>
      <c r="C3262" s="10" t="s">
        <v>152</v>
      </c>
      <c r="D3262" s="10" t="s">
        <v>5732</v>
      </c>
      <c r="E3262" s="10" t="s">
        <v>4129</v>
      </c>
      <c r="F3262" s="10" t="s">
        <v>575</v>
      </c>
      <c r="G3262" s="10" t="s">
        <v>32</v>
      </c>
      <c r="H3262" s="7" t="s">
        <v>24</v>
      </c>
      <c r="I3262" s="7" t="s">
        <v>25</v>
      </c>
      <c r="J3262" s="13" t="str">
        <f>HYPERLINK("https://www.airitibooks.com/Detail/Detail?PublicationID=P20161219040", "https://www.airitibooks.com/Detail/Detail?PublicationID=P20161219040")</f>
        <v>https://www.airitibooks.com/Detail/Detail?PublicationID=P20161219040</v>
      </c>
      <c r="K3262" s="13" t="str">
        <f>HYPERLINK("https://ntsu.idm.oclc.org/login?url=https://www.airitibooks.com/Detail/Detail?PublicationID=P20161219040", "https://ntsu.idm.oclc.org/login?url=https://www.airitibooks.com/Detail/Detail?PublicationID=P20161219040")</f>
        <v>https://ntsu.idm.oclc.org/login?url=https://www.airitibooks.com/Detail/Detail?PublicationID=P20161219040</v>
      </c>
    </row>
    <row r="3263" spans="1:11" ht="51" x14ac:dyDescent="0.4">
      <c r="A3263" s="10" t="s">
        <v>5736</v>
      </c>
      <c r="B3263" s="10" t="s">
        <v>5737</v>
      </c>
      <c r="C3263" s="10" t="s">
        <v>130</v>
      </c>
      <c r="D3263" s="10" t="s">
        <v>5738</v>
      </c>
      <c r="E3263" s="10" t="s">
        <v>4129</v>
      </c>
      <c r="F3263" s="10" t="s">
        <v>3639</v>
      </c>
      <c r="G3263" s="10" t="s">
        <v>32</v>
      </c>
      <c r="H3263" s="7" t="s">
        <v>24</v>
      </c>
      <c r="I3263" s="7" t="s">
        <v>25</v>
      </c>
      <c r="J3263" s="13" t="str">
        <f>HYPERLINK("https://www.airitibooks.com/Detail/Detail?PublicationID=P20161219067", "https://www.airitibooks.com/Detail/Detail?PublicationID=P20161219067")</f>
        <v>https://www.airitibooks.com/Detail/Detail?PublicationID=P20161219067</v>
      </c>
      <c r="K3263" s="13" t="str">
        <f>HYPERLINK("https://ntsu.idm.oclc.org/login?url=https://www.airitibooks.com/Detail/Detail?PublicationID=P20161219067", "https://ntsu.idm.oclc.org/login?url=https://www.airitibooks.com/Detail/Detail?PublicationID=P20161219067")</f>
        <v>https://ntsu.idm.oclc.org/login?url=https://www.airitibooks.com/Detail/Detail?PublicationID=P20161219067</v>
      </c>
    </row>
    <row r="3264" spans="1:11" ht="51" x14ac:dyDescent="0.4">
      <c r="A3264" s="10" t="s">
        <v>5739</v>
      </c>
      <c r="B3264" s="10" t="s">
        <v>5740</v>
      </c>
      <c r="C3264" s="10" t="s">
        <v>130</v>
      </c>
      <c r="D3264" s="10" t="s">
        <v>5741</v>
      </c>
      <c r="E3264" s="10" t="s">
        <v>4129</v>
      </c>
      <c r="F3264" s="10" t="s">
        <v>5742</v>
      </c>
      <c r="G3264" s="10" t="s">
        <v>32</v>
      </c>
      <c r="H3264" s="7" t="s">
        <v>24</v>
      </c>
      <c r="I3264" s="7" t="s">
        <v>25</v>
      </c>
      <c r="J3264" s="13" t="str">
        <f>HYPERLINK("https://www.airitibooks.com/Detail/Detail?PublicationID=P20161219068", "https://www.airitibooks.com/Detail/Detail?PublicationID=P20161219068")</f>
        <v>https://www.airitibooks.com/Detail/Detail?PublicationID=P20161219068</v>
      </c>
      <c r="K3264" s="13" t="str">
        <f>HYPERLINK("https://ntsu.idm.oclc.org/login?url=https://www.airitibooks.com/Detail/Detail?PublicationID=P20161219068", "https://ntsu.idm.oclc.org/login?url=https://www.airitibooks.com/Detail/Detail?PublicationID=P20161219068")</f>
        <v>https://ntsu.idm.oclc.org/login?url=https://www.airitibooks.com/Detail/Detail?PublicationID=P20161219068</v>
      </c>
    </row>
    <row r="3265" spans="1:11" ht="51" x14ac:dyDescent="0.4">
      <c r="A3265" s="10" t="s">
        <v>5855</v>
      </c>
      <c r="B3265" s="10" t="s">
        <v>5856</v>
      </c>
      <c r="C3265" s="10" t="s">
        <v>938</v>
      </c>
      <c r="D3265" s="10" t="s">
        <v>5857</v>
      </c>
      <c r="E3265" s="10" t="s">
        <v>4129</v>
      </c>
      <c r="F3265" s="10" t="s">
        <v>5858</v>
      </c>
      <c r="G3265" s="10" t="s">
        <v>32</v>
      </c>
      <c r="H3265" s="7" t="s">
        <v>24</v>
      </c>
      <c r="I3265" s="7" t="s">
        <v>25</v>
      </c>
      <c r="J3265" s="13" t="str">
        <f>HYPERLINK("https://www.airitibooks.com/Detail/Detail?PublicationID=P20170112030", "https://www.airitibooks.com/Detail/Detail?PublicationID=P20170112030")</f>
        <v>https://www.airitibooks.com/Detail/Detail?PublicationID=P20170112030</v>
      </c>
      <c r="K3265" s="13" t="str">
        <f>HYPERLINK("https://ntsu.idm.oclc.org/login?url=https://www.airitibooks.com/Detail/Detail?PublicationID=P20170112030", "https://ntsu.idm.oclc.org/login?url=https://www.airitibooks.com/Detail/Detail?PublicationID=P20170112030")</f>
        <v>https://ntsu.idm.oclc.org/login?url=https://www.airitibooks.com/Detail/Detail?PublicationID=P20170112030</v>
      </c>
    </row>
    <row r="3266" spans="1:11" ht="51" x14ac:dyDescent="0.4">
      <c r="A3266" s="10" t="s">
        <v>5862</v>
      </c>
      <c r="B3266" s="10" t="s">
        <v>5863</v>
      </c>
      <c r="C3266" s="10" t="s">
        <v>938</v>
      </c>
      <c r="D3266" s="10" t="s">
        <v>5864</v>
      </c>
      <c r="E3266" s="10" t="s">
        <v>4129</v>
      </c>
      <c r="F3266" s="10" t="s">
        <v>5865</v>
      </c>
      <c r="G3266" s="10" t="s">
        <v>32</v>
      </c>
      <c r="H3266" s="7" t="s">
        <v>24</v>
      </c>
      <c r="I3266" s="7" t="s">
        <v>25</v>
      </c>
      <c r="J3266" s="13" t="str">
        <f>HYPERLINK("https://www.airitibooks.com/Detail/Detail?PublicationID=P20170112039", "https://www.airitibooks.com/Detail/Detail?PublicationID=P20170112039")</f>
        <v>https://www.airitibooks.com/Detail/Detail?PublicationID=P20170112039</v>
      </c>
      <c r="K3266" s="13" t="str">
        <f>HYPERLINK("https://ntsu.idm.oclc.org/login?url=https://www.airitibooks.com/Detail/Detail?PublicationID=P20170112039", "https://ntsu.idm.oclc.org/login?url=https://www.airitibooks.com/Detail/Detail?PublicationID=P20170112039")</f>
        <v>https://ntsu.idm.oclc.org/login?url=https://www.airitibooks.com/Detail/Detail?PublicationID=P20170112039</v>
      </c>
    </row>
    <row r="3267" spans="1:11" ht="68" x14ac:dyDescent="0.4">
      <c r="A3267" s="10" t="s">
        <v>5986</v>
      </c>
      <c r="B3267" s="10" t="s">
        <v>5987</v>
      </c>
      <c r="C3267" s="10" t="s">
        <v>1340</v>
      </c>
      <c r="D3267" s="10" t="s">
        <v>5988</v>
      </c>
      <c r="E3267" s="10" t="s">
        <v>4129</v>
      </c>
      <c r="F3267" s="10" t="s">
        <v>1925</v>
      </c>
      <c r="G3267" s="10" t="s">
        <v>32</v>
      </c>
      <c r="H3267" s="7" t="s">
        <v>24</v>
      </c>
      <c r="I3267" s="7" t="s">
        <v>25</v>
      </c>
      <c r="J3267" s="13" t="str">
        <f>HYPERLINK("https://www.airitibooks.com/Detail/Detail?PublicationID=P20170203060", "https://www.airitibooks.com/Detail/Detail?PublicationID=P20170203060")</f>
        <v>https://www.airitibooks.com/Detail/Detail?PublicationID=P20170203060</v>
      </c>
      <c r="K3267" s="13" t="str">
        <f>HYPERLINK("https://ntsu.idm.oclc.org/login?url=https://www.airitibooks.com/Detail/Detail?PublicationID=P20170203060", "https://ntsu.idm.oclc.org/login?url=https://www.airitibooks.com/Detail/Detail?PublicationID=P20170203060")</f>
        <v>https://ntsu.idm.oclc.org/login?url=https://www.airitibooks.com/Detail/Detail?PublicationID=P20170203060</v>
      </c>
    </row>
    <row r="3268" spans="1:11" ht="68" x14ac:dyDescent="0.4">
      <c r="A3268" s="10" t="s">
        <v>6014</v>
      </c>
      <c r="B3268" s="10" t="s">
        <v>6015</v>
      </c>
      <c r="C3268" s="10" t="s">
        <v>3863</v>
      </c>
      <c r="D3268" s="10" t="s">
        <v>6016</v>
      </c>
      <c r="E3268" s="10" t="s">
        <v>4129</v>
      </c>
      <c r="F3268" s="10" t="s">
        <v>3939</v>
      </c>
      <c r="G3268" s="10" t="s">
        <v>32</v>
      </c>
      <c r="H3268" s="7" t="s">
        <v>24</v>
      </c>
      <c r="I3268" s="7" t="s">
        <v>25</v>
      </c>
      <c r="J3268" s="13" t="str">
        <f>HYPERLINK("https://www.airitibooks.com/Detail/Detail?PublicationID=P20170203097", "https://www.airitibooks.com/Detail/Detail?PublicationID=P20170203097")</f>
        <v>https://www.airitibooks.com/Detail/Detail?PublicationID=P20170203097</v>
      </c>
      <c r="K3268" s="13" t="str">
        <f>HYPERLINK("https://ntsu.idm.oclc.org/login?url=https://www.airitibooks.com/Detail/Detail?PublicationID=P20170203097", "https://ntsu.idm.oclc.org/login?url=https://www.airitibooks.com/Detail/Detail?PublicationID=P20170203097")</f>
        <v>https://ntsu.idm.oclc.org/login?url=https://www.airitibooks.com/Detail/Detail?PublicationID=P20170203097</v>
      </c>
    </row>
    <row r="3269" spans="1:11" ht="85" x14ac:dyDescent="0.4">
      <c r="A3269" s="10" t="s">
        <v>6017</v>
      </c>
      <c r="B3269" s="10" t="s">
        <v>6018</v>
      </c>
      <c r="C3269" s="10" t="s">
        <v>3863</v>
      </c>
      <c r="D3269" s="10" t="s">
        <v>6019</v>
      </c>
      <c r="E3269" s="10" t="s">
        <v>4129</v>
      </c>
      <c r="F3269" s="10" t="s">
        <v>3939</v>
      </c>
      <c r="G3269" s="10" t="s">
        <v>32</v>
      </c>
      <c r="H3269" s="7" t="s">
        <v>24</v>
      </c>
      <c r="I3269" s="7" t="s">
        <v>25</v>
      </c>
      <c r="J3269" s="13" t="str">
        <f>HYPERLINK("https://www.airitibooks.com/Detail/Detail?PublicationID=P20170203099", "https://www.airitibooks.com/Detail/Detail?PublicationID=P20170203099")</f>
        <v>https://www.airitibooks.com/Detail/Detail?PublicationID=P20170203099</v>
      </c>
      <c r="K3269" s="13" t="str">
        <f>HYPERLINK("https://ntsu.idm.oclc.org/login?url=https://www.airitibooks.com/Detail/Detail?PublicationID=P20170203099", "https://ntsu.idm.oclc.org/login?url=https://www.airitibooks.com/Detail/Detail?PublicationID=P20170203099")</f>
        <v>https://ntsu.idm.oclc.org/login?url=https://www.airitibooks.com/Detail/Detail?PublicationID=P20170203099</v>
      </c>
    </row>
    <row r="3270" spans="1:11" ht="51" x14ac:dyDescent="0.4">
      <c r="A3270" s="10" t="s">
        <v>6022</v>
      </c>
      <c r="B3270" s="10" t="s">
        <v>6023</v>
      </c>
      <c r="C3270" s="10" t="s">
        <v>568</v>
      </c>
      <c r="D3270" s="10" t="s">
        <v>6024</v>
      </c>
      <c r="E3270" s="10" t="s">
        <v>4129</v>
      </c>
      <c r="F3270" s="10" t="s">
        <v>1064</v>
      </c>
      <c r="G3270" s="10" t="s">
        <v>32</v>
      </c>
      <c r="H3270" s="7" t="s">
        <v>24</v>
      </c>
      <c r="I3270" s="7" t="s">
        <v>25</v>
      </c>
      <c r="J3270" s="13" t="str">
        <f>HYPERLINK("https://www.airitibooks.com/Detail/Detail?PublicationID=P20170203108", "https://www.airitibooks.com/Detail/Detail?PublicationID=P20170203108")</f>
        <v>https://www.airitibooks.com/Detail/Detail?PublicationID=P20170203108</v>
      </c>
      <c r="K3270" s="13" t="str">
        <f>HYPERLINK("https://ntsu.idm.oclc.org/login?url=https://www.airitibooks.com/Detail/Detail?PublicationID=P20170203108", "https://ntsu.idm.oclc.org/login?url=https://www.airitibooks.com/Detail/Detail?PublicationID=P20170203108")</f>
        <v>https://ntsu.idm.oclc.org/login?url=https://www.airitibooks.com/Detail/Detail?PublicationID=P20170203108</v>
      </c>
    </row>
    <row r="3271" spans="1:11" ht="51" x14ac:dyDescent="0.4">
      <c r="A3271" s="10" t="s">
        <v>6025</v>
      </c>
      <c r="B3271" s="10" t="s">
        <v>6026</v>
      </c>
      <c r="C3271" s="10" t="s">
        <v>1262</v>
      </c>
      <c r="D3271" s="10" t="s">
        <v>6027</v>
      </c>
      <c r="E3271" s="10" t="s">
        <v>4129</v>
      </c>
      <c r="F3271" s="10" t="s">
        <v>181</v>
      </c>
      <c r="G3271" s="10" t="s">
        <v>32</v>
      </c>
      <c r="H3271" s="7" t="s">
        <v>24</v>
      </c>
      <c r="I3271" s="7" t="s">
        <v>25</v>
      </c>
      <c r="J3271" s="13" t="str">
        <f>HYPERLINK("https://www.airitibooks.com/Detail/Detail?PublicationID=P20170203109", "https://www.airitibooks.com/Detail/Detail?PublicationID=P20170203109")</f>
        <v>https://www.airitibooks.com/Detail/Detail?PublicationID=P20170203109</v>
      </c>
      <c r="K3271" s="13" t="str">
        <f>HYPERLINK("https://ntsu.idm.oclc.org/login?url=https://www.airitibooks.com/Detail/Detail?PublicationID=P20170203109", "https://ntsu.idm.oclc.org/login?url=https://www.airitibooks.com/Detail/Detail?PublicationID=P20170203109")</f>
        <v>https://ntsu.idm.oclc.org/login?url=https://www.airitibooks.com/Detail/Detail?PublicationID=P20170203109</v>
      </c>
    </row>
    <row r="3272" spans="1:11" ht="51" x14ac:dyDescent="0.4">
      <c r="A3272" s="10" t="s">
        <v>6045</v>
      </c>
      <c r="B3272" s="10" t="s">
        <v>6046</v>
      </c>
      <c r="C3272" s="10" t="s">
        <v>938</v>
      </c>
      <c r="D3272" s="10" t="s">
        <v>5374</v>
      </c>
      <c r="E3272" s="10" t="s">
        <v>4129</v>
      </c>
      <c r="F3272" s="10" t="s">
        <v>6047</v>
      </c>
      <c r="G3272" s="10" t="s">
        <v>32</v>
      </c>
      <c r="H3272" s="7" t="s">
        <v>24</v>
      </c>
      <c r="I3272" s="7" t="s">
        <v>25</v>
      </c>
      <c r="J3272" s="13" t="str">
        <f>HYPERLINK("https://www.airitibooks.com/Detail/Detail?PublicationID=P20170203130", "https://www.airitibooks.com/Detail/Detail?PublicationID=P20170203130")</f>
        <v>https://www.airitibooks.com/Detail/Detail?PublicationID=P20170203130</v>
      </c>
      <c r="K3272" s="13" t="str">
        <f>HYPERLINK("https://ntsu.idm.oclc.org/login?url=https://www.airitibooks.com/Detail/Detail?PublicationID=P20170203130", "https://ntsu.idm.oclc.org/login?url=https://www.airitibooks.com/Detail/Detail?PublicationID=P20170203130")</f>
        <v>https://ntsu.idm.oclc.org/login?url=https://www.airitibooks.com/Detail/Detail?PublicationID=P20170203130</v>
      </c>
    </row>
    <row r="3273" spans="1:11" ht="51" x14ac:dyDescent="0.4">
      <c r="A3273" s="10" t="s">
        <v>6074</v>
      </c>
      <c r="B3273" s="10" t="s">
        <v>6075</v>
      </c>
      <c r="C3273" s="10" t="s">
        <v>3670</v>
      </c>
      <c r="D3273" s="10" t="s">
        <v>4809</v>
      </c>
      <c r="E3273" s="10" t="s">
        <v>4129</v>
      </c>
      <c r="F3273" s="10" t="s">
        <v>2628</v>
      </c>
      <c r="G3273" s="10" t="s">
        <v>32</v>
      </c>
      <c r="H3273" s="7" t="s">
        <v>24</v>
      </c>
      <c r="I3273" s="7" t="s">
        <v>25</v>
      </c>
      <c r="J3273" s="13" t="str">
        <f>HYPERLINK("https://www.airitibooks.com/Detail/Detail?PublicationID=P20170203244", "https://www.airitibooks.com/Detail/Detail?PublicationID=P20170203244")</f>
        <v>https://www.airitibooks.com/Detail/Detail?PublicationID=P20170203244</v>
      </c>
      <c r="K3273" s="13" t="str">
        <f>HYPERLINK("https://ntsu.idm.oclc.org/login?url=https://www.airitibooks.com/Detail/Detail?PublicationID=P20170203244", "https://ntsu.idm.oclc.org/login?url=https://www.airitibooks.com/Detail/Detail?PublicationID=P20170203244")</f>
        <v>https://ntsu.idm.oclc.org/login?url=https://www.airitibooks.com/Detail/Detail?PublicationID=P20170203244</v>
      </c>
    </row>
    <row r="3274" spans="1:11" ht="51" x14ac:dyDescent="0.4">
      <c r="A3274" s="10" t="s">
        <v>6076</v>
      </c>
      <c r="B3274" s="10" t="s">
        <v>6077</v>
      </c>
      <c r="C3274" s="10" t="s">
        <v>3670</v>
      </c>
      <c r="D3274" s="10" t="s">
        <v>2372</v>
      </c>
      <c r="E3274" s="10" t="s">
        <v>4129</v>
      </c>
      <c r="F3274" s="10" t="s">
        <v>2628</v>
      </c>
      <c r="G3274" s="10" t="s">
        <v>32</v>
      </c>
      <c r="H3274" s="7" t="s">
        <v>24</v>
      </c>
      <c r="I3274" s="7" t="s">
        <v>25</v>
      </c>
      <c r="J3274" s="13" t="str">
        <f>HYPERLINK("https://www.airitibooks.com/Detail/Detail?PublicationID=P20170203245", "https://www.airitibooks.com/Detail/Detail?PublicationID=P20170203245")</f>
        <v>https://www.airitibooks.com/Detail/Detail?PublicationID=P20170203245</v>
      </c>
      <c r="K3274" s="13" t="str">
        <f>HYPERLINK("https://ntsu.idm.oclc.org/login?url=https://www.airitibooks.com/Detail/Detail?PublicationID=P20170203245", "https://ntsu.idm.oclc.org/login?url=https://www.airitibooks.com/Detail/Detail?PublicationID=P20170203245")</f>
        <v>https://ntsu.idm.oclc.org/login?url=https://www.airitibooks.com/Detail/Detail?PublicationID=P20170203245</v>
      </c>
    </row>
    <row r="3275" spans="1:11" ht="68" x14ac:dyDescent="0.4">
      <c r="A3275" s="10" t="s">
        <v>6078</v>
      </c>
      <c r="B3275" s="10" t="s">
        <v>6079</v>
      </c>
      <c r="C3275" s="10" t="s">
        <v>3670</v>
      </c>
      <c r="D3275" s="10" t="s">
        <v>6080</v>
      </c>
      <c r="E3275" s="10" t="s">
        <v>4129</v>
      </c>
      <c r="F3275" s="10" t="s">
        <v>6081</v>
      </c>
      <c r="G3275" s="10" t="s">
        <v>32</v>
      </c>
      <c r="H3275" s="7" t="s">
        <v>24</v>
      </c>
      <c r="I3275" s="7" t="s">
        <v>25</v>
      </c>
      <c r="J3275" s="13" t="str">
        <f>HYPERLINK("https://www.airitibooks.com/Detail/Detail?PublicationID=P20170203246", "https://www.airitibooks.com/Detail/Detail?PublicationID=P20170203246")</f>
        <v>https://www.airitibooks.com/Detail/Detail?PublicationID=P20170203246</v>
      </c>
      <c r="K3275" s="13" t="str">
        <f>HYPERLINK("https://ntsu.idm.oclc.org/login?url=https://www.airitibooks.com/Detail/Detail?PublicationID=P20170203246", "https://ntsu.idm.oclc.org/login?url=https://www.airitibooks.com/Detail/Detail?PublicationID=P20170203246")</f>
        <v>https://ntsu.idm.oclc.org/login?url=https://www.airitibooks.com/Detail/Detail?PublicationID=P20170203246</v>
      </c>
    </row>
    <row r="3276" spans="1:11" ht="68" x14ac:dyDescent="0.4">
      <c r="A3276" s="10" t="s">
        <v>6088</v>
      </c>
      <c r="B3276" s="10" t="s">
        <v>6089</v>
      </c>
      <c r="C3276" s="10" t="s">
        <v>3670</v>
      </c>
      <c r="D3276" s="10" t="s">
        <v>2379</v>
      </c>
      <c r="E3276" s="10" t="s">
        <v>4129</v>
      </c>
      <c r="F3276" s="10" t="s">
        <v>6090</v>
      </c>
      <c r="G3276" s="10" t="s">
        <v>32</v>
      </c>
      <c r="H3276" s="7" t="s">
        <v>24</v>
      </c>
      <c r="I3276" s="7" t="s">
        <v>25</v>
      </c>
      <c r="J3276" s="13" t="str">
        <f>HYPERLINK("https://www.airitibooks.com/Detail/Detail?PublicationID=P20170203249", "https://www.airitibooks.com/Detail/Detail?PublicationID=P20170203249")</f>
        <v>https://www.airitibooks.com/Detail/Detail?PublicationID=P20170203249</v>
      </c>
      <c r="K3276" s="13" t="str">
        <f>HYPERLINK("https://ntsu.idm.oclc.org/login?url=https://www.airitibooks.com/Detail/Detail?PublicationID=P20170203249", "https://ntsu.idm.oclc.org/login?url=https://www.airitibooks.com/Detail/Detail?PublicationID=P20170203249")</f>
        <v>https://ntsu.idm.oclc.org/login?url=https://www.airitibooks.com/Detail/Detail?PublicationID=P20170203249</v>
      </c>
    </row>
    <row r="3277" spans="1:11" ht="51" x14ac:dyDescent="0.4">
      <c r="A3277" s="10" t="s">
        <v>6091</v>
      </c>
      <c r="B3277" s="10" t="s">
        <v>6092</v>
      </c>
      <c r="C3277" s="10" t="s">
        <v>3670</v>
      </c>
      <c r="D3277" s="10" t="s">
        <v>2379</v>
      </c>
      <c r="E3277" s="10" t="s">
        <v>4129</v>
      </c>
      <c r="F3277" s="10" t="s">
        <v>2628</v>
      </c>
      <c r="G3277" s="10" t="s">
        <v>32</v>
      </c>
      <c r="H3277" s="7" t="s">
        <v>24</v>
      </c>
      <c r="I3277" s="7" t="s">
        <v>25</v>
      </c>
      <c r="J3277" s="13" t="str">
        <f>HYPERLINK("https://www.airitibooks.com/Detail/Detail?PublicationID=P20170203252", "https://www.airitibooks.com/Detail/Detail?PublicationID=P20170203252")</f>
        <v>https://www.airitibooks.com/Detail/Detail?PublicationID=P20170203252</v>
      </c>
      <c r="K3277" s="13" t="str">
        <f>HYPERLINK("https://ntsu.idm.oclc.org/login?url=https://www.airitibooks.com/Detail/Detail?PublicationID=P20170203252", "https://ntsu.idm.oclc.org/login?url=https://www.airitibooks.com/Detail/Detail?PublicationID=P20170203252")</f>
        <v>https://ntsu.idm.oclc.org/login?url=https://www.airitibooks.com/Detail/Detail?PublicationID=P20170203252</v>
      </c>
    </row>
    <row r="3278" spans="1:11" ht="51" x14ac:dyDescent="0.4">
      <c r="A3278" s="10" t="s">
        <v>6093</v>
      </c>
      <c r="B3278" s="10" t="s">
        <v>6094</v>
      </c>
      <c r="C3278" s="10" t="s">
        <v>3670</v>
      </c>
      <c r="D3278" s="10" t="s">
        <v>2379</v>
      </c>
      <c r="E3278" s="10" t="s">
        <v>4129</v>
      </c>
      <c r="F3278" s="10" t="s">
        <v>2628</v>
      </c>
      <c r="G3278" s="10" t="s">
        <v>32</v>
      </c>
      <c r="H3278" s="7" t="s">
        <v>24</v>
      </c>
      <c r="I3278" s="7" t="s">
        <v>25</v>
      </c>
      <c r="J3278" s="13" t="str">
        <f>HYPERLINK("https://www.airitibooks.com/Detail/Detail?PublicationID=P20170203253", "https://www.airitibooks.com/Detail/Detail?PublicationID=P20170203253")</f>
        <v>https://www.airitibooks.com/Detail/Detail?PublicationID=P20170203253</v>
      </c>
      <c r="K3278" s="13" t="str">
        <f>HYPERLINK("https://ntsu.idm.oclc.org/login?url=https://www.airitibooks.com/Detail/Detail?PublicationID=P20170203253", "https://ntsu.idm.oclc.org/login?url=https://www.airitibooks.com/Detail/Detail?PublicationID=P20170203253")</f>
        <v>https://ntsu.idm.oclc.org/login?url=https://www.airitibooks.com/Detail/Detail?PublicationID=P20170203253</v>
      </c>
    </row>
    <row r="3279" spans="1:11" ht="68" x14ac:dyDescent="0.4">
      <c r="A3279" s="10" t="s">
        <v>6095</v>
      </c>
      <c r="B3279" s="10" t="s">
        <v>6096</v>
      </c>
      <c r="C3279" s="10" t="s">
        <v>3670</v>
      </c>
      <c r="D3279" s="10" t="s">
        <v>6097</v>
      </c>
      <c r="E3279" s="10" t="s">
        <v>4129</v>
      </c>
      <c r="F3279" s="10" t="s">
        <v>185</v>
      </c>
      <c r="G3279" s="10" t="s">
        <v>32</v>
      </c>
      <c r="H3279" s="7" t="s">
        <v>24</v>
      </c>
      <c r="I3279" s="7" t="s">
        <v>25</v>
      </c>
      <c r="J3279" s="13" t="str">
        <f>HYPERLINK("https://www.airitibooks.com/Detail/Detail?PublicationID=P20170203254", "https://www.airitibooks.com/Detail/Detail?PublicationID=P20170203254")</f>
        <v>https://www.airitibooks.com/Detail/Detail?PublicationID=P20170203254</v>
      </c>
      <c r="K3279" s="13" t="str">
        <f>HYPERLINK("https://ntsu.idm.oclc.org/login?url=https://www.airitibooks.com/Detail/Detail?PublicationID=P20170203254", "https://ntsu.idm.oclc.org/login?url=https://www.airitibooks.com/Detail/Detail?PublicationID=P20170203254")</f>
        <v>https://ntsu.idm.oclc.org/login?url=https://www.airitibooks.com/Detail/Detail?PublicationID=P20170203254</v>
      </c>
    </row>
    <row r="3280" spans="1:11" ht="51" x14ac:dyDescent="0.4">
      <c r="A3280" s="10" t="s">
        <v>6098</v>
      </c>
      <c r="B3280" s="10" t="s">
        <v>6099</v>
      </c>
      <c r="C3280" s="10" t="s">
        <v>3670</v>
      </c>
      <c r="D3280" s="10" t="s">
        <v>4831</v>
      </c>
      <c r="E3280" s="10" t="s">
        <v>4129</v>
      </c>
      <c r="F3280" s="10" t="s">
        <v>1535</v>
      </c>
      <c r="G3280" s="10" t="s">
        <v>32</v>
      </c>
      <c r="H3280" s="7" t="s">
        <v>24</v>
      </c>
      <c r="I3280" s="7" t="s">
        <v>25</v>
      </c>
      <c r="J3280" s="13" t="str">
        <f>HYPERLINK("https://www.airitibooks.com/Detail/Detail?PublicationID=P20170203256", "https://www.airitibooks.com/Detail/Detail?PublicationID=P20170203256")</f>
        <v>https://www.airitibooks.com/Detail/Detail?PublicationID=P20170203256</v>
      </c>
      <c r="K3280" s="13" t="str">
        <f>HYPERLINK("https://ntsu.idm.oclc.org/login?url=https://www.airitibooks.com/Detail/Detail?PublicationID=P20170203256", "https://ntsu.idm.oclc.org/login?url=https://www.airitibooks.com/Detail/Detail?PublicationID=P20170203256")</f>
        <v>https://ntsu.idm.oclc.org/login?url=https://www.airitibooks.com/Detail/Detail?PublicationID=P20170203256</v>
      </c>
    </row>
    <row r="3281" spans="1:11" ht="51" x14ac:dyDescent="0.4">
      <c r="A3281" s="10" t="s">
        <v>6100</v>
      </c>
      <c r="B3281" s="10" t="s">
        <v>6101</v>
      </c>
      <c r="C3281" s="10" t="s">
        <v>3670</v>
      </c>
      <c r="D3281" s="10" t="s">
        <v>6102</v>
      </c>
      <c r="E3281" s="10" t="s">
        <v>4129</v>
      </c>
      <c r="F3281" s="10" t="s">
        <v>2628</v>
      </c>
      <c r="G3281" s="10" t="s">
        <v>32</v>
      </c>
      <c r="H3281" s="7" t="s">
        <v>24</v>
      </c>
      <c r="I3281" s="7" t="s">
        <v>25</v>
      </c>
      <c r="J3281" s="13" t="str">
        <f>HYPERLINK("https://www.airitibooks.com/Detail/Detail?PublicationID=P20170203257", "https://www.airitibooks.com/Detail/Detail?PublicationID=P20170203257")</f>
        <v>https://www.airitibooks.com/Detail/Detail?PublicationID=P20170203257</v>
      </c>
      <c r="K3281" s="13" t="str">
        <f>HYPERLINK("https://ntsu.idm.oclc.org/login?url=https://www.airitibooks.com/Detail/Detail?PublicationID=P20170203257", "https://ntsu.idm.oclc.org/login?url=https://www.airitibooks.com/Detail/Detail?PublicationID=P20170203257")</f>
        <v>https://ntsu.idm.oclc.org/login?url=https://www.airitibooks.com/Detail/Detail?PublicationID=P20170203257</v>
      </c>
    </row>
    <row r="3282" spans="1:11" ht="68" x14ac:dyDescent="0.4">
      <c r="A3282" s="10" t="s">
        <v>6103</v>
      </c>
      <c r="B3282" s="10" t="s">
        <v>6104</v>
      </c>
      <c r="C3282" s="10" t="s">
        <v>3670</v>
      </c>
      <c r="D3282" s="10" t="s">
        <v>6105</v>
      </c>
      <c r="E3282" s="10" t="s">
        <v>4129</v>
      </c>
      <c r="F3282" s="10" t="s">
        <v>2870</v>
      </c>
      <c r="G3282" s="10" t="s">
        <v>32</v>
      </c>
      <c r="H3282" s="7" t="s">
        <v>24</v>
      </c>
      <c r="I3282" s="7" t="s">
        <v>25</v>
      </c>
      <c r="J3282" s="13" t="str">
        <f>HYPERLINK("https://www.airitibooks.com/Detail/Detail?PublicationID=P20170203260", "https://www.airitibooks.com/Detail/Detail?PublicationID=P20170203260")</f>
        <v>https://www.airitibooks.com/Detail/Detail?PublicationID=P20170203260</v>
      </c>
      <c r="K3282" s="13" t="str">
        <f>HYPERLINK("https://ntsu.idm.oclc.org/login?url=https://www.airitibooks.com/Detail/Detail?PublicationID=P20170203260", "https://ntsu.idm.oclc.org/login?url=https://www.airitibooks.com/Detail/Detail?PublicationID=P20170203260")</f>
        <v>https://ntsu.idm.oclc.org/login?url=https://www.airitibooks.com/Detail/Detail?PublicationID=P20170203260</v>
      </c>
    </row>
    <row r="3283" spans="1:11" ht="68" x14ac:dyDescent="0.4">
      <c r="A3283" s="10" t="s">
        <v>6106</v>
      </c>
      <c r="B3283" s="10" t="s">
        <v>6107</v>
      </c>
      <c r="C3283" s="10" t="s">
        <v>3670</v>
      </c>
      <c r="D3283" s="10" t="s">
        <v>2368</v>
      </c>
      <c r="E3283" s="10" t="s">
        <v>4129</v>
      </c>
      <c r="F3283" s="10" t="s">
        <v>1535</v>
      </c>
      <c r="G3283" s="10" t="s">
        <v>32</v>
      </c>
      <c r="H3283" s="7" t="s">
        <v>24</v>
      </c>
      <c r="I3283" s="7" t="s">
        <v>25</v>
      </c>
      <c r="J3283" s="13" t="str">
        <f>HYPERLINK("https://www.airitibooks.com/Detail/Detail?PublicationID=P20170203261", "https://www.airitibooks.com/Detail/Detail?PublicationID=P20170203261")</f>
        <v>https://www.airitibooks.com/Detail/Detail?PublicationID=P20170203261</v>
      </c>
      <c r="K3283" s="13" t="str">
        <f>HYPERLINK("https://ntsu.idm.oclc.org/login?url=https://www.airitibooks.com/Detail/Detail?PublicationID=P20170203261", "https://ntsu.idm.oclc.org/login?url=https://www.airitibooks.com/Detail/Detail?PublicationID=P20170203261")</f>
        <v>https://ntsu.idm.oclc.org/login?url=https://www.airitibooks.com/Detail/Detail?PublicationID=P20170203261</v>
      </c>
    </row>
    <row r="3284" spans="1:11" ht="68" x14ac:dyDescent="0.4">
      <c r="A3284" s="10" t="s">
        <v>6111</v>
      </c>
      <c r="B3284" s="10" t="s">
        <v>6112</v>
      </c>
      <c r="C3284" s="10" t="s">
        <v>3670</v>
      </c>
      <c r="D3284" s="10" t="s">
        <v>6113</v>
      </c>
      <c r="E3284" s="10" t="s">
        <v>4129</v>
      </c>
      <c r="F3284" s="10" t="s">
        <v>1588</v>
      </c>
      <c r="G3284" s="10" t="s">
        <v>32</v>
      </c>
      <c r="H3284" s="7" t="s">
        <v>24</v>
      </c>
      <c r="I3284" s="7" t="s">
        <v>25</v>
      </c>
      <c r="J3284" s="13" t="str">
        <f>HYPERLINK("https://www.airitibooks.com/Detail/Detail?PublicationID=P20170203265", "https://www.airitibooks.com/Detail/Detail?PublicationID=P20170203265")</f>
        <v>https://www.airitibooks.com/Detail/Detail?PublicationID=P20170203265</v>
      </c>
      <c r="K3284" s="13" t="str">
        <f>HYPERLINK("https://ntsu.idm.oclc.org/login?url=https://www.airitibooks.com/Detail/Detail?PublicationID=P20170203265", "https://ntsu.idm.oclc.org/login?url=https://www.airitibooks.com/Detail/Detail?PublicationID=P20170203265")</f>
        <v>https://ntsu.idm.oclc.org/login?url=https://www.airitibooks.com/Detail/Detail?PublicationID=P20170203265</v>
      </c>
    </row>
    <row r="3285" spans="1:11" ht="51" x14ac:dyDescent="0.4">
      <c r="A3285" s="10" t="s">
        <v>6114</v>
      </c>
      <c r="B3285" s="10" t="s">
        <v>6115</v>
      </c>
      <c r="C3285" s="10" t="s">
        <v>3670</v>
      </c>
      <c r="D3285" s="10" t="s">
        <v>6116</v>
      </c>
      <c r="E3285" s="10" t="s">
        <v>4129</v>
      </c>
      <c r="F3285" s="10" t="s">
        <v>3114</v>
      </c>
      <c r="G3285" s="10" t="s">
        <v>32</v>
      </c>
      <c r="H3285" s="7" t="s">
        <v>24</v>
      </c>
      <c r="I3285" s="7" t="s">
        <v>25</v>
      </c>
      <c r="J3285" s="13" t="str">
        <f>HYPERLINK("https://www.airitibooks.com/Detail/Detail?PublicationID=P20170203266", "https://www.airitibooks.com/Detail/Detail?PublicationID=P20170203266")</f>
        <v>https://www.airitibooks.com/Detail/Detail?PublicationID=P20170203266</v>
      </c>
      <c r="K3285" s="13" t="str">
        <f>HYPERLINK("https://ntsu.idm.oclc.org/login?url=https://www.airitibooks.com/Detail/Detail?PublicationID=P20170203266", "https://ntsu.idm.oclc.org/login?url=https://www.airitibooks.com/Detail/Detail?PublicationID=P20170203266")</f>
        <v>https://ntsu.idm.oclc.org/login?url=https://www.airitibooks.com/Detail/Detail?PublicationID=P20170203266</v>
      </c>
    </row>
    <row r="3286" spans="1:11" ht="51" x14ac:dyDescent="0.4">
      <c r="A3286" s="10" t="s">
        <v>6133</v>
      </c>
      <c r="B3286" s="10" t="s">
        <v>6134</v>
      </c>
      <c r="C3286" s="10" t="s">
        <v>3670</v>
      </c>
      <c r="D3286" s="10" t="s">
        <v>6135</v>
      </c>
      <c r="E3286" s="10" t="s">
        <v>4129</v>
      </c>
      <c r="F3286" s="10" t="s">
        <v>1903</v>
      </c>
      <c r="G3286" s="10" t="s">
        <v>32</v>
      </c>
      <c r="H3286" s="7" t="s">
        <v>24</v>
      </c>
      <c r="I3286" s="7" t="s">
        <v>25</v>
      </c>
      <c r="J3286" s="13" t="str">
        <f>HYPERLINK("https://www.airitibooks.com/Detail/Detail?PublicationID=P20170203276", "https://www.airitibooks.com/Detail/Detail?PublicationID=P20170203276")</f>
        <v>https://www.airitibooks.com/Detail/Detail?PublicationID=P20170203276</v>
      </c>
      <c r="K3286" s="13" t="str">
        <f>HYPERLINK("https://ntsu.idm.oclc.org/login?url=https://www.airitibooks.com/Detail/Detail?PublicationID=P20170203276", "https://ntsu.idm.oclc.org/login?url=https://www.airitibooks.com/Detail/Detail?PublicationID=P20170203276")</f>
        <v>https://ntsu.idm.oclc.org/login?url=https://www.airitibooks.com/Detail/Detail?PublicationID=P20170203276</v>
      </c>
    </row>
    <row r="3287" spans="1:11" ht="51" x14ac:dyDescent="0.4">
      <c r="A3287" s="10" t="s">
        <v>6136</v>
      </c>
      <c r="B3287" s="10" t="s">
        <v>6137</v>
      </c>
      <c r="C3287" s="10" t="s">
        <v>3670</v>
      </c>
      <c r="D3287" s="10" t="s">
        <v>2368</v>
      </c>
      <c r="E3287" s="10" t="s">
        <v>4129</v>
      </c>
      <c r="F3287" s="10" t="s">
        <v>1535</v>
      </c>
      <c r="G3287" s="10" t="s">
        <v>32</v>
      </c>
      <c r="H3287" s="7" t="s">
        <v>24</v>
      </c>
      <c r="I3287" s="7" t="s">
        <v>25</v>
      </c>
      <c r="J3287" s="13" t="str">
        <f>HYPERLINK("https://www.airitibooks.com/Detail/Detail?PublicationID=P20170203278", "https://www.airitibooks.com/Detail/Detail?PublicationID=P20170203278")</f>
        <v>https://www.airitibooks.com/Detail/Detail?PublicationID=P20170203278</v>
      </c>
      <c r="K3287" s="13" t="str">
        <f>HYPERLINK("https://ntsu.idm.oclc.org/login?url=https://www.airitibooks.com/Detail/Detail?PublicationID=P20170203278", "https://ntsu.idm.oclc.org/login?url=https://www.airitibooks.com/Detail/Detail?PublicationID=P20170203278")</f>
        <v>https://ntsu.idm.oclc.org/login?url=https://www.airitibooks.com/Detail/Detail?PublicationID=P20170203278</v>
      </c>
    </row>
    <row r="3288" spans="1:11" ht="51" x14ac:dyDescent="0.4">
      <c r="A3288" s="10" t="s">
        <v>6138</v>
      </c>
      <c r="B3288" s="10" t="s">
        <v>6139</v>
      </c>
      <c r="C3288" s="10" t="s">
        <v>3670</v>
      </c>
      <c r="D3288" s="10" t="s">
        <v>2368</v>
      </c>
      <c r="E3288" s="10" t="s">
        <v>4129</v>
      </c>
      <c r="F3288" s="10" t="s">
        <v>1535</v>
      </c>
      <c r="G3288" s="10" t="s">
        <v>32</v>
      </c>
      <c r="H3288" s="7" t="s">
        <v>24</v>
      </c>
      <c r="I3288" s="7" t="s">
        <v>25</v>
      </c>
      <c r="J3288" s="13" t="str">
        <f>HYPERLINK("https://www.airitibooks.com/Detail/Detail?PublicationID=P20170203279", "https://www.airitibooks.com/Detail/Detail?PublicationID=P20170203279")</f>
        <v>https://www.airitibooks.com/Detail/Detail?PublicationID=P20170203279</v>
      </c>
      <c r="K3288" s="13" t="str">
        <f>HYPERLINK("https://ntsu.idm.oclc.org/login?url=https://www.airitibooks.com/Detail/Detail?PublicationID=P20170203279", "https://ntsu.idm.oclc.org/login?url=https://www.airitibooks.com/Detail/Detail?PublicationID=P20170203279")</f>
        <v>https://ntsu.idm.oclc.org/login?url=https://www.airitibooks.com/Detail/Detail?PublicationID=P20170203279</v>
      </c>
    </row>
    <row r="3289" spans="1:11" ht="51" x14ac:dyDescent="0.4">
      <c r="A3289" s="10" t="s">
        <v>6140</v>
      </c>
      <c r="B3289" s="10" t="s">
        <v>6141</v>
      </c>
      <c r="C3289" s="10" t="s">
        <v>3670</v>
      </c>
      <c r="D3289" s="10" t="s">
        <v>6142</v>
      </c>
      <c r="E3289" s="10" t="s">
        <v>4129</v>
      </c>
      <c r="F3289" s="10" t="s">
        <v>6143</v>
      </c>
      <c r="G3289" s="10" t="s">
        <v>32</v>
      </c>
      <c r="H3289" s="7" t="s">
        <v>24</v>
      </c>
      <c r="I3289" s="7" t="s">
        <v>25</v>
      </c>
      <c r="J3289" s="13" t="str">
        <f>HYPERLINK("https://www.airitibooks.com/Detail/Detail?PublicationID=P20170203280", "https://www.airitibooks.com/Detail/Detail?PublicationID=P20170203280")</f>
        <v>https://www.airitibooks.com/Detail/Detail?PublicationID=P20170203280</v>
      </c>
      <c r="K3289" s="13" t="str">
        <f>HYPERLINK("https://ntsu.idm.oclc.org/login?url=https://www.airitibooks.com/Detail/Detail?PublicationID=P20170203280", "https://ntsu.idm.oclc.org/login?url=https://www.airitibooks.com/Detail/Detail?PublicationID=P20170203280")</f>
        <v>https://ntsu.idm.oclc.org/login?url=https://www.airitibooks.com/Detail/Detail?PublicationID=P20170203280</v>
      </c>
    </row>
    <row r="3290" spans="1:11" ht="51" x14ac:dyDescent="0.4">
      <c r="A3290" s="10" t="s">
        <v>6248</v>
      </c>
      <c r="B3290" s="10" t="s">
        <v>6249</v>
      </c>
      <c r="C3290" s="10" t="s">
        <v>2146</v>
      </c>
      <c r="D3290" s="10" t="s">
        <v>2155</v>
      </c>
      <c r="E3290" s="10" t="s">
        <v>4129</v>
      </c>
      <c r="F3290" s="10" t="s">
        <v>2156</v>
      </c>
      <c r="G3290" s="10" t="s">
        <v>32</v>
      </c>
      <c r="H3290" s="7" t="s">
        <v>24</v>
      </c>
      <c r="I3290" s="7" t="s">
        <v>25</v>
      </c>
      <c r="J3290" s="13" t="str">
        <f>HYPERLINK("https://www.airitibooks.com/Detail/Detail?PublicationID=P20170227019", "https://www.airitibooks.com/Detail/Detail?PublicationID=P20170227019")</f>
        <v>https://www.airitibooks.com/Detail/Detail?PublicationID=P20170227019</v>
      </c>
      <c r="K3290" s="13" t="str">
        <f>HYPERLINK("https://ntsu.idm.oclc.org/login?url=https://www.airitibooks.com/Detail/Detail?PublicationID=P20170227019", "https://ntsu.idm.oclc.org/login?url=https://www.airitibooks.com/Detail/Detail?PublicationID=P20170227019")</f>
        <v>https://ntsu.idm.oclc.org/login?url=https://www.airitibooks.com/Detail/Detail?PublicationID=P20170227019</v>
      </c>
    </row>
    <row r="3291" spans="1:11" ht="51" x14ac:dyDescent="0.4">
      <c r="A3291" s="10" t="s">
        <v>6250</v>
      </c>
      <c r="B3291" s="10" t="s">
        <v>6251</v>
      </c>
      <c r="C3291" s="10" t="s">
        <v>2146</v>
      </c>
      <c r="D3291" s="10" t="s">
        <v>6252</v>
      </c>
      <c r="E3291" s="10" t="s">
        <v>4129</v>
      </c>
      <c r="F3291" s="10" t="s">
        <v>2156</v>
      </c>
      <c r="G3291" s="10" t="s">
        <v>32</v>
      </c>
      <c r="H3291" s="7" t="s">
        <v>24</v>
      </c>
      <c r="I3291" s="7" t="s">
        <v>25</v>
      </c>
      <c r="J3291" s="13" t="str">
        <f>HYPERLINK("https://www.airitibooks.com/Detail/Detail?PublicationID=P20170227020", "https://www.airitibooks.com/Detail/Detail?PublicationID=P20170227020")</f>
        <v>https://www.airitibooks.com/Detail/Detail?PublicationID=P20170227020</v>
      </c>
      <c r="K3291" s="13" t="str">
        <f>HYPERLINK("https://ntsu.idm.oclc.org/login?url=https://www.airitibooks.com/Detail/Detail?PublicationID=P20170227020", "https://ntsu.idm.oclc.org/login?url=https://www.airitibooks.com/Detail/Detail?PublicationID=P20170227020")</f>
        <v>https://ntsu.idm.oclc.org/login?url=https://www.airitibooks.com/Detail/Detail?PublicationID=P20170227020</v>
      </c>
    </row>
    <row r="3292" spans="1:11" ht="51" x14ac:dyDescent="0.4">
      <c r="A3292" s="10" t="s">
        <v>6268</v>
      </c>
      <c r="B3292" s="10" t="s">
        <v>6269</v>
      </c>
      <c r="C3292" s="10" t="s">
        <v>6270</v>
      </c>
      <c r="D3292" s="10" t="s">
        <v>6271</v>
      </c>
      <c r="E3292" s="10" t="s">
        <v>4129</v>
      </c>
      <c r="F3292" s="10" t="s">
        <v>6272</v>
      </c>
      <c r="G3292" s="10" t="s">
        <v>32</v>
      </c>
      <c r="H3292" s="7" t="s">
        <v>24</v>
      </c>
      <c r="I3292" s="7" t="s">
        <v>25</v>
      </c>
      <c r="J3292" s="13" t="str">
        <f>HYPERLINK("https://www.airitibooks.com/Detail/Detail?PublicationID=P20170227093", "https://www.airitibooks.com/Detail/Detail?PublicationID=P20170227093")</f>
        <v>https://www.airitibooks.com/Detail/Detail?PublicationID=P20170227093</v>
      </c>
      <c r="K3292" s="13" t="str">
        <f>HYPERLINK("https://ntsu.idm.oclc.org/login?url=https://www.airitibooks.com/Detail/Detail?PublicationID=P20170227093", "https://ntsu.idm.oclc.org/login?url=https://www.airitibooks.com/Detail/Detail?PublicationID=P20170227093")</f>
        <v>https://ntsu.idm.oclc.org/login?url=https://www.airitibooks.com/Detail/Detail?PublicationID=P20170227093</v>
      </c>
    </row>
    <row r="3293" spans="1:11" ht="51" x14ac:dyDescent="0.4">
      <c r="A3293" s="10" t="s">
        <v>6281</v>
      </c>
      <c r="B3293" s="10" t="s">
        <v>6282</v>
      </c>
      <c r="C3293" s="10" t="s">
        <v>938</v>
      </c>
      <c r="D3293" s="10" t="s">
        <v>5260</v>
      </c>
      <c r="E3293" s="10" t="s">
        <v>4129</v>
      </c>
      <c r="F3293" s="10" t="s">
        <v>6283</v>
      </c>
      <c r="G3293" s="10" t="s">
        <v>32</v>
      </c>
      <c r="H3293" s="7" t="s">
        <v>24</v>
      </c>
      <c r="I3293" s="7" t="s">
        <v>25</v>
      </c>
      <c r="J3293" s="13" t="str">
        <f>HYPERLINK("https://www.airitibooks.com/Detail/Detail?PublicationID=P20170227117", "https://www.airitibooks.com/Detail/Detail?PublicationID=P20170227117")</f>
        <v>https://www.airitibooks.com/Detail/Detail?PublicationID=P20170227117</v>
      </c>
      <c r="K3293" s="13" t="str">
        <f>HYPERLINK("https://ntsu.idm.oclc.org/login?url=https://www.airitibooks.com/Detail/Detail?PublicationID=P20170227117", "https://ntsu.idm.oclc.org/login?url=https://www.airitibooks.com/Detail/Detail?PublicationID=P20170227117")</f>
        <v>https://ntsu.idm.oclc.org/login?url=https://www.airitibooks.com/Detail/Detail?PublicationID=P20170227117</v>
      </c>
    </row>
    <row r="3294" spans="1:11" ht="51" x14ac:dyDescent="0.4">
      <c r="A3294" s="10" t="s">
        <v>6308</v>
      </c>
      <c r="B3294" s="10" t="s">
        <v>6309</v>
      </c>
      <c r="C3294" s="10" t="s">
        <v>613</v>
      </c>
      <c r="D3294" s="10" t="s">
        <v>6310</v>
      </c>
      <c r="E3294" s="10" t="s">
        <v>4129</v>
      </c>
      <c r="F3294" s="10" t="s">
        <v>6311</v>
      </c>
      <c r="G3294" s="10" t="s">
        <v>32</v>
      </c>
      <c r="H3294" s="7" t="s">
        <v>24</v>
      </c>
      <c r="I3294" s="7" t="s">
        <v>25</v>
      </c>
      <c r="J3294" s="13" t="str">
        <f>HYPERLINK("https://www.airitibooks.com/Detail/Detail?PublicationID=P20170316044", "https://www.airitibooks.com/Detail/Detail?PublicationID=P20170316044")</f>
        <v>https://www.airitibooks.com/Detail/Detail?PublicationID=P20170316044</v>
      </c>
      <c r="K3294" s="13" t="str">
        <f>HYPERLINK("https://ntsu.idm.oclc.org/login?url=https://www.airitibooks.com/Detail/Detail?PublicationID=P20170316044", "https://ntsu.idm.oclc.org/login?url=https://www.airitibooks.com/Detail/Detail?PublicationID=P20170316044")</f>
        <v>https://ntsu.idm.oclc.org/login?url=https://www.airitibooks.com/Detail/Detail?PublicationID=P20170316044</v>
      </c>
    </row>
    <row r="3295" spans="1:11" ht="85" x14ac:dyDescent="0.4">
      <c r="A3295" s="10" t="s">
        <v>6316</v>
      </c>
      <c r="B3295" s="10" t="s">
        <v>6317</v>
      </c>
      <c r="C3295" s="10" t="s">
        <v>613</v>
      </c>
      <c r="D3295" s="10" t="s">
        <v>6318</v>
      </c>
      <c r="E3295" s="10" t="s">
        <v>4129</v>
      </c>
      <c r="F3295" s="10" t="s">
        <v>172</v>
      </c>
      <c r="G3295" s="10" t="s">
        <v>32</v>
      </c>
      <c r="H3295" s="7" t="s">
        <v>24</v>
      </c>
      <c r="I3295" s="7" t="s">
        <v>25</v>
      </c>
      <c r="J3295" s="13" t="str">
        <f>HYPERLINK("https://www.airitibooks.com/Detail/Detail?PublicationID=P20170316048", "https://www.airitibooks.com/Detail/Detail?PublicationID=P20170316048")</f>
        <v>https://www.airitibooks.com/Detail/Detail?PublicationID=P20170316048</v>
      </c>
      <c r="K3295" s="13" t="str">
        <f>HYPERLINK("https://ntsu.idm.oclc.org/login?url=https://www.airitibooks.com/Detail/Detail?PublicationID=P20170316048", "https://ntsu.idm.oclc.org/login?url=https://www.airitibooks.com/Detail/Detail?PublicationID=P20170316048")</f>
        <v>https://ntsu.idm.oclc.org/login?url=https://www.airitibooks.com/Detail/Detail?PublicationID=P20170316048</v>
      </c>
    </row>
    <row r="3296" spans="1:11" ht="51" x14ac:dyDescent="0.4">
      <c r="A3296" s="10" t="s">
        <v>6330</v>
      </c>
      <c r="B3296" s="10" t="s">
        <v>6331</v>
      </c>
      <c r="C3296" s="10" t="s">
        <v>222</v>
      </c>
      <c r="D3296" s="10" t="s">
        <v>2843</v>
      </c>
      <c r="E3296" s="10" t="s">
        <v>4129</v>
      </c>
      <c r="F3296" s="10" t="s">
        <v>4865</v>
      </c>
      <c r="G3296" s="10" t="s">
        <v>32</v>
      </c>
      <c r="H3296" s="7" t="s">
        <v>24</v>
      </c>
      <c r="I3296" s="7" t="s">
        <v>25</v>
      </c>
      <c r="J3296" s="13" t="str">
        <f>HYPERLINK("https://www.airitibooks.com/Detail/Detail?PublicationID=P20170316076", "https://www.airitibooks.com/Detail/Detail?PublicationID=P20170316076")</f>
        <v>https://www.airitibooks.com/Detail/Detail?PublicationID=P20170316076</v>
      </c>
      <c r="K3296" s="13" t="str">
        <f>HYPERLINK("https://ntsu.idm.oclc.org/login?url=https://www.airitibooks.com/Detail/Detail?PublicationID=P20170316076", "https://ntsu.idm.oclc.org/login?url=https://www.airitibooks.com/Detail/Detail?PublicationID=P20170316076")</f>
        <v>https://ntsu.idm.oclc.org/login?url=https://www.airitibooks.com/Detail/Detail?PublicationID=P20170316076</v>
      </c>
    </row>
    <row r="3297" spans="1:11" ht="68" x14ac:dyDescent="0.4">
      <c r="A3297" s="10" t="s">
        <v>6394</v>
      </c>
      <c r="B3297" s="10" t="s">
        <v>6395</v>
      </c>
      <c r="C3297" s="10" t="s">
        <v>848</v>
      </c>
      <c r="D3297" s="10" t="s">
        <v>6396</v>
      </c>
      <c r="E3297" s="10" t="s">
        <v>4129</v>
      </c>
      <c r="F3297" s="10" t="s">
        <v>1941</v>
      </c>
      <c r="G3297" s="10" t="s">
        <v>32</v>
      </c>
      <c r="H3297" s="7" t="s">
        <v>24</v>
      </c>
      <c r="I3297" s="7" t="s">
        <v>25</v>
      </c>
      <c r="J3297" s="13" t="str">
        <f>HYPERLINK("https://www.airitibooks.com/Detail/Detail?PublicationID=P20170411020", "https://www.airitibooks.com/Detail/Detail?PublicationID=P20170411020")</f>
        <v>https://www.airitibooks.com/Detail/Detail?PublicationID=P20170411020</v>
      </c>
      <c r="K3297" s="13" t="str">
        <f>HYPERLINK("https://ntsu.idm.oclc.org/login?url=https://www.airitibooks.com/Detail/Detail?PublicationID=P20170411020", "https://ntsu.idm.oclc.org/login?url=https://www.airitibooks.com/Detail/Detail?PublicationID=P20170411020")</f>
        <v>https://ntsu.idm.oclc.org/login?url=https://www.airitibooks.com/Detail/Detail?PublicationID=P20170411020</v>
      </c>
    </row>
    <row r="3298" spans="1:11" ht="51" x14ac:dyDescent="0.4">
      <c r="A3298" s="10" t="s">
        <v>6411</v>
      </c>
      <c r="B3298" s="10" t="s">
        <v>6412</v>
      </c>
      <c r="C3298" s="10" t="s">
        <v>848</v>
      </c>
      <c r="D3298" s="10" t="s">
        <v>6413</v>
      </c>
      <c r="E3298" s="10" t="s">
        <v>4129</v>
      </c>
      <c r="F3298" s="10" t="s">
        <v>6414</v>
      </c>
      <c r="G3298" s="10" t="s">
        <v>32</v>
      </c>
      <c r="H3298" s="7" t="s">
        <v>24</v>
      </c>
      <c r="I3298" s="7" t="s">
        <v>25</v>
      </c>
      <c r="J3298" s="13" t="str">
        <f>HYPERLINK("https://www.airitibooks.com/Detail/Detail?PublicationID=P20170411027", "https://www.airitibooks.com/Detail/Detail?PublicationID=P20170411027")</f>
        <v>https://www.airitibooks.com/Detail/Detail?PublicationID=P20170411027</v>
      </c>
      <c r="K3298" s="13" t="str">
        <f>HYPERLINK("https://ntsu.idm.oclc.org/login?url=https://www.airitibooks.com/Detail/Detail?PublicationID=P20170411027", "https://ntsu.idm.oclc.org/login?url=https://www.airitibooks.com/Detail/Detail?PublicationID=P20170411027")</f>
        <v>https://ntsu.idm.oclc.org/login?url=https://www.airitibooks.com/Detail/Detail?PublicationID=P20170411027</v>
      </c>
    </row>
    <row r="3299" spans="1:11" ht="51" x14ac:dyDescent="0.4">
      <c r="A3299" s="10" t="s">
        <v>6426</v>
      </c>
      <c r="B3299" s="10" t="s">
        <v>6427</v>
      </c>
      <c r="C3299" s="10" t="s">
        <v>746</v>
      </c>
      <c r="D3299" s="10" t="s">
        <v>6428</v>
      </c>
      <c r="E3299" s="10" t="s">
        <v>4129</v>
      </c>
      <c r="F3299" s="10" t="s">
        <v>2121</v>
      </c>
      <c r="G3299" s="10" t="s">
        <v>32</v>
      </c>
      <c r="H3299" s="7" t="s">
        <v>24</v>
      </c>
      <c r="I3299" s="7" t="s">
        <v>25</v>
      </c>
      <c r="J3299" s="13" t="str">
        <f>HYPERLINK("https://www.airitibooks.com/Detail/Detail?PublicationID=P20170414005", "https://www.airitibooks.com/Detail/Detail?PublicationID=P20170414005")</f>
        <v>https://www.airitibooks.com/Detail/Detail?PublicationID=P20170414005</v>
      </c>
      <c r="K3299" s="13" t="str">
        <f>HYPERLINK("https://ntsu.idm.oclc.org/login?url=https://www.airitibooks.com/Detail/Detail?PublicationID=P20170414005", "https://ntsu.idm.oclc.org/login?url=https://www.airitibooks.com/Detail/Detail?PublicationID=P20170414005")</f>
        <v>https://ntsu.idm.oclc.org/login?url=https://www.airitibooks.com/Detail/Detail?PublicationID=P20170414005</v>
      </c>
    </row>
    <row r="3300" spans="1:11" ht="51" x14ac:dyDescent="0.4">
      <c r="A3300" s="10" t="s">
        <v>6481</v>
      </c>
      <c r="B3300" s="10" t="s">
        <v>6482</v>
      </c>
      <c r="C3300" s="10" t="s">
        <v>838</v>
      </c>
      <c r="D3300" s="10" t="s">
        <v>6483</v>
      </c>
      <c r="E3300" s="10" t="s">
        <v>4129</v>
      </c>
      <c r="F3300" s="10" t="s">
        <v>6480</v>
      </c>
      <c r="G3300" s="10" t="s">
        <v>32</v>
      </c>
      <c r="H3300" s="7" t="s">
        <v>24</v>
      </c>
      <c r="I3300" s="7" t="s">
        <v>25</v>
      </c>
      <c r="J3300" s="13" t="str">
        <f>HYPERLINK("https://www.airitibooks.com/Detail/Detail?PublicationID=P20170502026", "https://www.airitibooks.com/Detail/Detail?PublicationID=P20170502026")</f>
        <v>https://www.airitibooks.com/Detail/Detail?PublicationID=P20170502026</v>
      </c>
      <c r="K3300" s="13" t="str">
        <f>HYPERLINK("https://ntsu.idm.oclc.org/login?url=https://www.airitibooks.com/Detail/Detail?PublicationID=P20170502026", "https://ntsu.idm.oclc.org/login?url=https://www.airitibooks.com/Detail/Detail?PublicationID=P20170502026")</f>
        <v>https://ntsu.idm.oclc.org/login?url=https://www.airitibooks.com/Detail/Detail?PublicationID=P20170502026</v>
      </c>
    </row>
    <row r="3301" spans="1:11" ht="51" x14ac:dyDescent="0.4">
      <c r="A3301" s="10" t="s">
        <v>6484</v>
      </c>
      <c r="B3301" s="10" t="s">
        <v>6485</v>
      </c>
      <c r="C3301" s="10" t="s">
        <v>838</v>
      </c>
      <c r="D3301" s="10" t="s">
        <v>6486</v>
      </c>
      <c r="E3301" s="10" t="s">
        <v>4129</v>
      </c>
      <c r="F3301" s="10" t="s">
        <v>6487</v>
      </c>
      <c r="G3301" s="10" t="s">
        <v>32</v>
      </c>
      <c r="H3301" s="7" t="s">
        <v>24</v>
      </c>
      <c r="I3301" s="7" t="s">
        <v>25</v>
      </c>
      <c r="J3301" s="13" t="str">
        <f>HYPERLINK("https://www.airitibooks.com/Detail/Detail?PublicationID=P20170502030", "https://www.airitibooks.com/Detail/Detail?PublicationID=P20170502030")</f>
        <v>https://www.airitibooks.com/Detail/Detail?PublicationID=P20170502030</v>
      </c>
      <c r="K3301" s="13" t="str">
        <f>HYPERLINK("https://ntsu.idm.oclc.org/login?url=https://www.airitibooks.com/Detail/Detail?PublicationID=P20170502030", "https://ntsu.idm.oclc.org/login?url=https://www.airitibooks.com/Detail/Detail?PublicationID=P20170502030")</f>
        <v>https://ntsu.idm.oclc.org/login?url=https://www.airitibooks.com/Detail/Detail?PublicationID=P20170502030</v>
      </c>
    </row>
    <row r="3302" spans="1:11" ht="51" x14ac:dyDescent="0.4">
      <c r="A3302" s="10" t="s">
        <v>6488</v>
      </c>
      <c r="B3302" s="10" t="s">
        <v>6489</v>
      </c>
      <c r="C3302" s="10" t="s">
        <v>838</v>
      </c>
      <c r="D3302" s="10" t="s">
        <v>6490</v>
      </c>
      <c r="E3302" s="10" t="s">
        <v>4129</v>
      </c>
      <c r="F3302" s="10" t="s">
        <v>6491</v>
      </c>
      <c r="G3302" s="10" t="s">
        <v>32</v>
      </c>
      <c r="H3302" s="7" t="s">
        <v>24</v>
      </c>
      <c r="I3302" s="7" t="s">
        <v>25</v>
      </c>
      <c r="J3302" s="13" t="str">
        <f>HYPERLINK("https://www.airitibooks.com/Detail/Detail?PublicationID=P20170502031", "https://www.airitibooks.com/Detail/Detail?PublicationID=P20170502031")</f>
        <v>https://www.airitibooks.com/Detail/Detail?PublicationID=P20170502031</v>
      </c>
      <c r="K3302" s="13" t="str">
        <f>HYPERLINK("https://ntsu.idm.oclc.org/login?url=https://www.airitibooks.com/Detail/Detail?PublicationID=P20170502031", "https://ntsu.idm.oclc.org/login?url=https://www.airitibooks.com/Detail/Detail?PublicationID=P20170502031")</f>
        <v>https://ntsu.idm.oclc.org/login?url=https://www.airitibooks.com/Detail/Detail?PublicationID=P20170502031</v>
      </c>
    </row>
    <row r="3303" spans="1:11" ht="68" x14ac:dyDescent="0.4">
      <c r="A3303" s="10" t="s">
        <v>6518</v>
      </c>
      <c r="B3303" s="10" t="s">
        <v>6519</v>
      </c>
      <c r="C3303" s="10" t="s">
        <v>2367</v>
      </c>
      <c r="D3303" s="10" t="s">
        <v>2368</v>
      </c>
      <c r="E3303" s="10" t="s">
        <v>4129</v>
      </c>
      <c r="F3303" s="10" t="s">
        <v>2628</v>
      </c>
      <c r="G3303" s="10" t="s">
        <v>32</v>
      </c>
      <c r="H3303" s="7" t="s">
        <v>24</v>
      </c>
      <c r="I3303" s="7" t="s">
        <v>25</v>
      </c>
      <c r="J3303" s="13" t="str">
        <f>HYPERLINK("https://www.airitibooks.com/Detail/Detail?PublicationID=P20170502053", "https://www.airitibooks.com/Detail/Detail?PublicationID=P20170502053")</f>
        <v>https://www.airitibooks.com/Detail/Detail?PublicationID=P20170502053</v>
      </c>
      <c r="K3303" s="13" t="str">
        <f>HYPERLINK("https://ntsu.idm.oclc.org/login?url=https://www.airitibooks.com/Detail/Detail?PublicationID=P20170502053", "https://ntsu.idm.oclc.org/login?url=https://www.airitibooks.com/Detail/Detail?PublicationID=P20170502053")</f>
        <v>https://ntsu.idm.oclc.org/login?url=https://www.airitibooks.com/Detail/Detail?PublicationID=P20170502053</v>
      </c>
    </row>
    <row r="3304" spans="1:11" ht="51" x14ac:dyDescent="0.4">
      <c r="A3304" s="10" t="s">
        <v>6586</v>
      </c>
      <c r="B3304" s="10" t="s">
        <v>6587</v>
      </c>
      <c r="C3304" s="10" t="s">
        <v>938</v>
      </c>
      <c r="D3304" s="10" t="s">
        <v>6588</v>
      </c>
      <c r="E3304" s="10" t="s">
        <v>4129</v>
      </c>
      <c r="F3304" s="10" t="s">
        <v>6589</v>
      </c>
      <c r="G3304" s="10" t="s">
        <v>32</v>
      </c>
      <c r="H3304" s="7" t="s">
        <v>24</v>
      </c>
      <c r="I3304" s="7" t="s">
        <v>25</v>
      </c>
      <c r="J3304" s="13" t="str">
        <f>HYPERLINK("https://www.airitibooks.com/Detail/Detail?PublicationID=P20170517027", "https://www.airitibooks.com/Detail/Detail?PublicationID=P20170517027")</f>
        <v>https://www.airitibooks.com/Detail/Detail?PublicationID=P20170517027</v>
      </c>
      <c r="K3304" s="13" t="str">
        <f>HYPERLINK("https://ntsu.idm.oclc.org/login?url=https://www.airitibooks.com/Detail/Detail?PublicationID=P20170517027", "https://ntsu.idm.oclc.org/login?url=https://www.airitibooks.com/Detail/Detail?PublicationID=P20170517027")</f>
        <v>https://ntsu.idm.oclc.org/login?url=https://www.airitibooks.com/Detail/Detail?PublicationID=P20170517027</v>
      </c>
    </row>
    <row r="3305" spans="1:11" ht="51" x14ac:dyDescent="0.4">
      <c r="A3305" s="10" t="s">
        <v>6590</v>
      </c>
      <c r="B3305" s="10" t="s">
        <v>6591</v>
      </c>
      <c r="C3305" s="10" t="s">
        <v>938</v>
      </c>
      <c r="D3305" s="10" t="s">
        <v>6588</v>
      </c>
      <c r="E3305" s="10" t="s">
        <v>4129</v>
      </c>
      <c r="F3305" s="10" t="s">
        <v>4038</v>
      </c>
      <c r="G3305" s="10" t="s">
        <v>32</v>
      </c>
      <c r="H3305" s="7" t="s">
        <v>24</v>
      </c>
      <c r="I3305" s="7" t="s">
        <v>25</v>
      </c>
      <c r="J3305" s="13" t="str">
        <f>HYPERLINK("https://www.airitibooks.com/Detail/Detail?PublicationID=P20170517029", "https://www.airitibooks.com/Detail/Detail?PublicationID=P20170517029")</f>
        <v>https://www.airitibooks.com/Detail/Detail?PublicationID=P20170517029</v>
      </c>
      <c r="K3305" s="13" t="str">
        <f>HYPERLINK("https://ntsu.idm.oclc.org/login?url=https://www.airitibooks.com/Detail/Detail?PublicationID=P20170517029", "https://ntsu.idm.oclc.org/login?url=https://www.airitibooks.com/Detail/Detail?PublicationID=P20170517029")</f>
        <v>https://ntsu.idm.oclc.org/login?url=https://www.airitibooks.com/Detail/Detail?PublicationID=P20170517029</v>
      </c>
    </row>
    <row r="3306" spans="1:11" ht="51" x14ac:dyDescent="0.4">
      <c r="A3306" s="10" t="s">
        <v>6620</v>
      </c>
      <c r="B3306" s="10" t="s">
        <v>6621</v>
      </c>
      <c r="C3306" s="10" t="s">
        <v>544</v>
      </c>
      <c r="D3306" s="10" t="s">
        <v>6622</v>
      </c>
      <c r="E3306" s="10" t="s">
        <v>4129</v>
      </c>
      <c r="F3306" s="10" t="s">
        <v>6623</v>
      </c>
      <c r="G3306" s="10" t="s">
        <v>32</v>
      </c>
      <c r="H3306" s="7" t="s">
        <v>24</v>
      </c>
      <c r="I3306" s="7" t="s">
        <v>25</v>
      </c>
      <c r="J3306" s="13" t="str">
        <f>HYPERLINK("https://www.airitibooks.com/Detail/Detail?PublicationID=P20170517122", "https://www.airitibooks.com/Detail/Detail?PublicationID=P20170517122")</f>
        <v>https://www.airitibooks.com/Detail/Detail?PublicationID=P20170517122</v>
      </c>
      <c r="K3306" s="13" t="str">
        <f>HYPERLINK("https://ntsu.idm.oclc.org/login?url=https://www.airitibooks.com/Detail/Detail?PublicationID=P20170517122", "https://ntsu.idm.oclc.org/login?url=https://www.airitibooks.com/Detail/Detail?PublicationID=P20170517122")</f>
        <v>https://ntsu.idm.oclc.org/login?url=https://www.airitibooks.com/Detail/Detail?PublicationID=P20170517122</v>
      </c>
    </row>
    <row r="3307" spans="1:11" ht="51" x14ac:dyDescent="0.4">
      <c r="A3307" s="10" t="s">
        <v>6757</v>
      </c>
      <c r="B3307" s="10" t="s">
        <v>6758</v>
      </c>
      <c r="C3307" s="10" t="s">
        <v>6759</v>
      </c>
      <c r="D3307" s="10" t="s">
        <v>6760</v>
      </c>
      <c r="E3307" s="10" t="s">
        <v>4129</v>
      </c>
      <c r="F3307" s="10" t="s">
        <v>6761</v>
      </c>
      <c r="G3307" s="10" t="s">
        <v>32</v>
      </c>
      <c r="H3307" s="7" t="s">
        <v>24</v>
      </c>
      <c r="I3307" s="7" t="s">
        <v>25</v>
      </c>
      <c r="J3307" s="13" t="str">
        <f>HYPERLINK("https://www.airitibooks.com/Detail/Detail?PublicationID=P20170531056", "https://www.airitibooks.com/Detail/Detail?PublicationID=P20170531056")</f>
        <v>https://www.airitibooks.com/Detail/Detail?PublicationID=P20170531056</v>
      </c>
      <c r="K3307" s="13" t="str">
        <f>HYPERLINK("https://ntsu.idm.oclc.org/login?url=https://www.airitibooks.com/Detail/Detail?PublicationID=P20170531056", "https://ntsu.idm.oclc.org/login?url=https://www.airitibooks.com/Detail/Detail?PublicationID=P20170531056")</f>
        <v>https://ntsu.idm.oclc.org/login?url=https://www.airitibooks.com/Detail/Detail?PublicationID=P20170531056</v>
      </c>
    </row>
    <row r="3308" spans="1:11" ht="51" x14ac:dyDescent="0.4">
      <c r="A3308" s="10" t="s">
        <v>6762</v>
      </c>
      <c r="B3308" s="10" t="s">
        <v>6763</v>
      </c>
      <c r="C3308" s="10" t="s">
        <v>6759</v>
      </c>
      <c r="D3308" s="10" t="s">
        <v>6764</v>
      </c>
      <c r="E3308" s="10" t="s">
        <v>4129</v>
      </c>
      <c r="F3308" s="10" t="s">
        <v>6761</v>
      </c>
      <c r="G3308" s="10" t="s">
        <v>32</v>
      </c>
      <c r="H3308" s="7" t="s">
        <v>24</v>
      </c>
      <c r="I3308" s="7" t="s">
        <v>25</v>
      </c>
      <c r="J3308" s="13" t="str">
        <f>HYPERLINK("https://www.airitibooks.com/Detail/Detail?PublicationID=P20170531057", "https://www.airitibooks.com/Detail/Detail?PublicationID=P20170531057")</f>
        <v>https://www.airitibooks.com/Detail/Detail?PublicationID=P20170531057</v>
      </c>
      <c r="K3308" s="13" t="str">
        <f>HYPERLINK("https://ntsu.idm.oclc.org/login?url=https://www.airitibooks.com/Detail/Detail?PublicationID=P20170531057", "https://ntsu.idm.oclc.org/login?url=https://www.airitibooks.com/Detail/Detail?PublicationID=P20170531057")</f>
        <v>https://ntsu.idm.oclc.org/login?url=https://www.airitibooks.com/Detail/Detail?PublicationID=P20170531057</v>
      </c>
    </row>
    <row r="3309" spans="1:11" ht="51" x14ac:dyDescent="0.4">
      <c r="A3309" s="10" t="s">
        <v>6765</v>
      </c>
      <c r="B3309" s="10" t="s">
        <v>6766</v>
      </c>
      <c r="C3309" s="10" t="s">
        <v>6759</v>
      </c>
      <c r="D3309" s="10" t="s">
        <v>6767</v>
      </c>
      <c r="E3309" s="10" t="s">
        <v>4129</v>
      </c>
      <c r="F3309" s="10" t="s">
        <v>6761</v>
      </c>
      <c r="G3309" s="10" t="s">
        <v>32</v>
      </c>
      <c r="H3309" s="7" t="s">
        <v>24</v>
      </c>
      <c r="I3309" s="7" t="s">
        <v>25</v>
      </c>
      <c r="J3309" s="13" t="str">
        <f>HYPERLINK("https://www.airitibooks.com/Detail/Detail?PublicationID=P20170531058", "https://www.airitibooks.com/Detail/Detail?PublicationID=P20170531058")</f>
        <v>https://www.airitibooks.com/Detail/Detail?PublicationID=P20170531058</v>
      </c>
      <c r="K3309" s="13" t="str">
        <f>HYPERLINK("https://ntsu.idm.oclc.org/login?url=https://www.airitibooks.com/Detail/Detail?PublicationID=P20170531058", "https://ntsu.idm.oclc.org/login?url=https://www.airitibooks.com/Detail/Detail?PublicationID=P20170531058")</f>
        <v>https://ntsu.idm.oclc.org/login?url=https://www.airitibooks.com/Detail/Detail?PublicationID=P20170531058</v>
      </c>
    </row>
    <row r="3310" spans="1:11" ht="51" x14ac:dyDescent="0.4">
      <c r="A3310" s="10" t="s">
        <v>6768</v>
      </c>
      <c r="B3310" s="10" t="s">
        <v>6769</v>
      </c>
      <c r="C3310" s="10" t="s">
        <v>6759</v>
      </c>
      <c r="D3310" s="10" t="s">
        <v>6770</v>
      </c>
      <c r="E3310" s="10" t="s">
        <v>4129</v>
      </c>
      <c r="F3310" s="10" t="s">
        <v>6761</v>
      </c>
      <c r="G3310" s="10" t="s">
        <v>32</v>
      </c>
      <c r="H3310" s="7" t="s">
        <v>24</v>
      </c>
      <c r="I3310" s="7" t="s">
        <v>25</v>
      </c>
      <c r="J3310" s="13" t="str">
        <f>HYPERLINK("https://www.airitibooks.com/Detail/Detail?PublicationID=P20170531059", "https://www.airitibooks.com/Detail/Detail?PublicationID=P20170531059")</f>
        <v>https://www.airitibooks.com/Detail/Detail?PublicationID=P20170531059</v>
      </c>
      <c r="K3310" s="13" t="str">
        <f>HYPERLINK("https://ntsu.idm.oclc.org/login?url=https://www.airitibooks.com/Detail/Detail?PublicationID=P20170531059", "https://ntsu.idm.oclc.org/login?url=https://www.airitibooks.com/Detail/Detail?PublicationID=P20170531059")</f>
        <v>https://ntsu.idm.oclc.org/login?url=https://www.airitibooks.com/Detail/Detail?PublicationID=P20170531059</v>
      </c>
    </row>
    <row r="3311" spans="1:11" ht="51" x14ac:dyDescent="0.4">
      <c r="A3311" s="10" t="s">
        <v>6771</v>
      </c>
      <c r="B3311" s="10" t="s">
        <v>6772</v>
      </c>
      <c r="C3311" s="10" t="s">
        <v>6759</v>
      </c>
      <c r="D3311" s="10" t="s">
        <v>6773</v>
      </c>
      <c r="E3311" s="10" t="s">
        <v>4129</v>
      </c>
      <c r="F3311" s="10" t="s">
        <v>6761</v>
      </c>
      <c r="G3311" s="10" t="s">
        <v>32</v>
      </c>
      <c r="H3311" s="7" t="s">
        <v>24</v>
      </c>
      <c r="I3311" s="7" t="s">
        <v>25</v>
      </c>
      <c r="J3311" s="13" t="str">
        <f>HYPERLINK("https://www.airitibooks.com/Detail/Detail?PublicationID=P20170531060", "https://www.airitibooks.com/Detail/Detail?PublicationID=P20170531060")</f>
        <v>https://www.airitibooks.com/Detail/Detail?PublicationID=P20170531060</v>
      </c>
      <c r="K3311" s="13" t="str">
        <f>HYPERLINK("https://ntsu.idm.oclc.org/login?url=https://www.airitibooks.com/Detail/Detail?PublicationID=P20170531060", "https://ntsu.idm.oclc.org/login?url=https://www.airitibooks.com/Detail/Detail?PublicationID=P20170531060")</f>
        <v>https://ntsu.idm.oclc.org/login?url=https://www.airitibooks.com/Detail/Detail?PublicationID=P20170531060</v>
      </c>
    </row>
    <row r="3312" spans="1:11" ht="51" x14ac:dyDescent="0.4">
      <c r="A3312" s="10" t="s">
        <v>6774</v>
      </c>
      <c r="B3312" s="10" t="s">
        <v>6775</v>
      </c>
      <c r="C3312" s="10" t="s">
        <v>6759</v>
      </c>
      <c r="D3312" s="10" t="s">
        <v>6776</v>
      </c>
      <c r="E3312" s="10" t="s">
        <v>4129</v>
      </c>
      <c r="F3312" s="10" t="s">
        <v>6761</v>
      </c>
      <c r="G3312" s="10" t="s">
        <v>32</v>
      </c>
      <c r="H3312" s="7" t="s">
        <v>24</v>
      </c>
      <c r="I3312" s="7" t="s">
        <v>25</v>
      </c>
      <c r="J3312" s="13" t="str">
        <f>HYPERLINK("https://www.airitibooks.com/Detail/Detail?PublicationID=P20170531061", "https://www.airitibooks.com/Detail/Detail?PublicationID=P20170531061")</f>
        <v>https://www.airitibooks.com/Detail/Detail?PublicationID=P20170531061</v>
      </c>
      <c r="K3312" s="13" t="str">
        <f>HYPERLINK("https://ntsu.idm.oclc.org/login?url=https://www.airitibooks.com/Detail/Detail?PublicationID=P20170531061", "https://ntsu.idm.oclc.org/login?url=https://www.airitibooks.com/Detail/Detail?PublicationID=P20170531061")</f>
        <v>https://ntsu.idm.oclc.org/login?url=https://www.airitibooks.com/Detail/Detail?PublicationID=P20170531061</v>
      </c>
    </row>
    <row r="3313" spans="1:11" ht="51" x14ac:dyDescent="0.4">
      <c r="A3313" s="10" t="s">
        <v>6777</v>
      </c>
      <c r="B3313" s="10" t="s">
        <v>6778</v>
      </c>
      <c r="C3313" s="10" t="s">
        <v>6759</v>
      </c>
      <c r="D3313" s="10" t="s">
        <v>6776</v>
      </c>
      <c r="E3313" s="10" t="s">
        <v>4129</v>
      </c>
      <c r="F3313" s="10" t="s">
        <v>6761</v>
      </c>
      <c r="G3313" s="10" t="s">
        <v>32</v>
      </c>
      <c r="H3313" s="7" t="s">
        <v>24</v>
      </c>
      <c r="I3313" s="7" t="s">
        <v>25</v>
      </c>
      <c r="J3313" s="13" t="str">
        <f>HYPERLINK("https://www.airitibooks.com/Detail/Detail?PublicationID=P20170531062", "https://www.airitibooks.com/Detail/Detail?PublicationID=P20170531062")</f>
        <v>https://www.airitibooks.com/Detail/Detail?PublicationID=P20170531062</v>
      </c>
      <c r="K3313" s="13" t="str">
        <f>HYPERLINK("https://ntsu.idm.oclc.org/login?url=https://www.airitibooks.com/Detail/Detail?PublicationID=P20170531062", "https://ntsu.idm.oclc.org/login?url=https://www.airitibooks.com/Detail/Detail?PublicationID=P20170531062")</f>
        <v>https://ntsu.idm.oclc.org/login?url=https://www.airitibooks.com/Detail/Detail?PublicationID=P20170531062</v>
      </c>
    </row>
    <row r="3314" spans="1:11" ht="51" x14ac:dyDescent="0.4">
      <c r="A3314" s="10" t="s">
        <v>6779</v>
      </c>
      <c r="B3314" s="10" t="s">
        <v>6780</v>
      </c>
      <c r="C3314" s="10" t="s">
        <v>6759</v>
      </c>
      <c r="D3314" s="10" t="s">
        <v>6781</v>
      </c>
      <c r="E3314" s="10" t="s">
        <v>4129</v>
      </c>
      <c r="F3314" s="10" t="s">
        <v>6761</v>
      </c>
      <c r="G3314" s="10" t="s">
        <v>32</v>
      </c>
      <c r="H3314" s="7" t="s">
        <v>24</v>
      </c>
      <c r="I3314" s="7" t="s">
        <v>25</v>
      </c>
      <c r="J3314" s="13" t="str">
        <f>HYPERLINK("https://www.airitibooks.com/Detail/Detail?PublicationID=P20170531063", "https://www.airitibooks.com/Detail/Detail?PublicationID=P20170531063")</f>
        <v>https://www.airitibooks.com/Detail/Detail?PublicationID=P20170531063</v>
      </c>
      <c r="K3314" s="13" t="str">
        <f>HYPERLINK("https://ntsu.idm.oclc.org/login?url=https://www.airitibooks.com/Detail/Detail?PublicationID=P20170531063", "https://ntsu.idm.oclc.org/login?url=https://www.airitibooks.com/Detail/Detail?PublicationID=P20170531063")</f>
        <v>https://ntsu.idm.oclc.org/login?url=https://www.airitibooks.com/Detail/Detail?PublicationID=P20170531063</v>
      </c>
    </row>
    <row r="3315" spans="1:11" ht="51" x14ac:dyDescent="0.4">
      <c r="A3315" s="10" t="s">
        <v>6782</v>
      </c>
      <c r="B3315" s="10" t="s">
        <v>6783</v>
      </c>
      <c r="C3315" s="10" t="s">
        <v>6759</v>
      </c>
      <c r="D3315" s="10" t="s">
        <v>6784</v>
      </c>
      <c r="E3315" s="10" t="s">
        <v>4129</v>
      </c>
      <c r="F3315" s="10" t="s">
        <v>6761</v>
      </c>
      <c r="G3315" s="10" t="s">
        <v>32</v>
      </c>
      <c r="H3315" s="7" t="s">
        <v>24</v>
      </c>
      <c r="I3315" s="7" t="s">
        <v>25</v>
      </c>
      <c r="J3315" s="13" t="str">
        <f>HYPERLINK("https://www.airitibooks.com/Detail/Detail?PublicationID=P20170531064", "https://www.airitibooks.com/Detail/Detail?PublicationID=P20170531064")</f>
        <v>https://www.airitibooks.com/Detail/Detail?PublicationID=P20170531064</v>
      </c>
      <c r="K3315" s="13" t="str">
        <f>HYPERLINK("https://ntsu.idm.oclc.org/login?url=https://www.airitibooks.com/Detail/Detail?PublicationID=P20170531064", "https://ntsu.idm.oclc.org/login?url=https://www.airitibooks.com/Detail/Detail?PublicationID=P20170531064")</f>
        <v>https://ntsu.idm.oclc.org/login?url=https://www.airitibooks.com/Detail/Detail?PublicationID=P20170531064</v>
      </c>
    </row>
    <row r="3316" spans="1:11" ht="51" x14ac:dyDescent="0.4">
      <c r="A3316" s="10" t="s">
        <v>6785</v>
      </c>
      <c r="B3316" s="10" t="s">
        <v>6786</v>
      </c>
      <c r="C3316" s="10" t="s">
        <v>6759</v>
      </c>
      <c r="D3316" s="10" t="s">
        <v>6787</v>
      </c>
      <c r="E3316" s="10" t="s">
        <v>4129</v>
      </c>
      <c r="F3316" s="10" t="s">
        <v>6761</v>
      </c>
      <c r="G3316" s="10" t="s">
        <v>32</v>
      </c>
      <c r="H3316" s="7" t="s">
        <v>24</v>
      </c>
      <c r="I3316" s="7" t="s">
        <v>25</v>
      </c>
      <c r="J3316" s="13" t="str">
        <f>HYPERLINK("https://www.airitibooks.com/Detail/Detail?PublicationID=P20170531065", "https://www.airitibooks.com/Detail/Detail?PublicationID=P20170531065")</f>
        <v>https://www.airitibooks.com/Detail/Detail?PublicationID=P20170531065</v>
      </c>
      <c r="K3316" s="13" t="str">
        <f>HYPERLINK("https://ntsu.idm.oclc.org/login?url=https://www.airitibooks.com/Detail/Detail?PublicationID=P20170531065", "https://ntsu.idm.oclc.org/login?url=https://www.airitibooks.com/Detail/Detail?PublicationID=P20170531065")</f>
        <v>https://ntsu.idm.oclc.org/login?url=https://www.airitibooks.com/Detail/Detail?PublicationID=P20170531065</v>
      </c>
    </row>
    <row r="3317" spans="1:11" ht="51" x14ac:dyDescent="0.4">
      <c r="A3317" s="10" t="s">
        <v>6788</v>
      </c>
      <c r="B3317" s="10" t="s">
        <v>6789</v>
      </c>
      <c r="C3317" s="10" t="s">
        <v>6759</v>
      </c>
      <c r="D3317" s="10" t="s">
        <v>6790</v>
      </c>
      <c r="E3317" s="10" t="s">
        <v>4129</v>
      </c>
      <c r="F3317" s="10" t="s">
        <v>6761</v>
      </c>
      <c r="G3317" s="10" t="s">
        <v>32</v>
      </c>
      <c r="H3317" s="7" t="s">
        <v>24</v>
      </c>
      <c r="I3317" s="7" t="s">
        <v>25</v>
      </c>
      <c r="J3317" s="13" t="str">
        <f>HYPERLINK("https://www.airitibooks.com/Detail/Detail?PublicationID=P20170531066", "https://www.airitibooks.com/Detail/Detail?PublicationID=P20170531066")</f>
        <v>https://www.airitibooks.com/Detail/Detail?PublicationID=P20170531066</v>
      </c>
      <c r="K3317" s="13" t="str">
        <f>HYPERLINK("https://ntsu.idm.oclc.org/login?url=https://www.airitibooks.com/Detail/Detail?PublicationID=P20170531066", "https://ntsu.idm.oclc.org/login?url=https://www.airitibooks.com/Detail/Detail?PublicationID=P20170531066")</f>
        <v>https://ntsu.idm.oclc.org/login?url=https://www.airitibooks.com/Detail/Detail?PublicationID=P20170531066</v>
      </c>
    </row>
    <row r="3318" spans="1:11" ht="51" x14ac:dyDescent="0.4">
      <c r="A3318" s="10" t="s">
        <v>6791</v>
      </c>
      <c r="B3318" s="10" t="s">
        <v>6792</v>
      </c>
      <c r="C3318" s="10" t="s">
        <v>6759</v>
      </c>
      <c r="D3318" s="10" t="s">
        <v>6793</v>
      </c>
      <c r="E3318" s="10" t="s">
        <v>4129</v>
      </c>
      <c r="F3318" s="10" t="s">
        <v>6761</v>
      </c>
      <c r="G3318" s="10" t="s">
        <v>32</v>
      </c>
      <c r="H3318" s="7" t="s">
        <v>24</v>
      </c>
      <c r="I3318" s="7" t="s">
        <v>25</v>
      </c>
      <c r="J3318" s="13" t="str">
        <f>HYPERLINK("https://www.airitibooks.com/Detail/Detail?PublicationID=P20170531067", "https://www.airitibooks.com/Detail/Detail?PublicationID=P20170531067")</f>
        <v>https://www.airitibooks.com/Detail/Detail?PublicationID=P20170531067</v>
      </c>
      <c r="K3318" s="13" t="str">
        <f>HYPERLINK("https://ntsu.idm.oclc.org/login?url=https://www.airitibooks.com/Detail/Detail?PublicationID=P20170531067", "https://ntsu.idm.oclc.org/login?url=https://www.airitibooks.com/Detail/Detail?PublicationID=P20170531067")</f>
        <v>https://ntsu.idm.oclc.org/login?url=https://www.airitibooks.com/Detail/Detail?PublicationID=P20170531067</v>
      </c>
    </row>
    <row r="3319" spans="1:11" ht="51" x14ac:dyDescent="0.4">
      <c r="A3319" s="10" t="s">
        <v>6817</v>
      </c>
      <c r="B3319" s="10" t="s">
        <v>6818</v>
      </c>
      <c r="C3319" s="10" t="s">
        <v>6814</v>
      </c>
      <c r="D3319" s="10" t="s">
        <v>6819</v>
      </c>
      <c r="E3319" s="10" t="s">
        <v>4129</v>
      </c>
      <c r="F3319" s="10" t="s">
        <v>6820</v>
      </c>
      <c r="G3319" s="10" t="s">
        <v>32</v>
      </c>
      <c r="H3319" s="7" t="s">
        <v>24</v>
      </c>
      <c r="I3319" s="7" t="s">
        <v>25</v>
      </c>
      <c r="J3319" s="13" t="str">
        <f>HYPERLINK("https://www.airitibooks.com/Detail/Detail?PublicationID=P20170616070", "https://www.airitibooks.com/Detail/Detail?PublicationID=P20170616070")</f>
        <v>https://www.airitibooks.com/Detail/Detail?PublicationID=P20170616070</v>
      </c>
      <c r="K3319" s="13" t="str">
        <f>HYPERLINK("https://ntsu.idm.oclc.org/login?url=https://www.airitibooks.com/Detail/Detail?PublicationID=P20170616070", "https://ntsu.idm.oclc.org/login?url=https://www.airitibooks.com/Detail/Detail?PublicationID=P20170616070")</f>
        <v>https://ntsu.idm.oclc.org/login?url=https://www.airitibooks.com/Detail/Detail?PublicationID=P20170616070</v>
      </c>
    </row>
    <row r="3320" spans="1:11" ht="51" x14ac:dyDescent="0.4">
      <c r="A3320" s="10" t="s">
        <v>6827</v>
      </c>
      <c r="B3320" s="10" t="s">
        <v>6828</v>
      </c>
      <c r="C3320" s="10" t="s">
        <v>6814</v>
      </c>
      <c r="D3320" s="10" t="s">
        <v>3632</v>
      </c>
      <c r="E3320" s="10" t="s">
        <v>4129</v>
      </c>
      <c r="F3320" s="10" t="s">
        <v>2369</v>
      </c>
      <c r="G3320" s="10" t="s">
        <v>32</v>
      </c>
      <c r="H3320" s="7" t="s">
        <v>24</v>
      </c>
      <c r="I3320" s="7" t="s">
        <v>25</v>
      </c>
      <c r="J3320" s="13" t="str">
        <f>HYPERLINK("https://www.airitibooks.com/Detail/Detail?PublicationID=P20170629003", "https://www.airitibooks.com/Detail/Detail?PublicationID=P20170629003")</f>
        <v>https://www.airitibooks.com/Detail/Detail?PublicationID=P20170629003</v>
      </c>
      <c r="K3320" s="13" t="str">
        <f>HYPERLINK("https://ntsu.idm.oclc.org/login?url=https://www.airitibooks.com/Detail/Detail?PublicationID=P20170629003", "https://ntsu.idm.oclc.org/login?url=https://www.airitibooks.com/Detail/Detail?PublicationID=P20170629003")</f>
        <v>https://ntsu.idm.oclc.org/login?url=https://www.airitibooks.com/Detail/Detail?PublicationID=P20170629003</v>
      </c>
    </row>
    <row r="3321" spans="1:11" ht="51" x14ac:dyDescent="0.4">
      <c r="A3321" s="10" t="s">
        <v>6858</v>
      </c>
      <c r="B3321" s="10" t="s">
        <v>6859</v>
      </c>
      <c r="C3321" s="10" t="s">
        <v>1504</v>
      </c>
      <c r="D3321" s="10" t="s">
        <v>6860</v>
      </c>
      <c r="E3321" s="10" t="s">
        <v>4129</v>
      </c>
      <c r="F3321" s="10" t="s">
        <v>6861</v>
      </c>
      <c r="G3321" s="10" t="s">
        <v>32</v>
      </c>
      <c r="H3321" s="7" t="s">
        <v>24</v>
      </c>
      <c r="I3321" s="7" t="s">
        <v>25</v>
      </c>
      <c r="J3321" s="13" t="str">
        <f>HYPERLINK("https://www.airitibooks.com/Detail/Detail?PublicationID=P20170706029", "https://www.airitibooks.com/Detail/Detail?PublicationID=P20170706029")</f>
        <v>https://www.airitibooks.com/Detail/Detail?PublicationID=P20170706029</v>
      </c>
      <c r="K3321" s="13" t="str">
        <f>HYPERLINK("https://ntsu.idm.oclc.org/login?url=https://www.airitibooks.com/Detail/Detail?PublicationID=P20170706029", "https://ntsu.idm.oclc.org/login?url=https://www.airitibooks.com/Detail/Detail?PublicationID=P20170706029")</f>
        <v>https://ntsu.idm.oclc.org/login?url=https://www.airitibooks.com/Detail/Detail?PublicationID=P20170706029</v>
      </c>
    </row>
    <row r="3322" spans="1:11" ht="51" x14ac:dyDescent="0.4">
      <c r="A3322" s="10" t="s">
        <v>6862</v>
      </c>
      <c r="B3322" s="10" t="s">
        <v>6863</v>
      </c>
      <c r="C3322" s="10" t="s">
        <v>1504</v>
      </c>
      <c r="D3322" s="10" t="s">
        <v>6864</v>
      </c>
      <c r="E3322" s="10" t="s">
        <v>4129</v>
      </c>
      <c r="F3322" s="10" t="s">
        <v>6865</v>
      </c>
      <c r="G3322" s="10" t="s">
        <v>32</v>
      </c>
      <c r="H3322" s="7" t="s">
        <v>24</v>
      </c>
      <c r="I3322" s="7" t="s">
        <v>25</v>
      </c>
      <c r="J3322" s="13" t="str">
        <f>HYPERLINK("https://www.airitibooks.com/Detail/Detail?PublicationID=P20170706030", "https://www.airitibooks.com/Detail/Detail?PublicationID=P20170706030")</f>
        <v>https://www.airitibooks.com/Detail/Detail?PublicationID=P20170706030</v>
      </c>
      <c r="K3322" s="13" t="str">
        <f>HYPERLINK("https://ntsu.idm.oclc.org/login?url=https://www.airitibooks.com/Detail/Detail?PublicationID=P20170706030", "https://ntsu.idm.oclc.org/login?url=https://www.airitibooks.com/Detail/Detail?PublicationID=P20170706030")</f>
        <v>https://ntsu.idm.oclc.org/login?url=https://www.airitibooks.com/Detail/Detail?PublicationID=P20170706030</v>
      </c>
    </row>
    <row r="3323" spans="1:11" ht="51" x14ac:dyDescent="0.4">
      <c r="A3323" s="10" t="s">
        <v>6866</v>
      </c>
      <c r="B3323" s="10" t="s">
        <v>6867</v>
      </c>
      <c r="C3323" s="10" t="s">
        <v>1504</v>
      </c>
      <c r="D3323" s="10" t="s">
        <v>6868</v>
      </c>
      <c r="E3323" s="10" t="s">
        <v>4129</v>
      </c>
      <c r="F3323" s="10" t="s">
        <v>6869</v>
      </c>
      <c r="G3323" s="10" t="s">
        <v>32</v>
      </c>
      <c r="H3323" s="7" t="s">
        <v>24</v>
      </c>
      <c r="I3323" s="7" t="s">
        <v>25</v>
      </c>
      <c r="J3323" s="13" t="str">
        <f>HYPERLINK("https://www.airitibooks.com/Detail/Detail?PublicationID=P20170706032", "https://www.airitibooks.com/Detail/Detail?PublicationID=P20170706032")</f>
        <v>https://www.airitibooks.com/Detail/Detail?PublicationID=P20170706032</v>
      </c>
      <c r="K3323" s="13" t="str">
        <f>HYPERLINK("https://ntsu.idm.oclc.org/login?url=https://www.airitibooks.com/Detail/Detail?PublicationID=P20170706032", "https://ntsu.idm.oclc.org/login?url=https://www.airitibooks.com/Detail/Detail?PublicationID=P20170706032")</f>
        <v>https://ntsu.idm.oclc.org/login?url=https://www.airitibooks.com/Detail/Detail?PublicationID=P20170706032</v>
      </c>
    </row>
    <row r="3324" spans="1:11" ht="51" x14ac:dyDescent="0.4">
      <c r="A3324" s="10" t="s">
        <v>6981</v>
      </c>
      <c r="B3324" s="10" t="s">
        <v>6982</v>
      </c>
      <c r="C3324" s="10" t="s">
        <v>1504</v>
      </c>
      <c r="D3324" s="10" t="s">
        <v>2204</v>
      </c>
      <c r="E3324" s="10" t="s">
        <v>4129</v>
      </c>
      <c r="F3324" s="10" t="s">
        <v>6983</v>
      </c>
      <c r="G3324" s="10" t="s">
        <v>32</v>
      </c>
      <c r="H3324" s="7" t="s">
        <v>24</v>
      </c>
      <c r="I3324" s="7" t="s">
        <v>25</v>
      </c>
      <c r="J3324" s="13" t="str">
        <f>HYPERLINK("https://www.airitibooks.com/Detail/Detail?PublicationID=P20170706109", "https://www.airitibooks.com/Detail/Detail?PublicationID=P20170706109")</f>
        <v>https://www.airitibooks.com/Detail/Detail?PublicationID=P20170706109</v>
      </c>
      <c r="K3324" s="13" t="str">
        <f>HYPERLINK("https://ntsu.idm.oclc.org/login?url=https://www.airitibooks.com/Detail/Detail?PublicationID=P20170706109", "https://ntsu.idm.oclc.org/login?url=https://www.airitibooks.com/Detail/Detail?PublicationID=P20170706109")</f>
        <v>https://ntsu.idm.oclc.org/login?url=https://www.airitibooks.com/Detail/Detail?PublicationID=P20170706109</v>
      </c>
    </row>
    <row r="3325" spans="1:11" ht="255" x14ac:dyDescent="0.4">
      <c r="A3325" s="10" t="s">
        <v>6995</v>
      </c>
      <c r="B3325" s="10" t="s">
        <v>6996</v>
      </c>
      <c r="C3325" s="10" t="s">
        <v>568</v>
      </c>
      <c r="D3325" s="10" t="s">
        <v>6997</v>
      </c>
      <c r="E3325" s="10" t="s">
        <v>4129</v>
      </c>
      <c r="F3325" s="10" t="s">
        <v>5347</v>
      </c>
      <c r="G3325" s="10" t="s">
        <v>32</v>
      </c>
      <c r="H3325" s="7" t="s">
        <v>24</v>
      </c>
      <c r="I3325" s="7" t="s">
        <v>25</v>
      </c>
      <c r="J3325" s="13" t="str">
        <f>HYPERLINK("https://www.airitibooks.com/Detail/Detail?PublicationID=P20170717023", "https://www.airitibooks.com/Detail/Detail?PublicationID=P20170717023")</f>
        <v>https://www.airitibooks.com/Detail/Detail?PublicationID=P20170717023</v>
      </c>
      <c r="K3325" s="13" t="str">
        <f>HYPERLINK("https://ntsu.idm.oclc.org/login?url=https://www.airitibooks.com/Detail/Detail?PublicationID=P20170717023", "https://ntsu.idm.oclc.org/login?url=https://www.airitibooks.com/Detail/Detail?PublicationID=P20170717023")</f>
        <v>https://ntsu.idm.oclc.org/login?url=https://www.airitibooks.com/Detail/Detail?PublicationID=P20170717023</v>
      </c>
    </row>
    <row r="3326" spans="1:11" ht="204" x14ac:dyDescent="0.4">
      <c r="A3326" s="10" t="s">
        <v>7753</v>
      </c>
      <c r="B3326" s="10" t="s">
        <v>7754</v>
      </c>
      <c r="C3326" s="10" t="s">
        <v>7755</v>
      </c>
      <c r="D3326" s="10" t="s">
        <v>7756</v>
      </c>
      <c r="E3326" s="10" t="s">
        <v>4129</v>
      </c>
      <c r="F3326" s="10" t="s">
        <v>185</v>
      </c>
      <c r="G3326" s="10" t="s">
        <v>32</v>
      </c>
      <c r="H3326" s="7" t="s">
        <v>24</v>
      </c>
      <c r="I3326" s="7" t="s">
        <v>25</v>
      </c>
      <c r="J3326" s="13" t="str">
        <f>HYPERLINK("https://www.airitibooks.com/Detail/Detail?PublicationID=P20171118355", "https://www.airitibooks.com/Detail/Detail?PublicationID=P20171118355")</f>
        <v>https://www.airitibooks.com/Detail/Detail?PublicationID=P20171118355</v>
      </c>
      <c r="K3326" s="13" t="str">
        <f>HYPERLINK("https://ntsu.idm.oclc.org/login?url=https://www.airitibooks.com/Detail/Detail?PublicationID=P20171118355", "https://ntsu.idm.oclc.org/login?url=https://www.airitibooks.com/Detail/Detail?PublicationID=P20171118355")</f>
        <v>https://ntsu.idm.oclc.org/login?url=https://www.airitibooks.com/Detail/Detail?PublicationID=P20171118355</v>
      </c>
    </row>
    <row r="3327" spans="1:11" ht="85" x14ac:dyDescent="0.4">
      <c r="A3327" s="10" t="s">
        <v>8047</v>
      </c>
      <c r="B3327" s="10" t="s">
        <v>8048</v>
      </c>
      <c r="C3327" s="10" t="s">
        <v>791</v>
      </c>
      <c r="D3327" s="10" t="s">
        <v>8049</v>
      </c>
      <c r="E3327" s="10" t="s">
        <v>4129</v>
      </c>
      <c r="F3327" s="10" t="s">
        <v>8050</v>
      </c>
      <c r="G3327" s="10" t="s">
        <v>32</v>
      </c>
      <c r="H3327" s="7" t="s">
        <v>24</v>
      </c>
      <c r="I3327" s="7" t="s">
        <v>25</v>
      </c>
      <c r="J3327" s="13" t="str">
        <f>HYPERLINK("https://www.airitibooks.com/Detail/Detail?PublicationID=P20171130137", "https://www.airitibooks.com/Detail/Detail?PublicationID=P20171130137")</f>
        <v>https://www.airitibooks.com/Detail/Detail?PublicationID=P20171130137</v>
      </c>
      <c r="K3327" s="13" t="str">
        <f>HYPERLINK("https://ntsu.idm.oclc.org/login?url=https://www.airitibooks.com/Detail/Detail?PublicationID=P20171130137", "https://ntsu.idm.oclc.org/login?url=https://www.airitibooks.com/Detail/Detail?PublicationID=P20171130137")</f>
        <v>https://ntsu.idm.oclc.org/login?url=https://www.airitibooks.com/Detail/Detail?PublicationID=P20171130137</v>
      </c>
    </row>
    <row r="3328" spans="1:11" ht="51" x14ac:dyDescent="0.4">
      <c r="A3328" s="10" t="s">
        <v>9042</v>
      </c>
      <c r="B3328" s="10" t="s">
        <v>9043</v>
      </c>
      <c r="C3328" s="10" t="s">
        <v>452</v>
      </c>
      <c r="D3328" s="10" t="s">
        <v>9044</v>
      </c>
      <c r="E3328" s="10" t="s">
        <v>4129</v>
      </c>
      <c r="F3328" s="10" t="s">
        <v>9045</v>
      </c>
      <c r="G3328" s="10" t="s">
        <v>32</v>
      </c>
      <c r="H3328" s="7" t="s">
        <v>24</v>
      </c>
      <c r="I3328" s="7" t="s">
        <v>25</v>
      </c>
      <c r="J3328" s="13" t="str">
        <f>HYPERLINK("https://www.airitibooks.com/Detail/Detail?PublicationID=P20180413163", "https://www.airitibooks.com/Detail/Detail?PublicationID=P20180413163")</f>
        <v>https://www.airitibooks.com/Detail/Detail?PublicationID=P20180413163</v>
      </c>
      <c r="K3328" s="13" t="str">
        <f>HYPERLINK("https://ntsu.idm.oclc.org/login?url=https://www.airitibooks.com/Detail/Detail?PublicationID=P20180413163", "https://ntsu.idm.oclc.org/login?url=https://www.airitibooks.com/Detail/Detail?PublicationID=P20180413163")</f>
        <v>https://ntsu.idm.oclc.org/login?url=https://www.airitibooks.com/Detail/Detail?PublicationID=P20180413163</v>
      </c>
    </row>
    <row r="3329" spans="1:11" ht="51" x14ac:dyDescent="0.4">
      <c r="A3329" s="10" t="s">
        <v>9049</v>
      </c>
      <c r="B3329" s="10" t="s">
        <v>9050</v>
      </c>
      <c r="C3329" s="10" t="s">
        <v>452</v>
      </c>
      <c r="D3329" s="10" t="s">
        <v>9044</v>
      </c>
      <c r="E3329" s="10" t="s">
        <v>4129</v>
      </c>
      <c r="F3329" s="10" t="s">
        <v>9051</v>
      </c>
      <c r="G3329" s="10" t="s">
        <v>32</v>
      </c>
      <c r="H3329" s="7" t="s">
        <v>24</v>
      </c>
      <c r="I3329" s="7" t="s">
        <v>25</v>
      </c>
      <c r="J3329" s="13" t="str">
        <f>HYPERLINK("https://www.airitibooks.com/Detail/Detail?PublicationID=P20180413165", "https://www.airitibooks.com/Detail/Detail?PublicationID=P20180413165")</f>
        <v>https://www.airitibooks.com/Detail/Detail?PublicationID=P20180413165</v>
      </c>
      <c r="K3329" s="13" t="str">
        <f>HYPERLINK("https://ntsu.idm.oclc.org/login?url=https://www.airitibooks.com/Detail/Detail?PublicationID=P20180413165", "https://ntsu.idm.oclc.org/login?url=https://www.airitibooks.com/Detail/Detail?PublicationID=P20180413165")</f>
        <v>https://ntsu.idm.oclc.org/login?url=https://www.airitibooks.com/Detail/Detail?PublicationID=P20180413165</v>
      </c>
    </row>
    <row r="3330" spans="1:11" ht="51" x14ac:dyDescent="0.4">
      <c r="A3330" s="10" t="s">
        <v>9052</v>
      </c>
      <c r="B3330" s="10" t="s">
        <v>9053</v>
      </c>
      <c r="C3330" s="10" t="s">
        <v>452</v>
      </c>
      <c r="D3330" s="10" t="s">
        <v>9044</v>
      </c>
      <c r="E3330" s="10" t="s">
        <v>4129</v>
      </c>
      <c r="F3330" s="10" t="s">
        <v>9048</v>
      </c>
      <c r="G3330" s="10" t="s">
        <v>32</v>
      </c>
      <c r="H3330" s="7" t="s">
        <v>24</v>
      </c>
      <c r="I3330" s="7" t="s">
        <v>25</v>
      </c>
      <c r="J3330" s="13" t="str">
        <f>HYPERLINK("https://www.airitibooks.com/Detail/Detail?PublicationID=P20180413166", "https://www.airitibooks.com/Detail/Detail?PublicationID=P20180413166")</f>
        <v>https://www.airitibooks.com/Detail/Detail?PublicationID=P20180413166</v>
      </c>
      <c r="K3330" s="13" t="str">
        <f>HYPERLINK("https://ntsu.idm.oclc.org/login?url=https://www.airitibooks.com/Detail/Detail?PublicationID=P20180413166", "https://ntsu.idm.oclc.org/login?url=https://www.airitibooks.com/Detail/Detail?PublicationID=P20180413166")</f>
        <v>https://ntsu.idm.oclc.org/login?url=https://www.airitibooks.com/Detail/Detail?PublicationID=P20180413166</v>
      </c>
    </row>
    <row r="3331" spans="1:11" ht="68" x14ac:dyDescent="0.4">
      <c r="A3331" s="10" t="s">
        <v>9126</v>
      </c>
      <c r="B3331" s="10" t="s">
        <v>9127</v>
      </c>
      <c r="C3331" s="10" t="s">
        <v>791</v>
      </c>
      <c r="D3331" s="10" t="s">
        <v>9128</v>
      </c>
      <c r="E3331" s="10" t="s">
        <v>4129</v>
      </c>
      <c r="F3331" s="10" t="s">
        <v>9129</v>
      </c>
      <c r="G3331" s="10" t="s">
        <v>32</v>
      </c>
      <c r="H3331" s="7" t="s">
        <v>24</v>
      </c>
      <c r="I3331" s="7" t="s">
        <v>25</v>
      </c>
      <c r="J3331" s="13" t="str">
        <f>HYPERLINK("https://www.airitibooks.com/Detail/Detail?PublicationID=P20180427045", "https://www.airitibooks.com/Detail/Detail?PublicationID=P20180427045")</f>
        <v>https://www.airitibooks.com/Detail/Detail?PublicationID=P20180427045</v>
      </c>
      <c r="K3331" s="13" t="str">
        <f>HYPERLINK("https://ntsu.idm.oclc.org/login?url=https://www.airitibooks.com/Detail/Detail?PublicationID=P20180427045", "https://ntsu.idm.oclc.org/login?url=https://www.airitibooks.com/Detail/Detail?PublicationID=P20180427045")</f>
        <v>https://ntsu.idm.oclc.org/login?url=https://www.airitibooks.com/Detail/Detail?PublicationID=P20180427045</v>
      </c>
    </row>
    <row r="3332" spans="1:11" ht="51" x14ac:dyDescent="0.4">
      <c r="A3332" s="10" t="s">
        <v>9215</v>
      </c>
      <c r="B3332" s="10" t="s">
        <v>9216</v>
      </c>
      <c r="C3332" s="10" t="s">
        <v>661</v>
      </c>
      <c r="D3332" s="10" t="s">
        <v>9217</v>
      </c>
      <c r="E3332" s="10" t="s">
        <v>4129</v>
      </c>
      <c r="F3332" s="10" t="s">
        <v>9218</v>
      </c>
      <c r="G3332" s="10" t="s">
        <v>32</v>
      </c>
      <c r="H3332" s="7" t="s">
        <v>24</v>
      </c>
      <c r="I3332" s="7" t="s">
        <v>25</v>
      </c>
      <c r="J3332" s="13" t="str">
        <f>HYPERLINK("https://www.airitibooks.com/Detail/Detail?PublicationID=P20180518002", "https://www.airitibooks.com/Detail/Detail?PublicationID=P20180518002")</f>
        <v>https://www.airitibooks.com/Detail/Detail?PublicationID=P20180518002</v>
      </c>
      <c r="K3332" s="13" t="str">
        <f>HYPERLINK("https://ntsu.idm.oclc.org/login?url=https://www.airitibooks.com/Detail/Detail?PublicationID=P20180518002", "https://ntsu.idm.oclc.org/login?url=https://www.airitibooks.com/Detail/Detail?PublicationID=P20180518002")</f>
        <v>https://ntsu.idm.oclc.org/login?url=https://www.airitibooks.com/Detail/Detail?PublicationID=P20180518002</v>
      </c>
    </row>
    <row r="3333" spans="1:11" ht="85" x14ac:dyDescent="0.4">
      <c r="A3333" s="10" t="s">
        <v>9219</v>
      </c>
      <c r="B3333" s="10" t="s">
        <v>9220</v>
      </c>
      <c r="C3333" s="10" t="s">
        <v>661</v>
      </c>
      <c r="D3333" s="10" t="s">
        <v>9221</v>
      </c>
      <c r="E3333" s="10" t="s">
        <v>4129</v>
      </c>
      <c r="F3333" s="10" t="s">
        <v>9222</v>
      </c>
      <c r="G3333" s="10" t="s">
        <v>32</v>
      </c>
      <c r="H3333" s="7" t="s">
        <v>24</v>
      </c>
      <c r="I3333" s="7" t="s">
        <v>25</v>
      </c>
      <c r="J3333" s="13" t="str">
        <f>HYPERLINK("https://www.airitibooks.com/Detail/Detail?PublicationID=P20180518006", "https://www.airitibooks.com/Detail/Detail?PublicationID=P20180518006")</f>
        <v>https://www.airitibooks.com/Detail/Detail?PublicationID=P20180518006</v>
      </c>
      <c r="K3333" s="13" t="str">
        <f>HYPERLINK("https://ntsu.idm.oclc.org/login?url=https://www.airitibooks.com/Detail/Detail?PublicationID=P20180518006", "https://ntsu.idm.oclc.org/login?url=https://www.airitibooks.com/Detail/Detail?PublicationID=P20180518006")</f>
        <v>https://ntsu.idm.oclc.org/login?url=https://www.airitibooks.com/Detail/Detail?PublicationID=P20180518006</v>
      </c>
    </row>
    <row r="3334" spans="1:11" ht="51" x14ac:dyDescent="0.4">
      <c r="A3334" s="10" t="s">
        <v>9505</v>
      </c>
      <c r="B3334" s="10" t="s">
        <v>9506</v>
      </c>
      <c r="C3334" s="10" t="s">
        <v>5050</v>
      </c>
      <c r="D3334" s="10" t="s">
        <v>9507</v>
      </c>
      <c r="E3334" s="10" t="s">
        <v>4129</v>
      </c>
      <c r="F3334" s="10" t="s">
        <v>575</v>
      </c>
      <c r="G3334" s="10" t="s">
        <v>32</v>
      </c>
      <c r="H3334" s="7" t="s">
        <v>24</v>
      </c>
      <c r="I3334" s="7" t="s">
        <v>25</v>
      </c>
      <c r="J3334" s="13" t="str">
        <f>HYPERLINK("https://www.airitibooks.com/Detail/Detail?PublicationID=P20180627053", "https://www.airitibooks.com/Detail/Detail?PublicationID=P20180627053")</f>
        <v>https://www.airitibooks.com/Detail/Detail?PublicationID=P20180627053</v>
      </c>
      <c r="K3334" s="13" t="str">
        <f>HYPERLINK("https://ntsu.idm.oclc.org/login?url=https://www.airitibooks.com/Detail/Detail?PublicationID=P20180627053", "https://ntsu.idm.oclc.org/login?url=https://www.airitibooks.com/Detail/Detail?PublicationID=P20180627053")</f>
        <v>https://ntsu.idm.oclc.org/login?url=https://www.airitibooks.com/Detail/Detail?PublicationID=P20180627053</v>
      </c>
    </row>
    <row r="3335" spans="1:11" ht="85" x14ac:dyDescent="0.4">
      <c r="A3335" s="10" t="s">
        <v>9545</v>
      </c>
      <c r="B3335" s="10" t="s">
        <v>9546</v>
      </c>
      <c r="C3335" s="10" t="s">
        <v>9514</v>
      </c>
      <c r="D3335" s="10" t="s">
        <v>9547</v>
      </c>
      <c r="E3335" s="10" t="s">
        <v>4129</v>
      </c>
      <c r="F3335" s="10" t="s">
        <v>9548</v>
      </c>
      <c r="G3335" s="10" t="s">
        <v>32</v>
      </c>
      <c r="H3335" s="7" t="s">
        <v>24</v>
      </c>
      <c r="I3335" s="7" t="s">
        <v>25</v>
      </c>
      <c r="J3335" s="13" t="str">
        <f>HYPERLINK("https://www.airitibooks.com/Detail/Detail?PublicationID=P20180628020", "https://www.airitibooks.com/Detail/Detail?PublicationID=P20180628020")</f>
        <v>https://www.airitibooks.com/Detail/Detail?PublicationID=P20180628020</v>
      </c>
      <c r="K3335" s="13" t="str">
        <f>HYPERLINK("https://ntsu.idm.oclc.org/login?url=https://www.airitibooks.com/Detail/Detail?PublicationID=P20180628020", "https://ntsu.idm.oclc.org/login?url=https://www.airitibooks.com/Detail/Detail?PublicationID=P20180628020")</f>
        <v>https://ntsu.idm.oclc.org/login?url=https://www.airitibooks.com/Detail/Detail?PublicationID=P20180628020</v>
      </c>
    </row>
    <row r="3336" spans="1:11" ht="51" x14ac:dyDescent="0.4">
      <c r="A3336" s="10" t="s">
        <v>9652</v>
      </c>
      <c r="B3336" s="10" t="s">
        <v>9653</v>
      </c>
      <c r="C3336" s="10" t="s">
        <v>240</v>
      </c>
      <c r="D3336" s="10" t="s">
        <v>9654</v>
      </c>
      <c r="E3336" s="10" t="s">
        <v>4129</v>
      </c>
      <c r="F3336" s="10" t="s">
        <v>1653</v>
      </c>
      <c r="G3336" s="10" t="s">
        <v>32</v>
      </c>
      <c r="H3336" s="7" t="s">
        <v>24</v>
      </c>
      <c r="I3336" s="7" t="s">
        <v>25</v>
      </c>
      <c r="J3336" s="13" t="str">
        <f>HYPERLINK("https://www.airitibooks.com/Detail/Detail?PublicationID=P20180814080", "https://www.airitibooks.com/Detail/Detail?PublicationID=P20180814080")</f>
        <v>https://www.airitibooks.com/Detail/Detail?PublicationID=P20180814080</v>
      </c>
      <c r="K3336" s="13" t="str">
        <f>HYPERLINK("https://ntsu.idm.oclc.org/login?url=https://www.airitibooks.com/Detail/Detail?PublicationID=P20180814080", "https://ntsu.idm.oclc.org/login?url=https://www.airitibooks.com/Detail/Detail?PublicationID=P20180814080")</f>
        <v>https://ntsu.idm.oclc.org/login?url=https://www.airitibooks.com/Detail/Detail?PublicationID=P20180814080</v>
      </c>
    </row>
    <row r="3337" spans="1:11" ht="51" x14ac:dyDescent="0.4">
      <c r="A3337" s="10" t="s">
        <v>9673</v>
      </c>
      <c r="B3337" s="10" t="s">
        <v>9674</v>
      </c>
      <c r="C3337" s="10" t="s">
        <v>9664</v>
      </c>
      <c r="D3337" s="10" t="s">
        <v>9675</v>
      </c>
      <c r="E3337" s="10" t="s">
        <v>4129</v>
      </c>
      <c r="F3337" s="10" t="s">
        <v>9676</v>
      </c>
      <c r="G3337" s="10" t="s">
        <v>32</v>
      </c>
      <c r="H3337" s="7" t="s">
        <v>24</v>
      </c>
      <c r="I3337" s="7" t="s">
        <v>25</v>
      </c>
      <c r="J3337" s="13" t="str">
        <f>HYPERLINK("https://www.airitibooks.com/Detail/Detail?PublicationID=P20180815053", "https://www.airitibooks.com/Detail/Detail?PublicationID=P20180815053")</f>
        <v>https://www.airitibooks.com/Detail/Detail?PublicationID=P20180815053</v>
      </c>
      <c r="K3337" s="13" t="str">
        <f>HYPERLINK("https://ntsu.idm.oclc.org/login?url=https://www.airitibooks.com/Detail/Detail?PublicationID=P20180815053", "https://ntsu.idm.oclc.org/login?url=https://www.airitibooks.com/Detail/Detail?PublicationID=P20180815053")</f>
        <v>https://ntsu.idm.oclc.org/login?url=https://www.airitibooks.com/Detail/Detail?PublicationID=P20180815053</v>
      </c>
    </row>
    <row r="3338" spans="1:11" ht="51" x14ac:dyDescent="0.4">
      <c r="A3338" s="10" t="s">
        <v>9724</v>
      </c>
      <c r="B3338" s="10" t="s">
        <v>9725</v>
      </c>
      <c r="C3338" s="10" t="s">
        <v>1296</v>
      </c>
      <c r="D3338" s="10" t="s">
        <v>9726</v>
      </c>
      <c r="E3338" s="10" t="s">
        <v>4129</v>
      </c>
      <c r="F3338" s="10" t="s">
        <v>9727</v>
      </c>
      <c r="G3338" s="10" t="s">
        <v>32</v>
      </c>
      <c r="H3338" s="7" t="s">
        <v>24</v>
      </c>
      <c r="I3338" s="7" t="s">
        <v>25</v>
      </c>
      <c r="J3338" s="13" t="str">
        <f>HYPERLINK("https://www.airitibooks.com/Detail/Detail?PublicationID=P20180821010", "https://www.airitibooks.com/Detail/Detail?PublicationID=P20180821010")</f>
        <v>https://www.airitibooks.com/Detail/Detail?PublicationID=P20180821010</v>
      </c>
      <c r="K3338" s="13" t="str">
        <f>HYPERLINK("https://ntsu.idm.oclc.org/login?url=https://www.airitibooks.com/Detail/Detail?PublicationID=P20180821010", "https://ntsu.idm.oclc.org/login?url=https://www.airitibooks.com/Detail/Detail?PublicationID=P20180821010")</f>
        <v>https://ntsu.idm.oclc.org/login?url=https://www.airitibooks.com/Detail/Detail?PublicationID=P20180821010</v>
      </c>
    </row>
    <row r="3339" spans="1:11" ht="51" x14ac:dyDescent="0.4">
      <c r="A3339" s="10" t="s">
        <v>9764</v>
      </c>
      <c r="B3339" s="10" t="s">
        <v>9765</v>
      </c>
      <c r="C3339" s="10" t="s">
        <v>240</v>
      </c>
      <c r="D3339" s="10" t="s">
        <v>9766</v>
      </c>
      <c r="E3339" s="10" t="s">
        <v>4129</v>
      </c>
      <c r="F3339" s="10" t="s">
        <v>9767</v>
      </c>
      <c r="G3339" s="10" t="s">
        <v>32</v>
      </c>
      <c r="H3339" s="7" t="s">
        <v>24</v>
      </c>
      <c r="I3339" s="7" t="s">
        <v>25</v>
      </c>
      <c r="J3339" s="13" t="str">
        <f>HYPERLINK("https://www.airitibooks.com/Detail/Detail?PublicationID=P20180830028", "https://www.airitibooks.com/Detail/Detail?PublicationID=P20180830028")</f>
        <v>https://www.airitibooks.com/Detail/Detail?PublicationID=P20180830028</v>
      </c>
      <c r="K3339" s="13" t="str">
        <f>HYPERLINK("https://ntsu.idm.oclc.org/login?url=https://www.airitibooks.com/Detail/Detail?PublicationID=P20180830028", "https://ntsu.idm.oclc.org/login?url=https://www.airitibooks.com/Detail/Detail?PublicationID=P20180830028")</f>
        <v>https://ntsu.idm.oclc.org/login?url=https://www.airitibooks.com/Detail/Detail?PublicationID=P20180830028</v>
      </c>
    </row>
    <row r="3340" spans="1:11" ht="51" x14ac:dyDescent="0.4">
      <c r="A3340" s="10" t="s">
        <v>10863</v>
      </c>
      <c r="B3340" s="10" t="s">
        <v>10864</v>
      </c>
      <c r="C3340" s="10" t="s">
        <v>264</v>
      </c>
      <c r="D3340" s="10" t="s">
        <v>10865</v>
      </c>
      <c r="E3340" s="10" t="s">
        <v>4129</v>
      </c>
      <c r="F3340" s="10" t="s">
        <v>647</v>
      </c>
      <c r="G3340" s="10" t="s">
        <v>32</v>
      </c>
      <c r="H3340" s="7" t="s">
        <v>24</v>
      </c>
      <c r="I3340" s="7" t="s">
        <v>25</v>
      </c>
      <c r="J3340" s="13" t="str">
        <f>HYPERLINK("https://www.airitibooks.com/Detail/Detail?PublicationID=P20190222007", "https://www.airitibooks.com/Detail/Detail?PublicationID=P20190222007")</f>
        <v>https://www.airitibooks.com/Detail/Detail?PublicationID=P20190222007</v>
      </c>
      <c r="K3340" s="13" t="str">
        <f>HYPERLINK("https://ntsu.idm.oclc.org/login?url=https://www.airitibooks.com/Detail/Detail?PublicationID=P20190222007", "https://ntsu.idm.oclc.org/login?url=https://www.airitibooks.com/Detail/Detail?PublicationID=P20190222007")</f>
        <v>https://ntsu.idm.oclc.org/login?url=https://www.airitibooks.com/Detail/Detail?PublicationID=P20190222007</v>
      </c>
    </row>
    <row r="3341" spans="1:11" ht="51" x14ac:dyDescent="0.4">
      <c r="A3341" s="10" t="s">
        <v>10866</v>
      </c>
      <c r="B3341" s="10" t="s">
        <v>10867</v>
      </c>
      <c r="C3341" s="10" t="s">
        <v>264</v>
      </c>
      <c r="D3341" s="10" t="s">
        <v>10865</v>
      </c>
      <c r="E3341" s="10" t="s">
        <v>4129</v>
      </c>
      <c r="F3341" s="10" t="s">
        <v>647</v>
      </c>
      <c r="G3341" s="10" t="s">
        <v>32</v>
      </c>
      <c r="H3341" s="7" t="s">
        <v>24</v>
      </c>
      <c r="I3341" s="7" t="s">
        <v>25</v>
      </c>
      <c r="J3341" s="13" t="str">
        <f>HYPERLINK("https://www.airitibooks.com/Detail/Detail?PublicationID=P20190222008", "https://www.airitibooks.com/Detail/Detail?PublicationID=P20190222008")</f>
        <v>https://www.airitibooks.com/Detail/Detail?PublicationID=P20190222008</v>
      </c>
      <c r="K3341" s="13" t="str">
        <f>HYPERLINK("https://ntsu.idm.oclc.org/login?url=https://www.airitibooks.com/Detail/Detail?PublicationID=P20190222008", "https://ntsu.idm.oclc.org/login?url=https://www.airitibooks.com/Detail/Detail?PublicationID=P20190222008")</f>
        <v>https://ntsu.idm.oclc.org/login?url=https://www.airitibooks.com/Detail/Detail?PublicationID=P20190222008</v>
      </c>
    </row>
    <row r="3342" spans="1:11" ht="68" x14ac:dyDescent="0.4">
      <c r="A3342" s="10" t="s">
        <v>10874</v>
      </c>
      <c r="B3342" s="10" t="s">
        <v>10875</v>
      </c>
      <c r="C3342" s="10" t="s">
        <v>462</v>
      </c>
      <c r="D3342" s="10" t="s">
        <v>10876</v>
      </c>
      <c r="E3342" s="10" t="s">
        <v>4129</v>
      </c>
      <c r="F3342" s="10" t="s">
        <v>176</v>
      </c>
      <c r="G3342" s="10" t="s">
        <v>32</v>
      </c>
      <c r="H3342" s="7" t="s">
        <v>24</v>
      </c>
      <c r="I3342" s="7" t="s">
        <v>25</v>
      </c>
      <c r="J3342" s="13" t="str">
        <f>HYPERLINK("https://www.airitibooks.com/Detail/Detail?PublicationID=P20190222049", "https://www.airitibooks.com/Detail/Detail?PublicationID=P20190222049")</f>
        <v>https://www.airitibooks.com/Detail/Detail?PublicationID=P20190222049</v>
      </c>
      <c r="K3342" s="13" t="str">
        <f>HYPERLINK("https://ntsu.idm.oclc.org/login?url=https://www.airitibooks.com/Detail/Detail?PublicationID=P20190222049", "https://ntsu.idm.oclc.org/login?url=https://www.airitibooks.com/Detail/Detail?PublicationID=P20190222049")</f>
        <v>https://ntsu.idm.oclc.org/login?url=https://www.airitibooks.com/Detail/Detail?PublicationID=P20190222049</v>
      </c>
    </row>
    <row r="3343" spans="1:11" ht="51" x14ac:dyDescent="0.4">
      <c r="A3343" s="10" t="s">
        <v>11065</v>
      </c>
      <c r="B3343" s="10" t="s">
        <v>11066</v>
      </c>
      <c r="C3343" s="10" t="s">
        <v>11037</v>
      </c>
      <c r="D3343" s="10" t="s">
        <v>11067</v>
      </c>
      <c r="E3343" s="10" t="s">
        <v>4129</v>
      </c>
      <c r="F3343" s="10" t="s">
        <v>2870</v>
      </c>
      <c r="G3343" s="10" t="s">
        <v>32</v>
      </c>
      <c r="H3343" s="7" t="s">
        <v>1031</v>
      </c>
      <c r="I3343" s="7" t="s">
        <v>25</v>
      </c>
      <c r="J3343" s="13" t="str">
        <f>HYPERLINK("https://www.airitibooks.com/Detail/Detail?PublicationID=P20190419050", "https://www.airitibooks.com/Detail/Detail?PublicationID=P20190419050")</f>
        <v>https://www.airitibooks.com/Detail/Detail?PublicationID=P20190419050</v>
      </c>
      <c r="K3343" s="13" t="str">
        <f>HYPERLINK("https://ntsu.idm.oclc.org/login?url=https://www.airitibooks.com/Detail/Detail?PublicationID=P20190419050", "https://ntsu.idm.oclc.org/login?url=https://www.airitibooks.com/Detail/Detail?PublicationID=P20190419050")</f>
        <v>https://ntsu.idm.oclc.org/login?url=https://www.airitibooks.com/Detail/Detail?PublicationID=P20190419050</v>
      </c>
    </row>
    <row r="3344" spans="1:11" ht="51" x14ac:dyDescent="0.4">
      <c r="A3344" s="10" t="s">
        <v>11091</v>
      </c>
      <c r="B3344" s="10" t="s">
        <v>11092</v>
      </c>
      <c r="C3344" s="10" t="s">
        <v>11037</v>
      </c>
      <c r="D3344" s="10" t="s">
        <v>11093</v>
      </c>
      <c r="E3344" s="10" t="s">
        <v>4129</v>
      </c>
      <c r="F3344" s="10" t="s">
        <v>2937</v>
      </c>
      <c r="G3344" s="10" t="s">
        <v>32</v>
      </c>
      <c r="H3344" s="7" t="s">
        <v>1031</v>
      </c>
      <c r="I3344" s="7" t="s">
        <v>25</v>
      </c>
      <c r="J3344" s="13" t="str">
        <f>HYPERLINK("https://www.airitibooks.com/Detail/Detail?PublicationID=P20190419134", "https://www.airitibooks.com/Detail/Detail?PublicationID=P20190419134")</f>
        <v>https://www.airitibooks.com/Detail/Detail?PublicationID=P20190419134</v>
      </c>
      <c r="K3344" s="13" t="str">
        <f>HYPERLINK("https://ntsu.idm.oclc.org/login?url=https://www.airitibooks.com/Detail/Detail?PublicationID=P20190419134", "https://ntsu.idm.oclc.org/login?url=https://www.airitibooks.com/Detail/Detail?PublicationID=P20190419134")</f>
        <v>https://ntsu.idm.oclc.org/login?url=https://www.airitibooks.com/Detail/Detail?PublicationID=P20190419134</v>
      </c>
    </row>
    <row r="3345" spans="1:11" ht="51" x14ac:dyDescent="0.4">
      <c r="A3345" s="10" t="s">
        <v>11385</v>
      </c>
      <c r="B3345" s="10" t="s">
        <v>11386</v>
      </c>
      <c r="C3345" s="10" t="s">
        <v>11037</v>
      </c>
      <c r="D3345" s="10" t="s">
        <v>11387</v>
      </c>
      <c r="E3345" s="10" t="s">
        <v>4129</v>
      </c>
      <c r="F3345" s="10" t="s">
        <v>1457</v>
      </c>
      <c r="G3345" s="10" t="s">
        <v>32</v>
      </c>
      <c r="H3345" s="7" t="s">
        <v>1031</v>
      </c>
      <c r="I3345" s="7" t="s">
        <v>25</v>
      </c>
      <c r="J3345" s="13" t="str">
        <f>HYPERLINK("https://www.airitibooks.com/Detail/Detail?PublicationID=P20190517079", "https://www.airitibooks.com/Detail/Detail?PublicationID=P20190517079")</f>
        <v>https://www.airitibooks.com/Detail/Detail?PublicationID=P20190517079</v>
      </c>
      <c r="K3345" s="13" t="str">
        <f>HYPERLINK("https://ntsu.idm.oclc.org/login?url=https://www.airitibooks.com/Detail/Detail?PublicationID=P20190517079", "https://ntsu.idm.oclc.org/login?url=https://www.airitibooks.com/Detail/Detail?PublicationID=P20190517079")</f>
        <v>https://ntsu.idm.oclc.org/login?url=https://www.airitibooks.com/Detail/Detail?PublicationID=P20190517079</v>
      </c>
    </row>
    <row r="3346" spans="1:11" ht="68" x14ac:dyDescent="0.4">
      <c r="A3346" s="10" t="s">
        <v>11587</v>
      </c>
      <c r="B3346" s="10" t="s">
        <v>11588</v>
      </c>
      <c r="C3346" s="10" t="s">
        <v>11165</v>
      </c>
      <c r="D3346" s="10" t="s">
        <v>11589</v>
      </c>
      <c r="E3346" s="10" t="s">
        <v>4129</v>
      </c>
      <c r="F3346" s="10" t="s">
        <v>274</v>
      </c>
      <c r="G3346" s="10" t="s">
        <v>32</v>
      </c>
      <c r="H3346" s="7" t="s">
        <v>24</v>
      </c>
      <c r="I3346" s="7" t="s">
        <v>25</v>
      </c>
      <c r="J3346" s="13" t="str">
        <f>HYPERLINK("https://www.airitibooks.com/Detail/Detail?PublicationID=P20190531130", "https://www.airitibooks.com/Detail/Detail?PublicationID=P20190531130")</f>
        <v>https://www.airitibooks.com/Detail/Detail?PublicationID=P20190531130</v>
      </c>
      <c r="K3346" s="13" t="str">
        <f>HYPERLINK("https://ntsu.idm.oclc.org/login?url=https://www.airitibooks.com/Detail/Detail?PublicationID=P20190531130", "https://ntsu.idm.oclc.org/login?url=https://www.airitibooks.com/Detail/Detail?PublicationID=P20190531130")</f>
        <v>https://ntsu.idm.oclc.org/login?url=https://www.airitibooks.com/Detail/Detail?PublicationID=P20190531130</v>
      </c>
    </row>
    <row r="3347" spans="1:11" ht="51" x14ac:dyDescent="0.4">
      <c r="A3347" s="10" t="s">
        <v>12199</v>
      </c>
      <c r="B3347" s="10" t="s">
        <v>12200</v>
      </c>
      <c r="C3347" s="10" t="s">
        <v>462</v>
      </c>
      <c r="D3347" s="10" t="s">
        <v>12201</v>
      </c>
      <c r="E3347" s="10" t="s">
        <v>4129</v>
      </c>
      <c r="F3347" s="10" t="s">
        <v>12202</v>
      </c>
      <c r="G3347" s="10" t="s">
        <v>32</v>
      </c>
      <c r="H3347" s="7" t="s">
        <v>24</v>
      </c>
      <c r="I3347" s="7" t="s">
        <v>25</v>
      </c>
      <c r="J3347" s="13" t="str">
        <f>HYPERLINK("https://www.airitibooks.com/Detail/Detail?PublicationID=P20190905005", "https://www.airitibooks.com/Detail/Detail?PublicationID=P20190905005")</f>
        <v>https://www.airitibooks.com/Detail/Detail?PublicationID=P20190905005</v>
      </c>
      <c r="K3347" s="13" t="str">
        <f>HYPERLINK("https://ntsu.idm.oclc.org/login?url=https://www.airitibooks.com/Detail/Detail?PublicationID=P20190905005", "https://ntsu.idm.oclc.org/login?url=https://www.airitibooks.com/Detail/Detail?PublicationID=P20190905005")</f>
        <v>https://ntsu.idm.oclc.org/login?url=https://www.airitibooks.com/Detail/Detail?PublicationID=P20190905005</v>
      </c>
    </row>
    <row r="3348" spans="1:11" ht="51" x14ac:dyDescent="0.4">
      <c r="A3348" s="10" t="s">
        <v>12489</v>
      </c>
      <c r="B3348" s="10" t="s">
        <v>12490</v>
      </c>
      <c r="C3348" s="10" t="s">
        <v>12491</v>
      </c>
      <c r="D3348" s="10" t="s">
        <v>12492</v>
      </c>
      <c r="E3348" s="10" t="s">
        <v>4129</v>
      </c>
      <c r="F3348" s="10" t="s">
        <v>1770</v>
      </c>
      <c r="G3348" s="10" t="s">
        <v>32</v>
      </c>
      <c r="H3348" s="7" t="s">
        <v>1031</v>
      </c>
      <c r="I3348" s="7" t="s">
        <v>25</v>
      </c>
      <c r="J3348" s="13" t="str">
        <f>HYPERLINK("https://www.airitibooks.com/Detail/Detail?PublicationID=P20191005126", "https://www.airitibooks.com/Detail/Detail?PublicationID=P20191005126")</f>
        <v>https://www.airitibooks.com/Detail/Detail?PublicationID=P20191005126</v>
      </c>
      <c r="K3348" s="13" t="str">
        <f>HYPERLINK("https://ntsu.idm.oclc.org/login?url=https://www.airitibooks.com/Detail/Detail?PublicationID=P20191005126", "https://ntsu.idm.oclc.org/login?url=https://www.airitibooks.com/Detail/Detail?PublicationID=P20191005126")</f>
        <v>https://ntsu.idm.oclc.org/login?url=https://www.airitibooks.com/Detail/Detail?PublicationID=P20191005126</v>
      </c>
    </row>
    <row r="3349" spans="1:11" ht="68" x14ac:dyDescent="0.4">
      <c r="A3349" s="10" t="s">
        <v>12493</v>
      </c>
      <c r="B3349" s="10" t="s">
        <v>12494</v>
      </c>
      <c r="C3349" s="10" t="s">
        <v>12491</v>
      </c>
      <c r="D3349" s="10" t="s">
        <v>12495</v>
      </c>
      <c r="E3349" s="10" t="s">
        <v>4129</v>
      </c>
      <c r="F3349" s="10" t="s">
        <v>1770</v>
      </c>
      <c r="G3349" s="10" t="s">
        <v>32</v>
      </c>
      <c r="H3349" s="7" t="s">
        <v>1031</v>
      </c>
      <c r="I3349" s="7" t="s">
        <v>25</v>
      </c>
      <c r="J3349" s="13" t="str">
        <f>HYPERLINK("https://www.airitibooks.com/Detail/Detail?PublicationID=P20191005129", "https://www.airitibooks.com/Detail/Detail?PublicationID=P20191005129")</f>
        <v>https://www.airitibooks.com/Detail/Detail?PublicationID=P20191005129</v>
      </c>
      <c r="K3349" s="13" t="str">
        <f>HYPERLINK("https://ntsu.idm.oclc.org/login?url=https://www.airitibooks.com/Detail/Detail?PublicationID=P20191005129", "https://ntsu.idm.oclc.org/login?url=https://www.airitibooks.com/Detail/Detail?PublicationID=P20191005129")</f>
        <v>https://ntsu.idm.oclc.org/login?url=https://www.airitibooks.com/Detail/Detail?PublicationID=P20191005129</v>
      </c>
    </row>
    <row r="3350" spans="1:11" ht="51" x14ac:dyDescent="0.4">
      <c r="A3350" s="10" t="s">
        <v>12496</v>
      </c>
      <c r="B3350" s="10" t="s">
        <v>12497</v>
      </c>
      <c r="C3350" s="10" t="s">
        <v>12491</v>
      </c>
      <c r="D3350" s="10" t="s">
        <v>12498</v>
      </c>
      <c r="E3350" s="10" t="s">
        <v>4129</v>
      </c>
      <c r="F3350" s="10" t="s">
        <v>1770</v>
      </c>
      <c r="G3350" s="10" t="s">
        <v>32</v>
      </c>
      <c r="H3350" s="7" t="s">
        <v>1031</v>
      </c>
      <c r="I3350" s="7" t="s">
        <v>25</v>
      </c>
      <c r="J3350" s="13" t="str">
        <f>HYPERLINK("https://www.airitibooks.com/Detail/Detail?PublicationID=P20191005130", "https://www.airitibooks.com/Detail/Detail?PublicationID=P20191005130")</f>
        <v>https://www.airitibooks.com/Detail/Detail?PublicationID=P20191005130</v>
      </c>
      <c r="K3350" s="13" t="str">
        <f>HYPERLINK("https://ntsu.idm.oclc.org/login?url=https://www.airitibooks.com/Detail/Detail?PublicationID=P20191005130", "https://ntsu.idm.oclc.org/login?url=https://www.airitibooks.com/Detail/Detail?PublicationID=P20191005130")</f>
        <v>https://ntsu.idm.oclc.org/login?url=https://www.airitibooks.com/Detail/Detail?PublicationID=P20191005130</v>
      </c>
    </row>
    <row r="3351" spans="1:11" ht="51" x14ac:dyDescent="0.4">
      <c r="A3351" s="10" t="s">
        <v>12499</v>
      </c>
      <c r="B3351" s="10" t="s">
        <v>12500</v>
      </c>
      <c r="C3351" s="10" t="s">
        <v>12491</v>
      </c>
      <c r="D3351" s="10" t="s">
        <v>12501</v>
      </c>
      <c r="E3351" s="10" t="s">
        <v>4129</v>
      </c>
      <c r="F3351" s="10" t="s">
        <v>575</v>
      </c>
      <c r="G3351" s="10" t="s">
        <v>32</v>
      </c>
      <c r="H3351" s="7" t="s">
        <v>1031</v>
      </c>
      <c r="I3351" s="7" t="s">
        <v>25</v>
      </c>
      <c r="J3351" s="13" t="str">
        <f>HYPERLINK("https://www.airitibooks.com/Detail/Detail?PublicationID=P20191005134", "https://www.airitibooks.com/Detail/Detail?PublicationID=P20191005134")</f>
        <v>https://www.airitibooks.com/Detail/Detail?PublicationID=P20191005134</v>
      </c>
      <c r="K3351" s="13" t="str">
        <f>HYPERLINK("https://ntsu.idm.oclc.org/login?url=https://www.airitibooks.com/Detail/Detail?PublicationID=P20191005134", "https://ntsu.idm.oclc.org/login?url=https://www.airitibooks.com/Detail/Detail?PublicationID=P20191005134")</f>
        <v>https://ntsu.idm.oclc.org/login?url=https://www.airitibooks.com/Detail/Detail?PublicationID=P20191005134</v>
      </c>
    </row>
    <row r="3352" spans="1:11" ht="51" x14ac:dyDescent="0.4">
      <c r="A3352" s="10" t="s">
        <v>12502</v>
      </c>
      <c r="B3352" s="10" t="s">
        <v>12503</v>
      </c>
      <c r="C3352" s="10" t="s">
        <v>12491</v>
      </c>
      <c r="D3352" s="10" t="s">
        <v>12504</v>
      </c>
      <c r="E3352" s="10" t="s">
        <v>4129</v>
      </c>
      <c r="F3352" s="10" t="s">
        <v>181</v>
      </c>
      <c r="G3352" s="10" t="s">
        <v>32</v>
      </c>
      <c r="H3352" s="7" t="s">
        <v>1031</v>
      </c>
      <c r="I3352" s="7" t="s">
        <v>25</v>
      </c>
      <c r="J3352" s="13" t="str">
        <f>HYPERLINK("https://www.airitibooks.com/Detail/Detail?PublicationID=P20191005143", "https://www.airitibooks.com/Detail/Detail?PublicationID=P20191005143")</f>
        <v>https://www.airitibooks.com/Detail/Detail?PublicationID=P20191005143</v>
      </c>
      <c r="K3352" s="13" t="str">
        <f>HYPERLINK("https://ntsu.idm.oclc.org/login?url=https://www.airitibooks.com/Detail/Detail?PublicationID=P20191005143", "https://ntsu.idm.oclc.org/login?url=https://www.airitibooks.com/Detail/Detail?PublicationID=P20191005143")</f>
        <v>https://ntsu.idm.oclc.org/login?url=https://www.airitibooks.com/Detail/Detail?PublicationID=P20191005143</v>
      </c>
    </row>
    <row r="3353" spans="1:11" ht="51" x14ac:dyDescent="0.4">
      <c r="A3353" s="10" t="s">
        <v>12505</v>
      </c>
      <c r="B3353" s="10" t="s">
        <v>12506</v>
      </c>
      <c r="C3353" s="10" t="s">
        <v>12491</v>
      </c>
      <c r="D3353" s="10" t="s">
        <v>12507</v>
      </c>
      <c r="E3353" s="10" t="s">
        <v>4129</v>
      </c>
      <c r="F3353" s="10" t="s">
        <v>1775</v>
      </c>
      <c r="G3353" s="10" t="s">
        <v>32</v>
      </c>
      <c r="H3353" s="7" t="s">
        <v>1031</v>
      </c>
      <c r="I3353" s="7" t="s">
        <v>25</v>
      </c>
      <c r="J3353" s="13" t="str">
        <f>HYPERLINK("https://www.airitibooks.com/Detail/Detail?PublicationID=P20191005146", "https://www.airitibooks.com/Detail/Detail?PublicationID=P20191005146")</f>
        <v>https://www.airitibooks.com/Detail/Detail?PublicationID=P20191005146</v>
      </c>
      <c r="K3353" s="13" t="str">
        <f>HYPERLINK("https://ntsu.idm.oclc.org/login?url=https://www.airitibooks.com/Detail/Detail?PublicationID=P20191005146", "https://ntsu.idm.oclc.org/login?url=https://www.airitibooks.com/Detail/Detail?PublicationID=P20191005146")</f>
        <v>https://ntsu.idm.oclc.org/login?url=https://www.airitibooks.com/Detail/Detail?PublicationID=P20191005146</v>
      </c>
    </row>
    <row r="3354" spans="1:11" ht="51" x14ac:dyDescent="0.4">
      <c r="A3354" s="10" t="s">
        <v>12657</v>
      </c>
      <c r="B3354" s="10" t="s">
        <v>12658</v>
      </c>
      <c r="C3354" s="10" t="s">
        <v>12491</v>
      </c>
      <c r="D3354" s="10" t="s">
        <v>12659</v>
      </c>
      <c r="E3354" s="10" t="s">
        <v>4129</v>
      </c>
      <c r="F3354" s="10" t="s">
        <v>575</v>
      </c>
      <c r="G3354" s="10" t="s">
        <v>32</v>
      </c>
      <c r="H3354" s="7" t="s">
        <v>1031</v>
      </c>
      <c r="I3354" s="7" t="s">
        <v>25</v>
      </c>
      <c r="J3354" s="13" t="str">
        <f>HYPERLINK("https://www.airitibooks.com/Detail/Detail?PublicationID=P20191017055", "https://www.airitibooks.com/Detail/Detail?PublicationID=P20191017055")</f>
        <v>https://www.airitibooks.com/Detail/Detail?PublicationID=P20191017055</v>
      </c>
      <c r="K3354" s="13" t="str">
        <f>HYPERLINK("https://ntsu.idm.oclc.org/login?url=https://www.airitibooks.com/Detail/Detail?PublicationID=P20191017055", "https://ntsu.idm.oclc.org/login?url=https://www.airitibooks.com/Detail/Detail?PublicationID=P20191017055")</f>
        <v>https://ntsu.idm.oclc.org/login?url=https://www.airitibooks.com/Detail/Detail?PublicationID=P20191017055</v>
      </c>
    </row>
    <row r="3355" spans="1:11" ht="51" x14ac:dyDescent="0.4">
      <c r="A3355" s="10" t="s">
        <v>12660</v>
      </c>
      <c r="B3355" s="10" t="s">
        <v>12661</v>
      </c>
      <c r="C3355" s="10" t="s">
        <v>12491</v>
      </c>
      <c r="D3355" s="10" t="s">
        <v>12662</v>
      </c>
      <c r="E3355" s="10" t="s">
        <v>4129</v>
      </c>
      <c r="F3355" s="10" t="s">
        <v>575</v>
      </c>
      <c r="G3355" s="10" t="s">
        <v>32</v>
      </c>
      <c r="H3355" s="7" t="s">
        <v>1031</v>
      </c>
      <c r="I3355" s="7" t="s">
        <v>25</v>
      </c>
      <c r="J3355" s="13" t="str">
        <f>HYPERLINK("https://www.airitibooks.com/Detail/Detail?PublicationID=P20191017056", "https://www.airitibooks.com/Detail/Detail?PublicationID=P20191017056")</f>
        <v>https://www.airitibooks.com/Detail/Detail?PublicationID=P20191017056</v>
      </c>
      <c r="K3355" s="13" t="str">
        <f>HYPERLINK("https://ntsu.idm.oclc.org/login?url=https://www.airitibooks.com/Detail/Detail?PublicationID=P20191017056", "https://ntsu.idm.oclc.org/login?url=https://www.airitibooks.com/Detail/Detail?PublicationID=P20191017056")</f>
        <v>https://ntsu.idm.oclc.org/login?url=https://www.airitibooks.com/Detail/Detail?PublicationID=P20191017056</v>
      </c>
    </row>
    <row r="3356" spans="1:11" ht="51" x14ac:dyDescent="0.4">
      <c r="A3356" s="10" t="s">
        <v>12663</v>
      </c>
      <c r="B3356" s="10" t="s">
        <v>12664</v>
      </c>
      <c r="C3356" s="10" t="s">
        <v>12491</v>
      </c>
      <c r="D3356" s="10" t="s">
        <v>12665</v>
      </c>
      <c r="E3356" s="10" t="s">
        <v>4129</v>
      </c>
      <c r="F3356" s="10" t="s">
        <v>1775</v>
      </c>
      <c r="G3356" s="10" t="s">
        <v>32</v>
      </c>
      <c r="H3356" s="7" t="s">
        <v>1031</v>
      </c>
      <c r="I3356" s="7" t="s">
        <v>25</v>
      </c>
      <c r="J3356" s="13" t="str">
        <f>HYPERLINK("https://www.airitibooks.com/Detail/Detail?PublicationID=P20191017057", "https://www.airitibooks.com/Detail/Detail?PublicationID=P20191017057")</f>
        <v>https://www.airitibooks.com/Detail/Detail?PublicationID=P20191017057</v>
      </c>
      <c r="K3356" s="13" t="str">
        <f>HYPERLINK("https://ntsu.idm.oclc.org/login?url=https://www.airitibooks.com/Detail/Detail?PublicationID=P20191017057", "https://ntsu.idm.oclc.org/login?url=https://www.airitibooks.com/Detail/Detail?PublicationID=P20191017057")</f>
        <v>https://ntsu.idm.oclc.org/login?url=https://www.airitibooks.com/Detail/Detail?PublicationID=P20191017057</v>
      </c>
    </row>
    <row r="3357" spans="1:11" ht="51" x14ac:dyDescent="0.4">
      <c r="A3357" s="10" t="s">
        <v>12666</v>
      </c>
      <c r="B3357" s="10" t="s">
        <v>12667</v>
      </c>
      <c r="C3357" s="10" t="s">
        <v>12491</v>
      </c>
      <c r="D3357" s="10" t="s">
        <v>12668</v>
      </c>
      <c r="E3357" s="10" t="s">
        <v>4129</v>
      </c>
      <c r="F3357" s="10" t="s">
        <v>1556</v>
      </c>
      <c r="G3357" s="10" t="s">
        <v>32</v>
      </c>
      <c r="H3357" s="7" t="s">
        <v>1031</v>
      </c>
      <c r="I3357" s="7" t="s">
        <v>25</v>
      </c>
      <c r="J3357" s="13" t="str">
        <f>HYPERLINK("https://www.airitibooks.com/Detail/Detail?PublicationID=P20191017060", "https://www.airitibooks.com/Detail/Detail?PublicationID=P20191017060")</f>
        <v>https://www.airitibooks.com/Detail/Detail?PublicationID=P20191017060</v>
      </c>
      <c r="K3357" s="13" t="str">
        <f>HYPERLINK("https://ntsu.idm.oclc.org/login?url=https://www.airitibooks.com/Detail/Detail?PublicationID=P20191017060", "https://ntsu.idm.oclc.org/login?url=https://www.airitibooks.com/Detail/Detail?PublicationID=P20191017060")</f>
        <v>https://ntsu.idm.oclc.org/login?url=https://www.airitibooks.com/Detail/Detail?PublicationID=P20191017060</v>
      </c>
    </row>
    <row r="3358" spans="1:11" ht="51" x14ac:dyDescent="0.4">
      <c r="A3358" s="10" t="s">
        <v>12669</v>
      </c>
      <c r="B3358" s="10" t="s">
        <v>12670</v>
      </c>
      <c r="C3358" s="10" t="s">
        <v>12491</v>
      </c>
      <c r="D3358" s="10" t="s">
        <v>12671</v>
      </c>
      <c r="E3358" s="10" t="s">
        <v>4129</v>
      </c>
      <c r="F3358" s="10" t="s">
        <v>1775</v>
      </c>
      <c r="G3358" s="10" t="s">
        <v>32</v>
      </c>
      <c r="H3358" s="7" t="s">
        <v>1031</v>
      </c>
      <c r="I3358" s="7" t="s">
        <v>25</v>
      </c>
      <c r="J3358" s="13" t="str">
        <f>HYPERLINK("https://www.airitibooks.com/Detail/Detail?PublicationID=P20191017061", "https://www.airitibooks.com/Detail/Detail?PublicationID=P20191017061")</f>
        <v>https://www.airitibooks.com/Detail/Detail?PublicationID=P20191017061</v>
      </c>
      <c r="K3358" s="13" t="str">
        <f>HYPERLINK("https://ntsu.idm.oclc.org/login?url=https://www.airitibooks.com/Detail/Detail?PublicationID=P20191017061", "https://ntsu.idm.oclc.org/login?url=https://www.airitibooks.com/Detail/Detail?PublicationID=P20191017061")</f>
        <v>https://ntsu.idm.oclc.org/login?url=https://www.airitibooks.com/Detail/Detail?PublicationID=P20191017061</v>
      </c>
    </row>
    <row r="3359" spans="1:11" ht="51" x14ac:dyDescent="0.4">
      <c r="A3359" s="10" t="s">
        <v>12672</v>
      </c>
      <c r="B3359" s="10" t="s">
        <v>12673</v>
      </c>
      <c r="C3359" s="10" t="s">
        <v>12491</v>
      </c>
      <c r="D3359" s="10" t="s">
        <v>12674</v>
      </c>
      <c r="E3359" s="10" t="s">
        <v>4129</v>
      </c>
      <c r="F3359" s="10" t="s">
        <v>1775</v>
      </c>
      <c r="G3359" s="10" t="s">
        <v>32</v>
      </c>
      <c r="H3359" s="7" t="s">
        <v>1031</v>
      </c>
      <c r="I3359" s="7" t="s">
        <v>25</v>
      </c>
      <c r="J3359" s="13" t="str">
        <f>HYPERLINK("https://www.airitibooks.com/Detail/Detail?PublicationID=P20191017062", "https://www.airitibooks.com/Detail/Detail?PublicationID=P20191017062")</f>
        <v>https://www.airitibooks.com/Detail/Detail?PublicationID=P20191017062</v>
      </c>
      <c r="K3359" s="13" t="str">
        <f>HYPERLINK("https://ntsu.idm.oclc.org/login?url=https://www.airitibooks.com/Detail/Detail?PublicationID=P20191017062", "https://ntsu.idm.oclc.org/login?url=https://www.airitibooks.com/Detail/Detail?PublicationID=P20191017062")</f>
        <v>https://ntsu.idm.oclc.org/login?url=https://www.airitibooks.com/Detail/Detail?PublicationID=P20191017062</v>
      </c>
    </row>
    <row r="3360" spans="1:11" ht="51" x14ac:dyDescent="0.4">
      <c r="A3360" s="10" t="s">
        <v>13051</v>
      </c>
      <c r="B3360" s="10" t="s">
        <v>13052</v>
      </c>
      <c r="C3360" s="10" t="s">
        <v>9828</v>
      </c>
      <c r="D3360" s="10" t="s">
        <v>13053</v>
      </c>
      <c r="E3360" s="10" t="s">
        <v>4129</v>
      </c>
      <c r="F3360" s="10" t="s">
        <v>2870</v>
      </c>
      <c r="G3360" s="10" t="s">
        <v>32</v>
      </c>
      <c r="H3360" s="7" t="s">
        <v>24</v>
      </c>
      <c r="I3360" s="7" t="s">
        <v>25</v>
      </c>
      <c r="J3360" s="13" t="str">
        <f>HYPERLINK("https://www.airitibooks.com/Detail/Detail?PublicationID=P20191202045", "https://www.airitibooks.com/Detail/Detail?PublicationID=P20191202045")</f>
        <v>https://www.airitibooks.com/Detail/Detail?PublicationID=P20191202045</v>
      </c>
      <c r="K3360" s="13" t="str">
        <f>HYPERLINK("https://ntsu.idm.oclc.org/login?url=https://www.airitibooks.com/Detail/Detail?PublicationID=P20191202045", "https://ntsu.idm.oclc.org/login?url=https://www.airitibooks.com/Detail/Detail?PublicationID=P20191202045")</f>
        <v>https://ntsu.idm.oclc.org/login?url=https://www.airitibooks.com/Detail/Detail?PublicationID=P20191202045</v>
      </c>
    </row>
    <row r="3361" spans="1:11" ht="51" x14ac:dyDescent="0.4">
      <c r="A3361" s="10" t="s">
        <v>13328</v>
      </c>
      <c r="B3361" s="10" t="s">
        <v>13329</v>
      </c>
      <c r="C3361" s="10" t="s">
        <v>1039</v>
      </c>
      <c r="D3361" s="10" t="s">
        <v>13330</v>
      </c>
      <c r="E3361" s="10" t="s">
        <v>4129</v>
      </c>
      <c r="F3361" s="10" t="s">
        <v>13331</v>
      </c>
      <c r="G3361" s="10" t="s">
        <v>32</v>
      </c>
      <c r="H3361" s="7" t="s">
        <v>24</v>
      </c>
      <c r="I3361" s="7" t="s">
        <v>25</v>
      </c>
      <c r="J3361" s="13" t="str">
        <f>HYPERLINK("https://www.airitibooks.com/Detail/Detail?PublicationID=P20200117004", "https://www.airitibooks.com/Detail/Detail?PublicationID=P20200117004")</f>
        <v>https://www.airitibooks.com/Detail/Detail?PublicationID=P20200117004</v>
      </c>
      <c r="K3361" s="13" t="str">
        <f>HYPERLINK("https://ntsu.idm.oclc.org/login?url=https://www.airitibooks.com/Detail/Detail?PublicationID=P20200117004", "https://ntsu.idm.oclc.org/login?url=https://www.airitibooks.com/Detail/Detail?PublicationID=P20200117004")</f>
        <v>https://ntsu.idm.oclc.org/login?url=https://www.airitibooks.com/Detail/Detail?PublicationID=P20200117004</v>
      </c>
    </row>
    <row r="3362" spans="1:11" ht="51" x14ac:dyDescent="0.4">
      <c r="A3362" s="10" t="s">
        <v>13578</v>
      </c>
      <c r="B3362" s="10" t="s">
        <v>13579</v>
      </c>
      <c r="C3362" s="10" t="s">
        <v>9828</v>
      </c>
      <c r="D3362" s="10" t="s">
        <v>13580</v>
      </c>
      <c r="E3362" s="10" t="s">
        <v>4129</v>
      </c>
      <c r="F3362" s="10" t="s">
        <v>575</v>
      </c>
      <c r="G3362" s="10" t="s">
        <v>32</v>
      </c>
      <c r="H3362" s="7" t="s">
        <v>1031</v>
      </c>
      <c r="I3362" s="7" t="s">
        <v>25</v>
      </c>
      <c r="J3362" s="13" t="str">
        <f>HYPERLINK("https://www.airitibooks.com/Detail/Detail?PublicationID=P20200221464", "https://www.airitibooks.com/Detail/Detail?PublicationID=P20200221464")</f>
        <v>https://www.airitibooks.com/Detail/Detail?PublicationID=P20200221464</v>
      </c>
      <c r="K3362" s="13" t="str">
        <f>HYPERLINK("https://ntsu.idm.oclc.org/login?url=https://www.airitibooks.com/Detail/Detail?PublicationID=P20200221464", "https://ntsu.idm.oclc.org/login?url=https://www.airitibooks.com/Detail/Detail?PublicationID=P20200221464")</f>
        <v>https://ntsu.idm.oclc.org/login?url=https://www.airitibooks.com/Detail/Detail?PublicationID=P20200221464</v>
      </c>
    </row>
    <row r="3363" spans="1:11" ht="51" x14ac:dyDescent="0.4">
      <c r="A3363" s="10" t="s">
        <v>13618</v>
      </c>
      <c r="B3363" s="10" t="s">
        <v>13619</v>
      </c>
      <c r="C3363" s="10" t="s">
        <v>13223</v>
      </c>
      <c r="D3363" s="10" t="s">
        <v>13620</v>
      </c>
      <c r="E3363" s="10" t="s">
        <v>4129</v>
      </c>
      <c r="F3363" s="10" t="s">
        <v>242</v>
      </c>
      <c r="G3363" s="10" t="s">
        <v>32</v>
      </c>
      <c r="H3363" s="7" t="s">
        <v>1031</v>
      </c>
      <c r="I3363" s="7" t="s">
        <v>25</v>
      </c>
      <c r="J3363" s="13" t="str">
        <f>HYPERLINK("https://www.airitibooks.com/Detail/Detail?PublicationID=P20200307140", "https://www.airitibooks.com/Detail/Detail?PublicationID=P20200307140")</f>
        <v>https://www.airitibooks.com/Detail/Detail?PublicationID=P20200307140</v>
      </c>
      <c r="K3363" s="13" t="str">
        <f>HYPERLINK("https://ntsu.idm.oclc.org/login?url=https://www.airitibooks.com/Detail/Detail?PublicationID=P20200307140", "https://ntsu.idm.oclc.org/login?url=https://www.airitibooks.com/Detail/Detail?PublicationID=P20200307140")</f>
        <v>https://ntsu.idm.oclc.org/login?url=https://www.airitibooks.com/Detail/Detail?PublicationID=P20200307140</v>
      </c>
    </row>
    <row r="3364" spans="1:11" ht="51" x14ac:dyDescent="0.4">
      <c r="A3364" s="10" t="s">
        <v>14106</v>
      </c>
      <c r="B3364" s="10" t="s">
        <v>14107</v>
      </c>
      <c r="C3364" s="10" t="s">
        <v>13223</v>
      </c>
      <c r="D3364" s="10" t="s">
        <v>14108</v>
      </c>
      <c r="E3364" s="10" t="s">
        <v>4129</v>
      </c>
      <c r="F3364" s="10" t="s">
        <v>4849</v>
      </c>
      <c r="G3364" s="10" t="s">
        <v>32</v>
      </c>
      <c r="H3364" s="7" t="s">
        <v>1031</v>
      </c>
      <c r="I3364" s="7" t="s">
        <v>25</v>
      </c>
      <c r="J3364" s="13" t="str">
        <f>HYPERLINK("https://www.airitibooks.com/Detail/Detail?PublicationID=P20200514218", "https://www.airitibooks.com/Detail/Detail?PublicationID=P20200514218")</f>
        <v>https://www.airitibooks.com/Detail/Detail?PublicationID=P20200514218</v>
      </c>
      <c r="K3364" s="13" t="str">
        <f>HYPERLINK("https://ntsu.idm.oclc.org/login?url=https://www.airitibooks.com/Detail/Detail?PublicationID=P20200514218", "https://ntsu.idm.oclc.org/login?url=https://www.airitibooks.com/Detail/Detail?PublicationID=P20200514218")</f>
        <v>https://ntsu.idm.oclc.org/login?url=https://www.airitibooks.com/Detail/Detail?PublicationID=P20200514218</v>
      </c>
    </row>
    <row r="3365" spans="1:11" ht="51" x14ac:dyDescent="0.4">
      <c r="A3365" s="10" t="s">
        <v>14112</v>
      </c>
      <c r="B3365" s="10" t="s">
        <v>14113</v>
      </c>
      <c r="C3365" s="10" t="s">
        <v>14114</v>
      </c>
      <c r="D3365" s="10" t="s">
        <v>14115</v>
      </c>
      <c r="E3365" s="10" t="s">
        <v>4129</v>
      </c>
      <c r="F3365" s="10" t="s">
        <v>4038</v>
      </c>
      <c r="G3365" s="10" t="s">
        <v>32</v>
      </c>
      <c r="H3365" s="7" t="s">
        <v>1031</v>
      </c>
      <c r="I3365" s="7" t="s">
        <v>25</v>
      </c>
      <c r="J3365" s="13" t="str">
        <f>HYPERLINK("https://www.airitibooks.com/Detail/Detail?PublicationID=P20200514238", "https://www.airitibooks.com/Detail/Detail?PublicationID=P20200514238")</f>
        <v>https://www.airitibooks.com/Detail/Detail?PublicationID=P20200514238</v>
      </c>
      <c r="K3365" s="13" t="str">
        <f>HYPERLINK("https://ntsu.idm.oclc.org/login?url=https://www.airitibooks.com/Detail/Detail?PublicationID=P20200514238", "https://ntsu.idm.oclc.org/login?url=https://www.airitibooks.com/Detail/Detail?PublicationID=P20200514238")</f>
        <v>https://ntsu.idm.oclc.org/login?url=https://www.airitibooks.com/Detail/Detail?PublicationID=P20200514238</v>
      </c>
    </row>
    <row r="3366" spans="1:11" ht="68" x14ac:dyDescent="0.4">
      <c r="A3366" s="10" t="s">
        <v>14123</v>
      </c>
      <c r="B3366" s="10" t="s">
        <v>14124</v>
      </c>
      <c r="C3366" s="10" t="s">
        <v>14114</v>
      </c>
      <c r="D3366" s="10" t="s">
        <v>14125</v>
      </c>
      <c r="E3366" s="10" t="s">
        <v>4129</v>
      </c>
      <c r="F3366" s="10" t="s">
        <v>5375</v>
      </c>
      <c r="G3366" s="10" t="s">
        <v>32</v>
      </c>
      <c r="H3366" s="7" t="s">
        <v>1031</v>
      </c>
      <c r="I3366" s="7" t="s">
        <v>25</v>
      </c>
      <c r="J3366" s="13" t="str">
        <f>HYPERLINK("https://www.airitibooks.com/Detail/Detail?PublicationID=P20200514260", "https://www.airitibooks.com/Detail/Detail?PublicationID=P20200514260")</f>
        <v>https://www.airitibooks.com/Detail/Detail?PublicationID=P20200514260</v>
      </c>
      <c r="K3366" s="13" t="str">
        <f>HYPERLINK("https://ntsu.idm.oclc.org/login?url=https://www.airitibooks.com/Detail/Detail?PublicationID=P20200514260", "https://ntsu.idm.oclc.org/login?url=https://www.airitibooks.com/Detail/Detail?PublicationID=P20200514260")</f>
        <v>https://ntsu.idm.oclc.org/login?url=https://www.airitibooks.com/Detail/Detail?PublicationID=P20200514260</v>
      </c>
    </row>
    <row r="3367" spans="1:11" ht="68" x14ac:dyDescent="0.4">
      <c r="A3367" s="10" t="s">
        <v>14126</v>
      </c>
      <c r="B3367" s="10" t="s">
        <v>14127</v>
      </c>
      <c r="C3367" s="10" t="s">
        <v>14114</v>
      </c>
      <c r="D3367" s="10" t="s">
        <v>14125</v>
      </c>
      <c r="E3367" s="10" t="s">
        <v>4129</v>
      </c>
      <c r="F3367" s="10" t="s">
        <v>5375</v>
      </c>
      <c r="G3367" s="10" t="s">
        <v>32</v>
      </c>
      <c r="H3367" s="7" t="s">
        <v>1031</v>
      </c>
      <c r="I3367" s="7" t="s">
        <v>25</v>
      </c>
      <c r="J3367" s="13" t="str">
        <f>HYPERLINK("https://www.airitibooks.com/Detail/Detail?PublicationID=P20200514261", "https://www.airitibooks.com/Detail/Detail?PublicationID=P20200514261")</f>
        <v>https://www.airitibooks.com/Detail/Detail?PublicationID=P20200514261</v>
      </c>
      <c r="K3367" s="13" t="str">
        <f>HYPERLINK("https://ntsu.idm.oclc.org/login?url=https://www.airitibooks.com/Detail/Detail?PublicationID=P20200514261", "https://ntsu.idm.oclc.org/login?url=https://www.airitibooks.com/Detail/Detail?PublicationID=P20200514261")</f>
        <v>https://ntsu.idm.oclc.org/login?url=https://www.airitibooks.com/Detail/Detail?PublicationID=P20200514261</v>
      </c>
    </row>
    <row r="3368" spans="1:11" ht="51" x14ac:dyDescent="0.4">
      <c r="A3368" s="10" t="s">
        <v>14128</v>
      </c>
      <c r="B3368" s="10" t="s">
        <v>14129</v>
      </c>
      <c r="C3368" s="10" t="s">
        <v>14114</v>
      </c>
      <c r="D3368" s="10" t="s">
        <v>14130</v>
      </c>
      <c r="E3368" s="10" t="s">
        <v>4129</v>
      </c>
      <c r="F3368" s="10" t="s">
        <v>4038</v>
      </c>
      <c r="G3368" s="10" t="s">
        <v>32</v>
      </c>
      <c r="H3368" s="7" t="s">
        <v>1031</v>
      </c>
      <c r="I3368" s="7" t="s">
        <v>25</v>
      </c>
      <c r="J3368" s="13" t="str">
        <f>HYPERLINK("https://www.airitibooks.com/Detail/Detail?PublicationID=P20200514263", "https://www.airitibooks.com/Detail/Detail?PublicationID=P20200514263")</f>
        <v>https://www.airitibooks.com/Detail/Detail?PublicationID=P20200514263</v>
      </c>
      <c r="K3368" s="13" t="str">
        <f>HYPERLINK("https://ntsu.idm.oclc.org/login?url=https://www.airitibooks.com/Detail/Detail?PublicationID=P20200514263", "https://ntsu.idm.oclc.org/login?url=https://www.airitibooks.com/Detail/Detail?PublicationID=P20200514263")</f>
        <v>https://ntsu.idm.oclc.org/login?url=https://www.airitibooks.com/Detail/Detail?PublicationID=P20200514263</v>
      </c>
    </row>
    <row r="3369" spans="1:11" ht="51" x14ac:dyDescent="0.4">
      <c r="A3369" s="10" t="s">
        <v>14137</v>
      </c>
      <c r="B3369" s="10" t="s">
        <v>14138</v>
      </c>
      <c r="C3369" s="10" t="s">
        <v>14114</v>
      </c>
      <c r="D3369" s="10" t="s">
        <v>14139</v>
      </c>
      <c r="E3369" s="10" t="s">
        <v>4129</v>
      </c>
      <c r="F3369" s="10" t="s">
        <v>3048</v>
      </c>
      <c r="G3369" s="10" t="s">
        <v>32</v>
      </c>
      <c r="H3369" s="7" t="s">
        <v>1031</v>
      </c>
      <c r="I3369" s="7" t="s">
        <v>25</v>
      </c>
      <c r="J3369" s="13" t="str">
        <f>HYPERLINK("https://www.airitibooks.com/Detail/Detail?PublicationID=P20200514281", "https://www.airitibooks.com/Detail/Detail?PublicationID=P20200514281")</f>
        <v>https://www.airitibooks.com/Detail/Detail?PublicationID=P20200514281</v>
      </c>
      <c r="K3369" s="13" t="str">
        <f>HYPERLINK("https://ntsu.idm.oclc.org/login?url=https://www.airitibooks.com/Detail/Detail?PublicationID=P20200514281", "https://ntsu.idm.oclc.org/login?url=https://www.airitibooks.com/Detail/Detail?PublicationID=P20200514281")</f>
        <v>https://ntsu.idm.oclc.org/login?url=https://www.airitibooks.com/Detail/Detail?PublicationID=P20200514281</v>
      </c>
    </row>
    <row r="3370" spans="1:11" ht="51" x14ac:dyDescent="0.4">
      <c r="A3370" s="10" t="s">
        <v>4497</v>
      </c>
      <c r="B3370" s="10" t="s">
        <v>4498</v>
      </c>
      <c r="C3370" s="10" t="s">
        <v>544</v>
      </c>
      <c r="D3370" s="10" t="s">
        <v>4499</v>
      </c>
      <c r="E3370" s="10" t="s">
        <v>4129</v>
      </c>
      <c r="F3370" s="10" t="s">
        <v>3453</v>
      </c>
      <c r="G3370" s="10" t="s">
        <v>502</v>
      </c>
      <c r="H3370" s="7" t="s">
        <v>24</v>
      </c>
      <c r="I3370" s="7" t="s">
        <v>25</v>
      </c>
      <c r="J3370" s="13" t="str">
        <f>HYPERLINK("https://www.airitibooks.com/Detail/Detail?PublicationID=P20160421107", "https://www.airitibooks.com/Detail/Detail?PublicationID=P20160421107")</f>
        <v>https://www.airitibooks.com/Detail/Detail?PublicationID=P20160421107</v>
      </c>
      <c r="K3370" s="13" t="str">
        <f>HYPERLINK("https://ntsu.idm.oclc.org/login?url=https://www.airitibooks.com/Detail/Detail?PublicationID=P20160421107", "https://ntsu.idm.oclc.org/login?url=https://www.airitibooks.com/Detail/Detail?PublicationID=P20160421107")</f>
        <v>https://ntsu.idm.oclc.org/login?url=https://www.airitibooks.com/Detail/Detail?PublicationID=P20160421107</v>
      </c>
    </row>
    <row r="3371" spans="1:11" ht="51" x14ac:dyDescent="0.4">
      <c r="A3371" s="10" t="s">
        <v>5358</v>
      </c>
      <c r="B3371" s="10" t="s">
        <v>5359</v>
      </c>
      <c r="C3371" s="10" t="s">
        <v>938</v>
      </c>
      <c r="D3371" s="10" t="s">
        <v>5360</v>
      </c>
      <c r="E3371" s="10" t="s">
        <v>4129</v>
      </c>
      <c r="F3371" s="10" t="s">
        <v>1309</v>
      </c>
      <c r="G3371" s="10" t="s">
        <v>502</v>
      </c>
      <c r="H3371" s="7" t="s">
        <v>24</v>
      </c>
      <c r="I3371" s="7" t="s">
        <v>25</v>
      </c>
      <c r="J3371" s="13" t="str">
        <f>HYPERLINK("https://www.airitibooks.com/Detail/Detail?PublicationID=P20160907105", "https://www.airitibooks.com/Detail/Detail?PublicationID=P20160907105")</f>
        <v>https://www.airitibooks.com/Detail/Detail?PublicationID=P20160907105</v>
      </c>
      <c r="K3371" s="13" t="str">
        <f>HYPERLINK("https://ntsu.idm.oclc.org/login?url=https://www.airitibooks.com/Detail/Detail?PublicationID=P20160907105", "https://ntsu.idm.oclc.org/login?url=https://www.airitibooks.com/Detail/Detail?PublicationID=P20160907105")</f>
        <v>https://ntsu.idm.oclc.org/login?url=https://www.airitibooks.com/Detail/Detail?PublicationID=P20160907105</v>
      </c>
    </row>
    <row r="3372" spans="1:11" ht="51" x14ac:dyDescent="0.4">
      <c r="A3372" s="10" t="s">
        <v>5644</v>
      </c>
      <c r="B3372" s="10" t="s">
        <v>5645</v>
      </c>
      <c r="C3372" s="10" t="s">
        <v>661</v>
      </c>
      <c r="D3372" s="10" t="s">
        <v>5646</v>
      </c>
      <c r="E3372" s="10" t="s">
        <v>4129</v>
      </c>
      <c r="F3372" s="10" t="s">
        <v>5647</v>
      </c>
      <c r="G3372" s="10" t="s">
        <v>502</v>
      </c>
      <c r="H3372" s="7" t="s">
        <v>24</v>
      </c>
      <c r="I3372" s="7" t="s">
        <v>25</v>
      </c>
      <c r="J3372" s="13" t="str">
        <f>HYPERLINK("https://www.airitibooks.com/Detail/Detail?PublicationID=P20161024307", "https://www.airitibooks.com/Detail/Detail?PublicationID=P20161024307")</f>
        <v>https://www.airitibooks.com/Detail/Detail?PublicationID=P20161024307</v>
      </c>
      <c r="K3372" s="13" t="str">
        <f>HYPERLINK("https://ntsu.idm.oclc.org/login?url=https://www.airitibooks.com/Detail/Detail?PublicationID=P20161024307", "https://ntsu.idm.oclc.org/login?url=https://www.airitibooks.com/Detail/Detail?PublicationID=P20161024307")</f>
        <v>https://ntsu.idm.oclc.org/login?url=https://www.airitibooks.com/Detail/Detail?PublicationID=P20161024307</v>
      </c>
    </row>
    <row r="3373" spans="1:11" ht="68" x14ac:dyDescent="0.4">
      <c r="A3373" s="10" t="s">
        <v>5648</v>
      </c>
      <c r="B3373" s="10" t="s">
        <v>5649</v>
      </c>
      <c r="C3373" s="10" t="s">
        <v>661</v>
      </c>
      <c r="D3373" s="10" t="s">
        <v>5650</v>
      </c>
      <c r="E3373" s="10" t="s">
        <v>4129</v>
      </c>
      <c r="F3373" s="10" t="s">
        <v>5651</v>
      </c>
      <c r="G3373" s="10" t="s">
        <v>502</v>
      </c>
      <c r="H3373" s="7" t="s">
        <v>24</v>
      </c>
      <c r="I3373" s="7" t="s">
        <v>25</v>
      </c>
      <c r="J3373" s="13" t="str">
        <f>HYPERLINK("https://www.airitibooks.com/Detail/Detail?PublicationID=P20161024308", "https://www.airitibooks.com/Detail/Detail?PublicationID=P20161024308")</f>
        <v>https://www.airitibooks.com/Detail/Detail?PublicationID=P20161024308</v>
      </c>
      <c r="K3373" s="13" t="str">
        <f>HYPERLINK("https://ntsu.idm.oclc.org/login?url=https://www.airitibooks.com/Detail/Detail?PublicationID=P20161024308", "https://ntsu.idm.oclc.org/login?url=https://www.airitibooks.com/Detail/Detail?PublicationID=P20161024308")</f>
        <v>https://ntsu.idm.oclc.org/login?url=https://www.airitibooks.com/Detail/Detail?PublicationID=P20161024308</v>
      </c>
    </row>
    <row r="3374" spans="1:11" ht="51" x14ac:dyDescent="0.4">
      <c r="A3374" s="10" t="s">
        <v>6998</v>
      </c>
      <c r="B3374" s="10" t="s">
        <v>6999</v>
      </c>
      <c r="C3374" s="10" t="s">
        <v>1271</v>
      </c>
      <c r="D3374" s="10" t="s">
        <v>7000</v>
      </c>
      <c r="E3374" s="10" t="s">
        <v>4129</v>
      </c>
      <c r="F3374" s="10" t="s">
        <v>7001</v>
      </c>
      <c r="G3374" s="10" t="s">
        <v>502</v>
      </c>
      <c r="H3374" s="7" t="s">
        <v>24</v>
      </c>
      <c r="I3374" s="7" t="s">
        <v>25</v>
      </c>
      <c r="J3374" s="13" t="str">
        <f>HYPERLINK("https://www.airitibooks.com/Detail/Detail?PublicationID=P20170717024", "https://www.airitibooks.com/Detail/Detail?PublicationID=P20170717024")</f>
        <v>https://www.airitibooks.com/Detail/Detail?PublicationID=P20170717024</v>
      </c>
      <c r="K3374" s="13" t="str">
        <f>HYPERLINK("https://ntsu.idm.oclc.org/login?url=https://www.airitibooks.com/Detail/Detail?PublicationID=P20170717024", "https://ntsu.idm.oclc.org/login?url=https://www.airitibooks.com/Detail/Detail?PublicationID=P20170717024")</f>
        <v>https://ntsu.idm.oclc.org/login?url=https://www.airitibooks.com/Detail/Detail?PublicationID=P20170717024</v>
      </c>
    </row>
    <row r="3375" spans="1:11" ht="51" x14ac:dyDescent="0.4">
      <c r="A3375" s="10" t="s">
        <v>9054</v>
      </c>
      <c r="B3375" s="10" t="s">
        <v>9055</v>
      </c>
      <c r="C3375" s="10" t="s">
        <v>452</v>
      </c>
      <c r="D3375" s="10" t="s">
        <v>9056</v>
      </c>
      <c r="E3375" s="10" t="s">
        <v>4129</v>
      </c>
      <c r="F3375" s="10" t="s">
        <v>9057</v>
      </c>
      <c r="G3375" s="10" t="s">
        <v>502</v>
      </c>
      <c r="H3375" s="7" t="s">
        <v>24</v>
      </c>
      <c r="I3375" s="7" t="s">
        <v>25</v>
      </c>
      <c r="J3375" s="13" t="str">
        <f>HYPERLINK("https://www.airitibooks.com/Detail/Detail?PublicationID=P20180413167", "https://www.airitibooks.com/Detail/Detail?PublicationID=P20180413167")</f>
        <v>https://www.airitibooks.com/Detail/Detail?PublicationID=P20180413167</v>
      </c>
      <c r="K3375" s="13" t="str">
        <f>HYPERLINK("https://ntsu.idm.oclc.org/login?url=https://www.airitibooks.com/Detail/Detail?PublicationID=P20180413167", "https://ntsu.idm.oclc.org/login?url=https://www.airitibooks.com/Detail/Detail?PublicationID=P20180413167")</f>
        <v>https://ntsu.idm.oclc.org/login?url=https://www.airitibooks.com/Detail/Detail?PublicationID=P20180413167</v>
      </c>
    </row>
    <row r="3376" spans="1:11" ht="51" x14ac:dyDescent="0.4">
      <c r="A3376" s="10" t="s">
        <v>4126</v>
      </c>
      <c r="B3376" s="10" t="s">
        <v>4127</v>
      </c>
      <c r="C3376" s="10" t="s">
        <v>1114</v>
      </c>
      <c r="D3376" s="10" t="s">
        <v>4128</v>
      </c>
      <c r="E3376" s="10" t="s">
        <v>4129</v>
      </c>
      <c r="F3376" s="10" t="s">
        <v>1116</v>
      </c>
      <c r="G3376" s="10" t="s">
        <v>37</v>
      </c>
      <c r="H3376" s="7" t="s">
        <v>24</v>
      </c>
      <c r="I3376" s="7" t="s">
        <v>25</v>
      </c>
      <c r="J3376" s="13" t="str">
        <f>HYPERLINK("https://www.airitibooks.com/Detail/Detail?PublicationID=P20160222014", "https://www.airitibooks.com/Detail/Detail?PublicationID=P20160222014")</f>
        <v>https://www.airitibooks.com/Detail/Detail?PublicationID=P20160222014</v>
      </c>
      <c r="K3376" s="13" t="str">
        <f>HYPERLINK("https://ntsu.idm.oclc.org/login?url=https://www.airitibooks.com/Detail/Detail?PublicationID=P20160222014", "https://ntsu.idm.oclc.org/login?url=https://www.airitibooks.com/Detail/Detail?PublicationID=P20160222014")</f>
        <v>https://ntsu.idm.oclc.org/login?url=https://www.airitibooks.com/Detail/Detail?PublicationID=P20160222014</v>
      </c>
    </row>
    <row r="3377" spans="1:11" ht="51" x14ac:dyDescent="0.4">
      <c r="A3377" s="10" t="s">
        <v>4130</v>
      </c>
      <c r="B3377" s="10" t="s">
        <v>4131</v>
      </c>
      <c r="C3377" s="10" t="s">
        <v>1114</v>
      </c>
      <c r="D3377" s="10" t="s">
        <v>4128</v>
      </c>
      <c r="E3377" s="10" t="s">
        <v>4129</v>
      </c>
      <c r="F3377" s="10" t="s">
        <v>1116</v>
      </c>
      <c r="G3377" s="10" t="s">
        <v>37</v>
      </c>
      <c r="H3377" s="7" t="s">
        <v>24</v>
      </c>
      <c r="I3377" s="7" t="s">
        <v>25</v>
      </c>
      <c r="J3377" s="13" t="str">
        <f>HYPERLINK("https://www.airitibooks.com/Detail/Detail?PublicationID=P20160222027", "https://www.airitibooks.com/Detail/Detail?PublicationID=P20160222027")</f>
        <v>https://www.airitibooks.com/Detail/Detail?PublicationID=P20160222027</v>
      </c>
      <c r="K3377" s="13" t="str">
        <f>HYPERLINK("https://ntsu.idm.oclc.org/login?url=https://www.airitibooks.com/Detail/Detail?PublicationID=P20160222027", "https://ntsu.idm.oclc.org/login?url=https://www.airitibooks.com/Detail/Detail?PublicationID=P20160222027")</f>
        <v>https://ntsu.idm.oclc.org/login?url=https://www.airitibooks.com/Detail/Detail?PublicationID=P20160222027</v>
      </c>
    </row>
    <row r="3378" spans="1:11" ht="51" x14ac:dyDescent="0.4">
      <c r="A3378" s="10" t="s">
        <v>4201</v>
      </c>
      <c r="B3378" s="10" t="s">
        <v>4202</v>
      </c>
      <c r="C3378" s="10" t="s">
        <v>222</v>
      </c>
      <c r="D3378" s="10" t="s">
        <v>4203</v>
      </c>
      <c r="E3378" s="10" t="s">
        <v>4129</v>
      </c>
      <c r="F3378" s="10" t="s">
        <v>4204</v>
      </c>
      <c r="G3378" s="10" t="s">
        <v>37</v>
      </c>
      <c r="H3378" s="7" t="s">
        <v>24</v>
      </c>
      <c r="I3378" s="7" t="s">
        <v>25</v>
      </c>
      <c r="J3378" s="13" t="str">
        <f>HYPERLINK("https://www.airitibooks.com/Detail/Detail?PublicationID=P20160226121", "https://www.airitibooks.com/Detail/Detail?PublicationID=P20160226121")</f>
        <v>https://www.airitibooks.com/Detail/Detail?PublicationID=P20160226121</v>
      </c>
      <c r="K3378" s="13" t="str">
        <f>HYPERLINK("https://ntsu.idm.oclc.org/login?url=https://www.airitibooks.com/Detail/Detail?PublicationID=P20160226121", "https://ntsu.idm.oclc.org/login?url=https://www.airitibooks.com/Detail/Detail?PublicationID=P20160226121")</f>
        <v>https://ntsu.idm.oclc.org/login?url=https://www.airitibooks.com/Detail/Detail?PublicationID=P20160226121</v>
      </c>
    </row>
    <row r="3379" spans="1:11" ht="51" x14ac:dyDescent="0.4">
      <c r="A3379" s="10" t="s">
        <v>4471</v>
      </c>
      <c r="B3379" s="10" t="s">
        <v>4472</v>
      </c>
      <c r="C3379" s="10" t="s">
        <v>3705</v>
      </c>
      <c r="D3379" s="10" t="s">
        <v>4473</v>
      </c>
      <c r="E3379" s="10" t="s">
        <v>4129</v>
      </c>
      <c r="F3379" s="10" t="s">
        <v>4474</v>
      </c>
      <c r="G3379" s="10" t="s">
        <v>37</v>
      </c>
      <c r="H3379" s="7" t="s">
        <v>24</v>
      </c>
      <c r="I3379" s="7" t="s">
        <v>25</v>
      </c>
      <c r="J3379" s="13" t="str">
        <f>HYPERLINK("https://www.airitibooks.com/Detail/Detail?PublicationID=P20160413054", "https://www.airitibooks.com/Detail/Detail?PublicationID=P20160413054")</f>
        <v>https://www.airitibooks.com/Detail/Detail?PublicationID=P20160413054</v>
      </c>
      <c r="K3379" s="13" t="str">
        <f>HYPERLINK("https://ntsu.idm.oclc.org/login?url=https://www.airitibooks.com/Detail/Detail?PublicationID=P20160413054", "https://ntsu.idm.oclc.org/login?url=https://www.airitibooks.com/Detail/Detail?PublicationID=P20160413054")</f>
        <v>https://ntsu.idm.oclc.org/login?url=https://www.airitibooks.com/Detail/Detail?PublicationID=P20160413054</v>
      </c>
    </row>
    <row r="3380" spans="1:11" ht="51" x14ac:dyDescent="0.4">
      <c r="A3380" s="10" t="s">
        <v>4525</v>
      </c>
      <c r="B3380" s="10" t="s">
        <v>4526</v>
      </c>
      <c r="C3380" s="10" t="s">
        <v>297</v>
      </c>
      <c r="D3380" s="10" t="s">
        <v>4527</v>
      </c>
      <c r="E3380" s="10" t="s">
        <v>4129</v>
      </c>
      <c r="F3380" s="10" t="s">
        <v>1605</v>
      </c>
      <c r="G3380" s="10" t="s">
        <v>37</v>
      </c>
      <c r="H3380" s="7" t="s">
        <v>24</v>
      </c>
      <c r="I3380" s="7" t="s">
        <v>25</v>
      </c>
      <c r="J3380" s="13" t="str">
        <f>HYPERLINK("https://www.airitibooks.com/Detail/Detail?PublicationID=P20160421140", "https://www.airitibooks.com/Detail/Detail?PublicationID=P20160421140")</f>
        <v>https://www.airitibooks.com/Detail/Detail?PublicationID=P20160421140</v>
      </c>
      <c r="K3380" s="13" t="str">
        <f>HYPERLINK("https://ntsu.idm.oclc.org/login?url=https://www.airitibooks.com/Detail/Detail?PublicationID=P20160421140", "https://ntsu.idm.oclc.org/login?url=https://www.airitibooks.com/Detail/Detail?PublicationID=P20160421140")</f>
        <v>https://ntsu.idm.oclc.org/login?url=https://www.airitibooks.com/Detail/Detail?PublicationID=P20160421140</v>
      </c>
    </row>
    <row r="3381" spans="1:11" ht="51" x14ac:dyDescent="0.4">
      <c r="A3381" s="10" t="s">
        <v>4554</v>
      </c>
      <c r="B3381" s="10" t="s">
        <v>4555</v>
      </c>
      <c r="C3381" s="10" t="s">
        <v>1114</v>
      </c>
      <c r="D3381" s="10" t="s">
        <v>4128</v>
      </c>
      <c r="E3381" s="10" t="s">
        <v>4129</v>
      </c>
      <c r="F3381" s="10" t="s">
        <v>1116</v>
      </c>
      <c r="G3381" s="10" t="s">
        <v>37</v>
      </c>
      <c r="H3381" s="7" t="s">
        <v>24</v>
      </c>
      <c r="I3381" s="7" t="s">
        <v>25</v>
      </c>
      <c r="J3381" s="13" t="str">
        <f>HYPERLINK("https://www.airitibooks.com/Detail/Detail?PublicationID=P20160422019", "https://www.airitibooks.com/Detail/Detail?PublicationID=P20160422019")</f>
        <v>https://www.airitibooks.com/Detail/Detail?PublicationID=P20160422019</v>
      </c>
      <c r="K3381" s="13" t="str">
        <f>HYPERLINK("https://ntsu.idm.oclc.org/login?url=https://www.airitibooks.com/Detail/Detail?PublicationID=P20160422019", "https://ntsu.idm.oclc.org/login?url=https://www.airitibooks.com/Detail/Detail?PublicationID=P20160422019")</f>
        <v>https://ntsu.idm.oclc.org/login?url=https://www.airitibooks.com/Detail/Detail?PublicationID=P20160422019</v>
      </c>
    </row>
    <row r="3382" spans="1:11" ht="51" x14ac:dyDescent="0.4">
      <c r="A3382" s="10" t="s">
        <v>4736</v>
      </c>
      <c r="B3382" s="10" t="s">
        <v>4737</v>
      </c>
      <c r="C3382" s="10" t="s">
        <v>2515</v>
      </c>
      <c r="D3382" s="10" t="s">
        <v>4738</v>
      </c>
      <c r="E3382" s="10" t="s">
        <v>4129</v>
      </c>
      <c r="F3382" s="10" t="s">
        <v>4739</v>
      </c>
      <c r="G3382" s="10" t="s">
        <v>37</v>
      </c>
      <c r="H3382" s="7" t="s">
        <v>24</v>
      </c>
      <c r="I3382" s="7" t="s">
        <v>25</v>
      </c>
      <c r="J3382" s="13" t="str">
        <f>HYPERLINK("https://www.airitibooks.com/Detail/Detail?PublicationID=P20160603030", "https://www.airitibooks.com/Detail/Detail?PublicationID=P20160603030")</f>
        <v>https://www.airitibooks.com/Detail/Detail?PublicationID=P20160603030</v>
      </c>
      <c r="K3382" s="13" t="str">
        <f>HYPERLINK("https://ntsu.idm.oclc.org/login?url=https://www.airitibooks.com/Detail/Detail?PublicationID=P20160603030", "https://ntsu.idm.oclc.org/login?url=https://www.airitibooks.com/Detail/Detail?PublicationID=P20160603030")</f>
        <v>https://ntsu.idm.oclc.org/login?url=https://www.airitibooks.com/Detail/Detail?PublicationID=P20160603030</v>
      </c>
    </row>
    <row r="3383" spans="1:11" ht="51" x14ac:dyDescent="0.4">
      <c r="A3383" s="10" t="s">
        <v>4740</v>
      </c>
      <c r="B3383" s="10" t="s">
        <v>4741</v>
      </c>
      <c r="C3383" s="10" t="s">
        <v>2515</v>
      </c>
      <c r="D3383" s="10" t="s">
        <v>4738</v>
      </c>
      <c r="E3383" s="10" t="s">
        <v>4129</v>
      </c>
      <c r="F3383" s="10" t="s">
        <v>4739</v>
      </c>
      <c r="G3383" s="10" t="s">
        <v>37</v>
      </c>
      <c r="H3383" s="7" t="s">
        <v>24</v>
      </c>
      <c r="I3383" s="7" t="s">
        <v>25</v>
      </c>
      <c r="J3383" s="13" t="str">
        <f>HYPERLINK("https://www.airitibooks.com/Detail/Detail?PublicationID=P20160603031", "https://www.airitibooks.com/Detail/Detail?PublicationID=P20160603031")</f>
        <v>https://www.airitibooks.com/Detail/Detail?PublicationID=P20160603031</v>
      </c>
      <c r="K3383" s="13" t="str">
        <f>HYPERLINK("https://ntsu.idm.oclc.org/login?url=https://www.airitibooks.com/Detail/Detail?PublicationID=P20160603031", "https://ntsu.idm.oclc.org/login?url=https://www.airitibooks.com/Detail/Detail?PublicationID=P20160603031")</f>
        <v>https://ntsu.idm.oclc.org/login?url=https://www.airitibooks.com/Detail/Detail?PublicationID=P20160603031</v>
      </c>
    </row>
    <row r="3384" spans="1:11" ht="51" x14ac:dyDescent="0.4">
      <c r="A3384" s="10" t="s">
        <v>4871</v>
      </c>
      <c r="B3384" s="10" t="s">
        <v>4872</v>
      </c>
      <c r="C3384" s="10" t="s">
        <v>4873</v>
      </c>
      <c r="D3384" s="10" t="s">
        <v>1329</v>
      </c>
      <c r="E3384" s="10" t="s">
        <v>4129</v>
      </c>
      <c r="F3384" s="10" t="s">
        <v>4874</v>
      </c>
      <c r="G3384" s="10" t="s">
        <v>37</v>
      </c>
      <c r="H3384" s="7" t="s">
        <v>24</v>
      </c>
      <c r="I3384" s="7" t="s">
        <v>25</v>
      </c>
      <c r="J3384" s="13" t="str">
        <f>HYPERLINK("https://www.airitibooks.com/Detail/Detail?PublicationID=P20160715158", "https://www.airitibooks.com/Detail/Detail?PublicationID=P20160715158")</f>
        <v>https://www.airitibooks.com/Detail/Detail?PublicationID=P20160715158</v>
      </c>
      <c r="K3384" s="13" t="str">
        <f>HYPERLINK("https://ntsu.idm.oclc.org/login?url=https://www.airitibooks.com/Detail/Detail?PublicationID=P20160715158", "https://ntsu.idm.oclc.org/login?url=https://www.airitibooks.com/Detail/Detail?PublicationID=P20160715158")</f>
        <v>https://ntsu.idm.oclc.org/login?url=https://www.airitibooks.com/Detail/Detail?PublicationID=P20160715158</v>
      </c>
    </row>
    <row r="3385" spans="1:11" ht="68" x14ac:dyDescent="0.4">
      <c r="A3385" s="10" t="s">
        <v>4875</v>
      </c>
      <c r="B3385" s="10" t="s">
        <v>4876</v>
      </c>
      <c r="C3385" s="10" t="s">
        <v>4873</v>
      </c>
      <c r="D3385" s="10" t="s">
        <v>4877</v>
      </c>
      <c r="E3385" s="10" t="s">
        <v>4129</v>
      </c>
      <c r="F3385" s="10" t="s">
        <v>4878</v>
      </c>
      <c r="G3385" s="10" t="s">
        <v>37</v>
      </c>
      <c r="H3385" s="7" t="s">
        <v>24</v>
      </c>
      <c r="I3385" s="7" t="s">
        <v>25</v>
      </c>
      <c r="J3385" s="13" t="str">
        <f>HYPERLINK("https://www.airitibooks.com/Detail/Detail?PublicationID=P20160715159", "https://www.airitibooks.com/Detail/Detail?PublicationID=P20160715159")</f>
        <v>https://www.airitibooks.com/Detail/Detail?PublicationID=P20160715159</v>
      </c>
      <c r="K3385" s="13" t="str">
        <f>HYPERLINK("https://ntsu.idm.oclc.org/login?url=https://www.airitibooks.com/Detail/Detail?PublicationID=P20160715159", "https://ntsu.idm.oclc.org/login?url=https://www.airitibooks.com/Detail/Detail?PublicationID=P20160715159")</f>
        <v>https://ntsu.idm.oclc.org/login?url=https://www.airitibooks.com/Detail/Detail?PublicationID=P20160715159</v>
      </c>
    </row>
    <row r="3386" spans="1:11" ht="85" x14ac:dyDescent="0.4">
      <c r="A3386" s="10" t="s">
        <v>4889</v>
      </c>
      <c r="B3386" s="10" t="s">
        <v>4890</v>
      </c>
      <c r="C3386" s="10" t="s">
        <v>197</v>
      </c>
      <c r="D3386" s="10" t="s">
        <v>4891</v>
      </c>
      <c r="E3386" s="10" t="s">
        <v>4129</v>
      </c>
      <c r="F3386" s="10" t="s">
        <v>4892</v>
      </c>
      <c r="G3386" s="10" t="s">
        <v>37</v>
      </c>
      <c r="H3386" s="7" t="s">
        <v>24</v>
      </c>
      <c r="I3386" s="7" t="s">
        <v>25</v>
      </c>
      <c r="J3386" s="13" t="str">
        <f>HYPERLINK("https://www.airitibooks.com/Detail/Detail?PublicationID=P20160715163", "https://www.airitibooks.com/Detail/Detail?PublicationID=P20160715163")</f>
        <v>https://www.airitibooks.com/Detail/Detail?PublicationID=P20160715163</v>
      </c>
      <c r="K3386" s="13" t="str">
        <f>HYPERLINK("https://ntsu.idm.oclc.org/login?url=https://www.airitibooks.com/Detail/Detail?PublicationID=P20160715163", "https://ntsu.idm.oclc.org/login?url=https://www.airitibooks.com/Detail/Detail?PublicationID=P20160715163")</f>
        <v>https://ntsu.idm.oclc.org/login?url=https://www.airitibooks.com/Detail/Detail?PublicationID=P20160715163</v>
      </c>
    </row>
    <row r="3387" spans="1:11" ht="51" x14ac:dyDescent="0.4">
      <c r="A3387" s="10" t="s">
        <v>4899</v>
      </c>
      <c r="B3387" s="10" t="s">
        <v>4900</v>
      </c>
      <c r="C3387" s="10" t="s">
        <v>1114</v>
      </c>
      <c r="D3387" s="10" t="s">
        <v>1115</v>
      </c>
      <c r="E3387" s="10" t="s">
        <v>4129</v>
      </c>
      <c r="F3387" s="10" t="s">
        <v>1116</v>
      </c>
      <c r="G3387" s="10" t="s">
        <v>37</v>
      </c>
      <c r="H3387" s="7" t="s">
        <v>24</v>
      </c>
      <c r="I3387" s="7" t="s">
        <v>25</v>
      </c>
      <c r="J3387" s="13" t="str">
        <f>HYPERLINK("https://www.airitibooks.com/Detail/Detail?PublicationID=P20160715184", "https://www.airitibooks.com/Detail/Detail?PublicationID=P20160715184")</f>
        <v>https://www.airitibooks.com/Detail/Detail?PublicationID=P20160715184</v>
      </c>
      <c r="K3387" s="13" t="str">
        <f>HYPERLINK("https://ntsu.idm.oclc.org/login?url=https://www.airitibooks.com/Detail/Detail?PublicationID=P20160715184", "https://ntsu.idm.oclc.org/login?url=https://www.airitibooks.com/Detail/Detail?PublicationID=P20160715184")</f>
        <v>https://ntsu.idm.oclc.org/login?url=https://www.airitibooks.com/Detail/Detail?PublicationID=P20160715184</v>
      </c>
    </row>
    <row r="3388" spans="1:11" ht="51" x14ac:dyDescent="0.4">
      <c r="A3388" s="10" t="s">
        <v>5034</v>
      </c>
      <c r="B3388" s="10" t="s">
        <v>5035</v>
      </c>
      <c r="C3388" s="10" t="s">
        <v>1296</v>
      </c>
      <c r="D3388" s="10" t="s">
        <v>5036</v>
      </c>
      <c r="E3388" s="10" t="s">
        <v>4129</v>
      </c>
      <c r="F3388" s="10" t="s">
        <v>5037</v>
      </c>
      <c r="G3388" s="10" t="s">
        <v>37</v>
      </c>
      <c r="H3388" s="7" t="s">
        <v>24</v>
      </c>
      <c r="I3388" s="7" t="s">
        <v>25</v>
      </c>
      <c r="J3388" s="13" t="str">
        <f>HYPERLINK("https://www.airitibooks.com/Detail/Detail?PublicationID=P20160801091", "https://www.airitibooks.com/Detail/Detail?PublicationID=P20160801091")</f>
        <v>https://www.airitibooks.com/Detail/Detail?PublicationID=P20160801091</v>
      </c>
      <c r="K3388" s="13" t="str">
        <f>HYPERLINK("https://ntsu.idm.oclc.org/login?url=https://www.airitibooks.com/Detail/Detail?PublicationID=P20160801091", "https://ntsu.idm.oclc.org/login?url=https://www.airitibooks.com/Detail/Detail?PublicationID=P20160801091")</f>
        <v>https://ntsu.idm.oclc.org/login?url=https://www.airitibooks.com/Detail/Detail?PublicationID=P20160801091</v>
      </c>
    </row>
    <row r="3389" spans="1:11" ht="51" x14ac:dyDescent="0.4">
      <c r="A3389" s="10" t="s">
        <v>5123</v>
      </c>
      <c r="B3389" s="10" t="s">
        <v>5124</v>
      </c>
      <c r="C3389" s="10" t="s">
        <v>428</v>
      </c>
      <c r="D3389" s="10" t="s">
        <v>5125</v>
      </c>
      <c r="E3389" s="10" t="s">
        <v>4129</v>
      </c>
      <c r="F3389" s="10" t="s">
        <v>5126</v>
      </c>
      <c r="G3389" s="10" t="s">
        <v>37</v>
      </c>
      <c r="H3389" s="7" t="s">
        <v>24</v>
      </c>
      <c r="I3389" s="7" t="s">
        <v>25</v>
      </c>
      <c r="J3389" s="13" t="str">
        <f>HYPERLINK("https://www.airitibooks.com/Detail/Detail?PublicationID=P20160806238", "https://www.airitibooks.com/Detail/Detail?PublicationID=P20160806238")</f>
        <v>https://www.airitibooks.com/Detail/Detail?PublicationID=P20160806238</v>
      </c>
      <c r="K3389" s="13" t="str">
        <f>HYPERLINK("https://ntsu.idm.oclc.org/login?url=https://www.airitibooks.com/Detail/Detail?PublicationID=P20160806238", "https://ntsu.idm.oclc.org/login?url=https://www.airitibooks.com/Detail/Detail?PublicationID=P20160806238")</f>
        <v>https://ntsu.idm.oclc.org/login?url=https://www.airitibooks.com/Detail/Detail?PublicationID=P20160806238</v>
      </c>
    </row>
    <row r="3390" spans="1:11" ht="51" x14ac:dyDescent="0.4">
      <c r="A3390" s="10" t="s">
        <v>5138</v>
      </c>
      <c r="B3390" s="10" t="s">
        <v>5139</v>
      </c>
      <c r="C3390" s="10" t="s">
        <v>297</v>
      </c>
      <c r="D3390" s="10" t="s">
        <v>5140</v>
      </c>
      <c r="E3390" s="10" t="s">
        <v>4129</v>
      </c>
      <c r="F3390" s="10" t="s">
        <v>1605</v>
      </c>
      <c r="G3390" s="10" t="s">
        <v>37</v>
      </c>
      <c r="H3390" s="7" t="s">
        <v>24</v>
      </c>
      <c r="I3390" s="7" t="s">
        <v>25</v>
      </c>
      <c r="J3390" s="13" t="str">
        <f>HYPERLINK("https://www.airitibooks.com/Detail/Detail?PublicationID=P20160806247", "https://www.airitibooks.com/Detail/Detail?PublicationID=P20160806247")</f>
        <v>https://www.airitibooks.com/Detail/Detail?PublicationID=P20160806247</v>
      </c>
      <c r="K3390" s="13" t="str">
        <f>HYPERLINK("https://ntsu.idm.oclc.org/login?url=https://www.airitibooks.com/Detail/Detail?PublicationID=P20160806247", "https://ntsu.idm.oclc.org/login?url=https://www.airitibooks.com/Detail/Detail?PublicationID=P20160806247")</f>
        <v>https://ntsu.idm.oclc.org/login?url=https://www.airitibooks.com/Detail/Detail?PublicationID=P20160806247</v>
      </c>
    </row>
    <row r="3391" spans="1:11" ht="51" x14ac:dyDescent="0.4">
      <c r="A3391" s="10" t="s">
        <v>5144</v>
      </c>
      <c r="B3391" s="10" t="s">
        <v>5145</v>
      </c>
      <c r="C3391" s="10" t="s">
        <v>297</v>
      </c>
      <c r="D3391" s="10" t="s">
        <v>5146</v>
      </c>
      <c r="E3391" s="10" t="s">
        <v>4129</v>
      </c>
      <c r="F3391" s="10" t="s">
        <v>1605</v>
      </c>
      <c r="G3391" s="10" t="s">
        <v>37</v>
      </c>
      <c r="H3391" s="7" t="s">
        <v>24</v>
      </c>
      <c r="I3391" s="7" t="s">
        <v>25</v>
      </c>
      <c r="J3391" s="13" t="str">
        <f>HYPERLINK("https://www.airitibooks.com/Detail/Detail?PublicationID=P20160806250", "https://www.airitibooks.com/Detail/Detail?PublicationID=P20160806250")</f>
        <v>https://www.airitibooks.com/Detail/Detail?PublicationID=P20160806250</v>
      </c>
      <c r="K3391" s="13" t="str">
        <f>HYPERLINK("https://ntsu.idm.oclc.org/login?url=https://www.airitibooks.com/Detail/Detail?PublicationID=P20160806250", "https://ntsu.idm.oclc.org/login?url=https://www.airitibooks.com/Detail/Detail?PublicationID=P20160806250")</f>
        <v>https://ntsu.idm.oclc.org/login?url=https://www.airitibooks.com/Detail/Detail?PublicationID=P20160806250</v>
      </c>
    </row>
    <row r="3392" spans="1:11" ht="51" x14ac:dyDescent="0.4">
      <c r="A3392" s="10" t="s">
        <v>5191</v>
      </c>
      <c r="B3392" s="10" t="s">
        <v>5192</v>
      </c>
      <c r="C3392" s="10" t="s">
        <v>756</v>
      </c>
      <c r="D3392" s="10" t="s">
        <v>5193</v>
      </c>
      <c r="E3392" s="10" t="s">
        <v>4129</v>
      </c>
      <c r="F3392" s="10" t="s">
        <v>5194</v>
      </c>
      <c r="G3392" s="10" t="s">
        <v>37</v>
      </c>
      <c r="H3392" s="7" t="s">
        <v>24</v>
      </c>
      <c r="I3392" s="7" t="s">
        <v>25</v>
      </c>
      <c r="J3392" s="13" t="str">
        <f>HYPERLINK("https://www.airitibooks.com/Detail/Detail?PublicationID=P20160824003", "https://www.airitibooks.com/Detail/Detail?PublicationID=P20160824003")</f>
        <v>https://www.airitibooks.com/Detail/Detail?PublicationID=P20160824003</v>
      </c>
      <c r="K3392" s="13" t="str">
        <f>HYPERLINK("https://ntsu.idm.oclc.org/login?url=https://www.airitibooks.com/Detail/Detail?PublicationID=P20160824003", "https://ntsu.idm.oclc.org/login?url=https://www.airitibooks.com/Detail/Detail?PublicationID=P20160824003")</f>
        <v>https://ntsu.idm.oclc.org/login?url=https://www.airitibooks.com/Detail/Detail?PublicationID=P20160824003</v>
      </c>
    </row>
    <row r="3393" spans="1:11" ht="51" x14ac:dyDescent="0.4">
      <c r="A3393" s="10" t="s">
        <v>5195</v>
      </c>
      <c r="B3393" s="10" t="s">
        <v>5196</v>
      </c>
      <c r="C3393" s="10" t="s">
        <v>756</v>
      </c>
      <c r="D3393" s="10" t="s">
        <v>5193</v>
      </c>
      <c r="E3393" s="10" t="s">
        <v>4129</v>
      </c>
      <c r="F3393" s="10" t="s">
        <v>5194</v>
      </c>
      <c r="G3393" s="10" t="s">
        <v>37</v>
      </c>
      <c r="H3393" s="7" t="s">
        <v>24</v>
      </c>
      <c r="I3393" s="7" t="s">
        <v>25</v>
      </c>
      <c r="J3393" s="13" t="str">
        <f>HYPERLINK("https://www.airitibooks.com/Detail/Detail?PublicationID=P20160824004", "https://www.airitibooks.com/Detail/Detail?PublicationID=P20160824004")</f>
        <v>https://www.airitibooks.com/Detail/Detail?PublicationID=P20160824004</v>
      </c>
      <c r="K3393" s="13" t="str">
        <f>HYPERLINK("https://ntsu.idm.oclc.org/login?url=https://www.airitibooks.com/Detail/Detail?PublicationID=P20160824004", "https://ntsu.idm.oclc.org/login?url=https://www.airitibooks.com/Detail/Detail?PublicationID=P20160824004")</f>
        <v>https://ntsu.idm.oclc.org/login?url=https://www.airitibooks.com/Detail/Detail?PublicationID=P20160824004</v>
      </c>
    </row>
    <row r="3394" spans="1:11" ht="51" x14ac:dyDescent="0.4">
      <c r="A3394" s="10" t="s">
        <v>5197</v>
      </c>
      <c r="B3394" s="10" t="s">
        <v>5198</v>
      </c>
      <c r="C3394" s="10" t="s">
        <v>756</v>
      </c>
      <c r="D3394" s="10" t="s">
        <v>5193</v>
      </c>
      <c r="E3394" s="10" t="s">
        <v>4129</v>
      </c>
      <c r="F3394" s="10" t="s">
        <v>5194</v>
      </c>
      <c r="G3394" s="10" t="s">
        <v>37</v>
      </c>
      <c r="H3394" s="7" t="s">
        <v>24</v>
      </c>
      <c r="I3394" s="7" t="s">
        <v>25</v>
      </c>
      <c r="J3394" s="13" t="str">
        <f>HYPERLINK("https://www.airitibooks.com/Detail/Detail?PublicationID=P20160824005", "https://www.airitibooks.com/Detail/Detail?PublicationID=P20160824005")</f>
        <v>https://www.airitibooks.com/Detail/Detail?PublicationID=P20160824005</v>
      </c>
      <c r="K3394" s="13" t="str">
        <f>HYPERLINK("https://ntsu.idm.oclc.org/login?url=https://www.airitibooks.com/Detail/Detail?PublicationID=P20160824005", "https://ntsu.idm.oclc.org/login?url=https://www.airitibooks.com/Detail/Detail?PublicationID=P20160824005")</f>
        <v>https://ntsu.idm.oclc.org/login?url=https://www.airitibooks.com/Detail/Detail?PublicationID=P20160824005</v>
      </c>
    </row>
    <row r="3395" spans="1:11" ht="51" x14ac:dyDescent="0.4">
      <c r="A3395" s="10" t="s">
        <v>5456</v>
      </c>
      <c r="B3395" s="10" t="s">
        <v>5457</v>
      </c>
      <c r="C3395" s="10" t="s">
        <v>938</v>
      </c>
      <c r="D3395" s="10" t="s">
        <v>939</v>
      </c>
      <c r="E3395" s="10" t="s">
        <v>4129</v>
      </c>
      <c r="F3395" s="10" t="s">
        <v>940</v>
      </c>
      <c r="G3395" s="10" t="s">
        <v>37</v>
      </c>
      <c r="H3395" s="7" t="s">
        <v>24</v>
      </c>
      <c r="I3395" s="7" t="s">
        <v>25</v>
      </c>
      <c r="J3395" s="13" t="str">
        <f>HYPERLINK("https://www.airitibooks.com/Detail/Detail?PublicationID=P20160913020", "https://www.airitibooks.com/Detail/Detail?PublicationID=P20160913020")</f>
        <v>https://www.airitibooks.com/Detail/Detail?PublicationID=P20160913020</v>
      </c>
      <c r="K3395" s="13" t="str">
        <f>HYPERLINK("https://ntsu.idm.oclc.org/login?url=https://www.airitibooks.com/Detail/Detail?PublicationID=P20160913020", "https://ntsu.idm.oclc.org/login?url=https://www.airitibooks.com/Detail/Detail?PublicationID=P20160913020")</f>
        <v>https://ntsu.idm.oclc.org/login?url=https://www.airitibooks.com/Detail/Detail?PublicationID=P20160913020</v>
      </c>
    </row>
    <row r="3396" spans="1:11" ht="51" x14ac:dyDescent="0.4">
      <c r="A3396" s="10" t="s">
        <v>5458</v>
      </c>
      <c r="B3396" s="10" t="s">
        <v>5459</v>
      </c>
      <c r="C3396" s="10" t="s">
        <v>938</v>
      </c>
      <c r="D3396" s="10" t="s">
        <v>943</v>
      </c>
      <c r="E3396" s="10" t="s">
        <v>4129</v>
      </c>
      <c r="F3396" s="10" t="s">
        <v>940</v>
      </c>
      <c r="G3396" s="10" t="s">
        <v>37</v>
      </c>
      <c r="H3396" s="7" t="s">
        <v>24</v>
      </c>
      <c r="I3396" s="7" t="s">
        <v>25</v>
      </c>
      <c r="J3396" s="13" t="str">
        <f>HYPERLINK("https://www.airitibooks.com/Detail/Detail?PublicationID=P20160913021", "https://www.airitibooks.com/Detail/Detail?PublicationID=P20160913021")</f>
        <v>https://www.airitibooks.com/Detail/Detail?PublicationID=P20160913021</v>
      </c>
      <c r="K3396" s="13" t="str">
        <f>HYPERLINK("https://ntsu.idm.oclc.org/login?url=https://www.airitibooks.com/Detail/Detail?PublicationID=P20160913021", "https://ntsu.idm.oclc.org/login?url=https://www.airitibooks.com/Detail/Detail?PublicationID=P20160913021")</f>
        <v>https://ntsu.idm.oclc.org/login?url=https://www.airitibooks.com/Detail/Detail?PublicationID=P20160913021</v>
      </c>
    </row>
    <row r="3397" spans="1:11" ht="68" x14ac:dyDescent="0.4">
      <c r="A3397" s="10" t="s">
        <v>5460</v>
      </c>
      <c r="B3397" s="10" t="s">
        <v>5461</v>
      </c>
      <c r="C3397" s="10" t="s">
        <v>938</v>
      </c>
      <c r="D3397" s="10" t="s">
        <v>5462</v>
      </c>
      <c r="E3397" s="10" t="s">
        <v>4129</v>
      </c>
      <c r="F3397" s="10" t="s">
        <v>5463</v>
      </c>
      <c r="G3397" s="10" t="s">
        <v>37</v>
      </c>
      <c r="H3397" s="7" t="s">
        <v>24</v>
      </c>
      <c r="I3397" s="7" t="s">
        <v>25</v>
      </c>
      <c r="J3397" s="13" t="str">
        <f>HYPERLINK("https://www.airitibooks.com/Detail/Detail?PublicationID=P20160913022", "https://www.airitibooks.com/Detail/Detail?PublicationID=P20160913022")</f>
        <v>https://www.airitibooks.com/Detail/Detail?PublicationID=P20160913022</v>
      </c>
      <c r="K3397" s="13" t="str">
        <f>HYPERLINK("https://ntsu.idm.oclc.org/login?url=https://www.airitibooks.com/Detail/Detail?PublicationID=P20160913022", "https://ntsu.idm.oclc.org/login?url=https://www.airitibooks.com/Detail/Detail?PublicationID=P20160913022")</f>
        <v>https://ntsu.idm.oclc.org/login?url=https://www.airitibooks.com/Detail/Detail?PublicationID=P20160913022</v>
      </c>
    </row>
    <row r="3398" spans="1:11" ht="51" x14ac:dyDescent="0.4">
      <c r="A3398" s="10" t="s">
        <v>5464</v>
      </c>
      <c r="B3398" s="10" t="s">
        <v>5465</v>
      </c>
      <c r="C3398" s="10" t="s">
        <v>938</v>
      </c>
      <c r="D3398" s="10" t="s">
        <v>939</v>
      </c>
      <c r="E3398" s="10" t="s">
        <v>4129</v>
      </c>
      <c r="F3398" s="10" t="s">
        <v>940</v>
      </c>
      <c r="G3398" s="10" t="s">
        <v>37</v>
      </c>
      <c r="H3398" s="7" t="s">
        <v>24</v>
      </c>
      <c r="I3398" s="7" t="s">
        <v>25</v>
      </c>
      <c r="J3398" s="13" t="str">
        <f>HYPERLINK("https://www.airitibooks.com/Detail/Detail?PublicationID=P20160913023", "https://www.airitibooks.com/Detail/Detail?PublicationID=P20160913023")</f>
        <v>https://www.airitibooks.com/Detail/Detail?PublicationID=P20160913023</v>
      </c>
      <c r="K3398" s="13" t="str">
        <f>HYPERLINK("https://ntsu.idm.oclc.org/login?url=https://www.airitibooks.com/Detail/Detail?PublicationID=P20160913023", "https://ntsu.idm.oclc.org/login?url=https://www.airitibooks.com/Detail/Detail?PublicationID=P20160913023")</f>
        <v>https://ntsu.idm.oclc.org/login?url=https://www.airitibooks.com/Detail/Detail?PublicationID=P20160913023</v>
      </c>
    </row>
    <row r="3399" spans="1:11" ht="68" x14ac:dyDescent="0.4">
      <c r="A3399" s="10" t="s">
        <v>5466</v>
      </c>
      <c r="B3399" s="10" t="s">
        <v>5467</v>
      </c>
      <c r="C3399" s="10" t="s">
        <v>938</v>
      </c>
      <c r="D3399" s="10" t="s">
        <v>5468</v>
      </c>
      <c r="E3399" s="10" t="s">
        <v>4129</v>
      </c>
      <c r="F3399" s="10" t="s">
        <v>5463</v>
      </c>
      <c r="G3399" s="10" t="s">
        <v>37</v>
      </c>
      <c r="H3399" s="7" t="s">
        <v>24</v>
      </c>
      <c r="I3399" s="7" t="s">
        <v>25</v>
      </c>
      <c r="J3399" s="13" t="str">
        <f>HYPERLINK("https://www.airitibooks.com/Detail/Detail?PublicationID=P20160913025", "https://www.airitibooks.com/Detail/Detail?PublicationID=P20160913025")</f>
        <v>https://www.airitibooks.com/Detail/Detail?PublicationID=P20160913025</v>
      </c>
      <c r="K3399" s="13" t="str">
        <f>HYPERLINK("https://ntsu.idm.oclc.org/login?url=https://www.airitibooks.com/Detail/Detail?PublicationID=P20160913025", "https://ntsu.idm.oclc.org/login?url=https://www.airitibooks.com/Detail/Detail?PublicationID=P20160913025")</f>
        <v>https://ntsu.idm.oclc.org/login?url=https://www.airitibooks.com/Detail/Detail?PublicationID=P20160913025</v>
      </c>
    </row>
    <row r="3400" spans="1:11" ht="51" x14ac:dyDescent="0.4">
      <c r="A3400" s="10" t="s">
        <v>3266</v>
      </c>
      <c r="B3400" s="10" t="s">
        <v>5471</v>
      </c>
      <c r="C3400" s="10" t="s">
        <v>938</v>
      </c>
      <c r="D3400" s="10" t="s">
        <v>939</v>
      </c>
      <c r="E3400" s="10" t="s">
        <v>4129</v>
      </c>
      <c r="F3400" s="10" t="s">
        <v>940</v>
      </c>
      <c r="G3400" s="10" t="s">
        <v>37</v>
      </c>
      <c r="H3400" s="7" t="s">
        <v>24</v>
      </c>
      <c r="I3400" s="7" t="s">
        <v>25</v>
      </c>
      <c r="J3400" s="13" t="str">
        <f>HYPERLINK("https://www.airitibooks.com/Detail/Detail?PublicationID=P20160913028", "https://www.airitibooks.com/Detail/Detail?PublicationID=P20160913028")</f>
        <v>https://www.airitibooks.com/Detail/Detail?PublicationID=P20160913028</v>
      </c>
      <c r="K3400" s="13" t="str">
        <f>HYPERLINK("https://ntsu.idm.oclc.org/login?url=https://www.airitibooks.com/Detail/Detail?PublicationID=P20160913028", "https://ntsu.idm.oclc.org/login?url=https://www.airitibooks.com/Detail/Detail?PublicationID=P20160913028")</f>
        <v>https://ntsu.idm.oclc.org/login?url=https://www.airitibooks.com/Detail/Detail?PublicationID=P20160913028</v>
      </c>
    </row>
    <row r="3401" spans="1:11" ht="102" x14ac:dyDescent="0.4">
      <c r="A3401" s="10" t="s">
        <v>5640</v>
      </c>
      <c r="B3401" s="10" t="s">
        <v>5641</v>
      </c>
      <c r="C3401" s="10" t="s">
        <v>661</v>
      </c>
      <c r="D3401" s="10" t="s">
        <v>5642</v>
      </c>
      <c r="E3401" s="10" t="s">
        <v>4129</v>
      </c>
      <c r="F3401" s="10" t="s">
        <v>5643</v>
      </c>
      <c r="G3401" s="10" t="s">
        <v>37</v>
      </c>
      <c r="H3401" s="7" t="s">
        <v>24</v>
      </c>
      <c r="I3401" s="7" t="s">
        <v>25</v>
      </c>
      <c r="J3401" s="13" t="str">
        <f>HYPERLINK("https://www.airitibooks.com/Detail/Detail?PublicationID=P20161024306", "https://www.airitibooks.com/Detail/Detail?PublicationID=P20161024306")</f>
        <v>https://www.airitibooks.com/Detail/Detail?PublicationID=P20161024306</v>
      </c>
      <c r="K3401" s="13" t="str">
        <f>HYPERLINK("https://ntsu.idm.oclc.org/login?url=https://www.airitibooks.com/Detail/Detail?PublicationID=P20161024306", "https://ntsu.idm.oclc.org/login?url=https://www.airitibooks.com/Detail/Detail?PublicationID=P20161024306")</f>
        <v>https://ntsu.idm.oclc.org/login?url=https://www.airitibooks.com/Detail/Detail?PublicationID=P20161024306</v>
      </c>
    </row>
    <row r="3402" spans="1:11" ht="51" x14ac:dyDescent="0.4">
      <c r="A3402" s="10" t="s">
        <v>5689</v>
      </c>
      <c r="B3402" s="10" t="s">
        <v>5690</v>
      </c>
      <c r="C3402" s="10" t="s">
        <v>428</v>
      </c>
      <c r="D3402" s="10" t="s">
        <v>5691</v>
      </c>
      <c r="E3402" s="10" t="s">
        <v>4129</v>
      </c>
      <c r="F3402" s="10" t="s">
        <v>5692</v>
      </c>
      <c r="G3402" s="10" t="s">
        <v>37</v>
      </c>
      <c r="H3402" s="7" t="s">
        <v>24</v>
      </c>
      <c r="I3402" s="7" t="s">
        <v>25</v>
      </c>
      <c r="J3402" s="13" t="str">
        <f>HYPERLINK("https://www.airitibooks.com/Detail/Detail?PublicationID=P20161219004", "https://www.airitibooks.com/Detail/Detail?PublicationID=P20161219004")</f>
        <v>https://www.airitibooks.com/Detail/Detail?PublicationID=P20161219004</v>
      </c>
      <c r="K3402" s="13" t="str">
        <f>HYPERLINK("https://ntsu.idm.oclc.org/login?url=https://www.airitibooks.com/Detail/Detail?PublicationID=P20161219004", "https://ntsu.idm.oclc.org/login?url=https://www.airitibooks.com/Detail/Detail?PublicationID=P20161219004")</f>
        <v>https://ntsu.idm.oclc.org/login?url=https://www.airitibooks.com/Detail/Detail?PublicationID=P20161219004</v>
      </c>
    </row>
    <row r="3403" spans="1:11" ht="51" x14ac:dyDescent="0.4">
      <c r="A3403" s="10" t="s">
        <v>5696</v>
      </c>
      <c r="B3403" s="10" t="s">
        <v>5697</v>
      </c>
      <c r="C3403" s="10" t="s">
        <v>297</v>
      </c>
      <c r="D3403" s="10" t="s">
        <v>5146</v>
      </c>
      <c r="E3403" s="10" t="s">
        <v>4129</v>
      </c>
      <c r="F3403" s="10" t="s">
        <v>1605</v>
      </c>
      <c r="G3403" s="10" t="s">
        <v>37</v>
      </c>
      <c r="H3403" s="7" t="s">
        <v>24</v>
      </c>
      <c r="I3403" s="7" t="s">
        <v>25</v>
      </c>
      <c r="J3403" s="13" t="str">
        <f>HYPERLINK("https://www.airitibooks.com/Detail/Detail?PublicationID=P20161219010", "https://www.airitibooks.com/Detail/Detail?PublicationID=P20161219010")</f>
        <v>https://www.airitibooks.com/Detail/Detail?PublicationID=P20161219010</v>
      </c>
      <c r="K3403" s="13" t="str">
        <f>HYPERLINK("https://ntsu.idm.oclc.org/login?url=https://www.airitibooks.com/Detail/Detail?PublicationID=P20161219010", "https://ntsu.idm.oclc.org/login?url=https://www.airitibooks.com/Detail/Detail?PublicationID=P20161219010")</f>
        <v>https://ntsu.idm.oclc.org/login?url=https://www.airitibooks.com/Detail/Detail?PublicationID=P20161219010</v>
      </c>
    </row>
    <row r="3404" spans="1:11" ht="51" x14ac:dyDescent="0.4">
      <c r="A3404" s="10" t="s">
        <v>3889</v>
      </c>
      <c r="B3404" s="10" t="s">
        <v>5866</v>
      </c>
      <c r="C3404" s="10" t="s">
        <v>938</v>
      </c>
      <c r="D3404" s="10" t="s">
        <v>943</v>
      </c>
      <c r="E3404" s="10" t="s">
        <v>4129</v>
      </c>
      <c r="F3404" s="10" t="s">
        <v>940</v>
      </c>
      <c r="G3404" s="10" t="s">
        <v>37</v>
      </c>
      <c r="H3404" s="7" t="s">
        <v>24</v>
      </c>
      <c r="I3404" s="7" t="s">
        <v>25</v>
      </c>
      <c r="J3404" s="13" t="str">
        <f>HYPERLINK("https://www.airitibooks.com/Detail/Detail?PublicationID=P20170112042", "https://www.airitibooks.com/Detail/Detail?PublicationID=P20170112042")</f>
        <v>https://www.airitibooks.com/Detail/Detail?PublicationID=P20170112042</v>
      </c>
      <c r="K3404" s="13" t="str">
        <f>HYPERLINK("https://ntsu.idm.oclc.org/login?url=https://www.airitibooks.com/Detail/Detail?PublicationID=P20170112042", "https://ntsu.idm.oclc.org/login?url=https://www.airitibooks.com/Detail/Detail?PublicationID=P20170112042")</f>
        <v>https://ntsu.idm.oclc.org/login?url=https://www.airitibooks.com/Detail/Detail?PublicationID=P20170112042</v>
      </c>
    </row>
    <row r="3405" spans="1:11" ht="51" x14ac:dyDescent="0.4">
      <c r="A3405" s="10" t="s">
        <v>3268</v>
      </c>
      <c r="B3405" s="10" t="s">
        <v>5867</v>
      </c>
      <c r="C3405" s="10" t="s">
        <v>938</v>
      </c>
      <c r="D3405" s="10" t="s">
        <v>943</v>
      </c>
      <c r="E3405" s="10" t="s">
        <v>4129</v>
      </c>
      <c r="F3405" s="10" t="s">
        <v>940</v>
      </c>
      <c r="G3405" s="10" t="s">
        <v>37</v>
      </c>
      <c r="H3405" s="7" t="s">
        <v>24</v>
      </c>
      <c r="I3405" s="7" t="s">
        <v>25</v>
      </c>
      <c r="J3405" s="13" t="str">
        <f>HYPERLINK("https://www.airitibooks.com/Detail/Detail?PublicationID=P20170112044", "https://www.airitibooks.com/Detail/Detail?PublicationID=P20170112044")</f>
        <v>https://www.airitibooks.com/Detail/Detail?PublicationID=P20170112044</v>
      </c>
      <c r="K3405" s="13" t="str">
        <f>HYPERLINK("https://ntsu.idm.oclc.org/login?url=https://www.airitibooks.com/Detail/Detail?PublicationID=P20170112044", "https://ntsu.idm.oclc.org/login?url=https://www.airitibooks.com/Detail/Detail?PublicationID=P20170112044")</f>
        <v>https://ntsu.idm.oclc.org/login?url=https://www.airitibooks.com/Detail/Detail?PublicationID=P20170112044</v>
      </c>
    </row>
    <row r="3406" spans="1:11" ht="51" x14ac:dyDescent="0.4">
      <c r="A3406" s="10" t="s">
        <v>3894</v>
      </c>
      <c r="B3406" s="10" t="s">
        <v>5868</v>
      </c>
      <c r="C3406" s="10" t="s">
        <v>938</v>
      </c>
      <c r="D3406" s="10" t="s">
        <v>3896</v>
      </c>
      <c r="E3406" s="10" t="s">
        <v>4129</v>
      </c>
      <c r="F3406" s="10" t="s">
        <v>940</v>
      </c>
      <c r="G3406" s="10" t="s">
        <v>37</v>
      </c>
      <c r="H3406" s="7" t="s">
        <v>24</v>
      </c>
      <c r="I3406" s="7" t="s">
        <v>25</v>
      </c>
      <c r="J3406" s="13" t="str">
        <f>HYPERLINK("https://www.airitibooks.com/Detail/Detail?PublicationID=P20170112045", "https://www.airitibooks.com/Detail/Detail?PublicationID=P20170112045")</f>
        <v>https://www.airitibooks.com/Detail/Detail?PublicationID=P20170112045</v>
      </c>
      <c r="K3406" s="13" t="str">
        <f>HYPERLINK("https://ntsu.idm.oclc.org/login?url=https://www.airitibooks.com/Detail/Detail?PublicationID=P20170112045", "https://ntsu.idm.oclc.org/login?url=https://www.airitibooks.com/Detail/Detail?PublicationID=P20170112045")</f>
        <v>https://ntsu.idm.oclc.org/login?url=https://www.airitibooks.com/Detail/Detail?PublicationID=P20170112045</v>
      </c>
    </row>
    <row r="3407" spans="1:11" ht="51" x14ac:dyDescent="0.4">
      <c r="A3407" s="10" t="s">
        <v>5869</v>
      </c>
      <c r="B3407" s="10" t="s">
        <v>5870</v>
      </c>
      <c r="C3407" s="10" t="s">
        <v>938</v>
      </c>
      <c r="D3407" s="10" t="s">
        <v>5871</v>
      </c>
      <c r="E3407" s="10" t="s">
        <v>4129</v>
      </c>
      <c r="F3407" s="10" t="s">
        <v>940</v>
      </c>
      <c r="G3407" s="10" t="s">
        <v>37</v>
      </c>
      <c r="H3407" s="7" t="s">
        <v>24</v>
      </c>
      <c r="I3407" s="7" t="s">
        <v>25</v>
      </c>
      <c r="J3407" s="13" t="str">
        <f>HYPERLINK("https://www.airitibooks.com/Detail/Detail?PublicationID=P20170112046", "https://www.airitibooks.com/Detail/Detail?PublicationID=P20170112046")</f>
        <v>https://www.airitibooks.com/Detail/Detail?PublicationID=P20170112046</v>
      </c>
      <c r="K3407" s="13" t="str">
        <f>HYPERLINK("https://ntsu.idm.oclc.org/login?url=https://www.airitibooks.com/Detail/Detail?PublicationID=P20170112046", "https://ntsu.idm.oclc.org/login?url=https://www.airitibooks.com/Detail/Detail?PublicationID=P20170112046")</f>
        <v>https://ntsu.idm.oclc.org/login?url=https://www.airitibooks.com/Detail/Detail?PublicationID=P20170112046</v>
      </c>
    </row>
    <row r="3408" spans="1:11" ht="51" x14ac:dyDescent="0.4">
      <c r="A3408" s="10" t="s">
        <v>5872</v>
      </c>
      <c r="B3408" s="10" t="s">
        <v>5873</v>
      </c>
      <c r="C3408" s="10" t="s">
        <v>938</v>
      </c>
      <c r="D3408" s="10" t="s">
        <v>5871</v>
      </c>
      <c r="E3408" s="10" t="s">
        <v>4129</v>
      </c>
      <c r="F3408" s="10" t="s">
        <v>940</v>
      </c>
      <c r="G3408" s="10" t="s">
        <v>37</v>
      </c>
      <c r="H3408" s="7" t="s">
        <v>24</v>
      </c>
      <c r="I3408" s="7" t="s">
        <v>25</v>
      </c>
      <c r="J3408" s="13" t="str">
        <f>HYPERLINK("https://www.airitibooks.com/Detail/Detail?PublicationID=P20170112047", "https://www.airitibooks.com/Detail/Detail?PublicationID=P20170112047")</f>
        <v>https://www.airitibooks.com/Detail/Detail?PublicationID=P20170112047</v>
      </c>
      <c r="K3408" s="13" t="str">
        <f>HYPERLINK("https://ntsu.idm.oclc.org/login?url=https://www.airitibooks.com/Detail/Detail?PublicationID=P20170112047", "https://ntsu.idm.oclc.org/login?url=https://www.airitibooks.com/Detail/Detail?PublicationID=P20170112047")</f>
        <v>https://ntsu.idm.oclc.org/login?url=https://www.airitibooks.com/Detail/Detail?PublicationID=P20170112047</v>
      </c>
    </row>
    <row r="3409" spans="1:11" ht="51" x14ac:dyDescent="0.4">
      <c r="A3409" s="10" t="s">
        <v>5874</v>
      </c>
      <c r="B3409" s="10" t="s">
        <v>5875</v>
      </c>
      <c r="C3409" s="10" t="s">
        <v>938</v>
      </c>
      <c r="D3409" s="10" t="s">
        <v>5871</v>
      </c>
      <c r="E3409" s="10" t="s">
        <v>4129</v>
      </c>
      <c r="F3409" s="10" t="s">
        <v>940</v>
      </c>
      <c r="G3409" s="10" t="s">
        <v>37</v>
      </c>
      <c r="H3409" s="7" t="s">
        <v>24</v>
      </c>
      <c r="I3409" s="7" t="s">
        <v>25</v>
      </c>
      <c r="J3409" s="13" t="str">
        <f>HYPERLINK("https://www.airitibooks.com/Detail/Detail?PublicationID=P20170112048", "https://www.airitibooks.com/Detail/Detail?PublicationID=P20170112048")</f>
        <v>https://www.airitibooks.com/Detail/Detail?PublicationID=P20170112048</v>
      </c>
      <c r="K3409" s="13" t="str">
        <f>HYPERLINK("https://ntsu.idm.oclc.org/login?url=https://www.airitibooks.com/Detail/Detail?PublicationID=P20170112048", "https://ntsu.idm.oclc.org/login?url=https://www.airitibooks.com/Detail/Detail?PublicationID=P20170112048")</f>
        <v>https://ntsu.idm.oclc.org/login?url=https://www.airitibooks.com/Detail/Detail?PublicationID=P20170112048</v>
      </c>
    </row>
    <row r="3410" spans="1:11" ht="51" x14ac:dyDescent="0.4">
      <c r="A3410" s="10" t="s">
        <v>3272</v>
      </c>
      <c r="B3410" s="10" t="s">
        <v>5876</v>
      </c>
      <c r="C3410" s="10" t="s">
        <v>938</v>
      </c>
      <c r="D3410" s="10" t="s">
        <v>943</v>
      </c>
      <c r="E3410" s="10" t="s">
        <v>4129</v>
      </c>
      <c r="F3410" s="10" t="s">
        <v>940</v>
      </c>
      <c r="G3410" s="10" t="s">
        <v>37</v>
      </c>
      <c r="H3410" s="7" t="s">
        <v>24</v>
      </c>
      <c r="I3410" s="7" t="s">
        <v>25</v>
      </c>
      <c r="J3410" s="13" t="str">
        <f>HYPERLINK("https://www.airitibooks.com/Detail/Detail?PublicationID=P20170112049", "https://www.airitibooks.com/Detail/Detail?PublicationID=P20170112049")</f>
        <v>https://www.airitibooks.com/Detail/Detail?PublicationID=P20170112049</v>
      </c>
      <c r="K3410" s="13" t="str">
        <f>HYPERLINK("https://ntsu.idm.oclc.org/login?url=https://www.airitibooks.com/Detail/Detail?PublicationID=P20170112049", "https://ntsu.idm.oclc.org/login?url=https://www.airitibooks.com/Detail/Detail?PublicationID=P20170112049")</f>
        <v>https://ntsu.idm.oclc.org/login?url=https://www.airitibooks.com/Detail/Detail?PublicationID=P20170112049</v>
      </c>
    </row>
    <row r="3411" spans="1:11" ht="51" x14ac:dyDescent="0.4">
      <c r="A3411" s="10" t="s">
        <v>3897</v>
      </c>
      <c r="B3411" s="10" t="s">
        <v>5877</v>
      </c>
      <c r="C3411" s="10" t="s">
        <v>938</v>
      </c>
      <c r="D3411" s="10" t="s">
        <v>3896</v>
      </c>
      <c r="E3411" s="10" t="s">
        <v>4129</v>
      </c>
      <c r="F3411" s="10" t="s">
        <v>940</v>
      </c>
      <c r="G3411" s="10" t="s">
        <v>37</v>
      </c>
      <c r="H3411" s="7" t="s">
        <v>24</v>
      </c>
      <c r="I3411" s="7" t="s">
        <v>25</v>
      </c>
      <c r="J3411" s="13" t="str">
        <f>HYPERLINK("https://www.airitibooks.com/Detail/Detail?PublicationID=P20170112050", "https://www.airitibooks.com/Detail/Detail?PublicationID=P20170112050")</f>
        <v>https://www.airitibooks.com/Detail/Detail?PublicationID=P20170112050</v>
      </c>
      <c r="K3411" s="13" t="str">
        <f>HYPERLINK("https://ntsu.idm.oclc.org/login?url=https://www.airitibooks.com/Detail/Detail?PublicationID=P20170112050", "https://ntsu.idm.oclc.org/login?url=https://www.airitibooks.com/Detail/Detail?PublicationID=P20170112050")</f>
        <v>https://ntsu.idm.oclc.org/login?url=https://www.airitibooks.com/Detail/Detail?PublicationID=P20170112050</v>
      </c>
    </row>
    <row r="3412" spans="1:11" ht="51" x14ac:dyDescent="0.4">
      <c r="A3412" s="10" t="s">
        <v>6794</v>
      </c>
      <c r="B3412" s="10" t="s">
        <v>6795</v>
      </c>
      <c r="C3412" s="10" t="s">
        <v>6759</v>
      </c>
      <c r="D3412" s="10" t="s">
        <v>6796</v>
      </c>
      <c r="E3412" s="10" t="s">
        <v>4129</v>
      </c>
      <c r="F3412" s="10" t="s">
        <v>6797</v>
      </c>
      <c r="G3412" s="10" t="s">
        <v>37</v>
      </c>
      <c r="H3412" s="7" t="s">
        <v>24</v>
      </c>
      <c r="I3412" s="7" t="s">
        <v>25</v>
      </c>
      <c r="J3412" s="13" t="str">
        <f>HYPERLINK("https://www.airitibooks.com/Detail/Detail?PublicationID=P20170531078", "https://www.airitibooks.com/Detail/Detail?PublicationID=P20170531078")</f>
        <v>https://www.airitibooks.com/Detail/Detail?PublicationID=P20170531078</v>
      </c>
      <c r="K3412" s="13" t="str">
        <f>HYPERLINK("https://ntsu.idm.oclc.org/login?url=https://www.airitibooks.com/Detail/Detail?PublicationID=P20170531078", "https://ntsu.idm.oclc.org/login?url=https://www.airitibooks.com/Detail/Detail?PublicationID=P20170531078")</f>
        <v>https://ntsu.idm.oclc.org/login?url=https://www.airitibooks.com/Detail/Detail?PublicationID=P20170531078</v>
      </c>
    </row>
    <row r="3413" spans="1:11" ht="51" x14ac:dyDescent="0.4">
      <c r="A3413" s="10" t="s">
        <v>6798</v>
      </c>
      <c r="B3413" s="10" t="s">
        <v>6799</v>
      </c>
      <c r="C3413" s="10" t="s">
        <v>6759</v>
      </c>
      <c r="D3413" s="10" t="s">
        <v>6800</v>
      </c>
      <c r="E3413" s="10" t="s">
        <v>4129</v>
      </c>
      <c r="F3413" s="10" t="s">
        <v>6797</v>
      </c>
      <c r="G3413" s="10" t="s">
        <v>37</v>
      </c>
      <c r="H3413" s="7" t="s">
        <v>24</v>
      </c>
      <c r="I3413" s="7" t="s">
        <v>25</v>
      </c>
      <c r="J3413" s="13" t="str">
        <f>HYPERLINK("https://www.airitibooks.com/Detail/Detail?PublicationID=P20170531079", "https://www.airitibooks.com/Detail/Detail?PublicationID=P20170531079")</f>
        <v>https://www.airitibooks.com/Detail/Detail?PublicationID=P20170531079</v>
      </c>
      <c r="K3413" s="13" t="str">
        <f>HYPERLINK("https://ntsu.idm.oclc.org/login?url=https://www.airitibooks.com/Detail/Detail?PublicationID=P20170531079", "https://ntsu.idm.oclc.org/login?url=https://www.airitibooks.com/Detail/Detail?PublicationID=P20170531079")</f>
        <v>https://ntsu.idm.oclc.org/login?url=https://www.airitibooks.com/Detail/Detail?PublicationID=P20170531079</v>
      </c>
    </row>
    <row r="3414" spans="1:11" ht="51" x14ac:dyDescent="0.4">
      <c r="A3414" s="10" t="s">
        <v>6881</v>
      </c>
      <c r="B3414" s="10" t="s">
        <v>6882</v>
      </c>
      <c r="C3414" s="10" t="s">
        <v>1504</v>
      </c>
      <c r="D3414" s="10" t="s">
        <v>6883</v>
      </c>
      <c r="E3414" s="10" t="s">
        <v>4129</v>
      </c>
      <c r="F3414" s="10" t="s">
        <v>6884</v>
      </c>
      <c r="G3414" s="10" t="s">
        <v>37</v>
      </c>
      <c r="H3414" s="7" t="s">
        <v>24</v>
      </c>
      <c r="I3414" s="7" t="s">
        <v>25</v>
      </c>
      <c r="J3414" s="13" t="str">
        <f>HYPERLINK("https://www.airitibooks.com/Detail/Detail?PublicationID=P20170706041", "https://www.airitibooks.com/Detail/Detail?PublicationID=P20170706041")</f>
        <v>https://www.airitibooks.com/Detail/Detail?PublicationID=P20170706041</v>
      </c>
      <c r="K3414" s="13" t="str">
        <f>HYPERLINK("https://ntsu.idm.oclc.org/login?url=https://www.airitibooks.com/Detail/Detail?PublicationID=P20170706041", "https://ntsu.idm.oclc.org/login?url=https://www.airitibooks.com/Detail/Detail?PublicationID=P20170706041")</f>
        <v>https://ntsu.idm.oclc.org/login?url=https://www.airitibooks.com/Detail/Detail?PublicationID=P20170706041</v>
      </c>
    </row>
    <row r="3415" spans="1:11" ht="85" x14ac:dyDescent="0.4">
      <c r="A3415" s="10" t="s">
        <v>6887</v>
      </c>
      <c r="B3415" s="10" t="s">
        <v>6888</v>
      </c>
      <c r="C3415" s="10" t="s">
        <v>1504</v>
      </c>
      <c r="D3415" s="10" t="s">
        <v>6883</v>
      </c>
      <c r="E3415" s="10" t="s">
        <v>4129</v>
      </c>
      <c r="F3415" s="10" t="s">
        <v>6884</v>
      </c>
      <c r="G3415" s="10" t="s">
        <v>37</v>
      </c>
      <c r="H3415" s="7" t="s">
        <v>24</v>
      </c>
      <c r="I3415" s="7" t="s">
        <v>25</v>
      </c>
      <c r="J3415" s="13" t="str">
        <f>HYPERLINK("https://www.airitibooks.com/Detail/Detail?PublicationID=P20170706043", "https://www.airitibooks.com/Detail/Detail?PublicationID=P20170706043")</f>
        <v>https://www.airitibooks.com/Detail/Detail?PublicationID=P20170706043</v>
      </c>
      <c r="K3415" s="13" t="str">
        <f>HYPERLINK("https://ntsu.idm.oclc.org/login?url=https://www.airitibooks.com/Detail/Detail?PublicationID=P20170706043", "https://ntsu.idm.oclc.org/login?url=https://www.airitibooks.com/Detail/Detail?PublicationID=P20170706043")</f>
        <v>https://ntsu.idm.oclc.org/login?url=https://www.airitibooks.com/Detail/Detail?PublicationID=P20170706043</v>
      </c>
    </row>
    <row r="3416" spans="1:11" ht="51" x14ac:dyDescent="0.4">
      <c r="A3416" s="10" t="s">
        <v>7008</v>
      </c>
      <c r="B3416" s="10" t="s">
        <v>7009</v>
      </c>
      <c r="C3416" s="10" t="s">
        <v>6759</v>
      </c>
      <c r="D3416" s="10" t="s">
        <v>7010</v>
      </c>
      <c r="E3416" s="10" t="s">
        <v>4129</v>
      </c>
      <c r="F3416" s="10" t="s">
        <v>6797</v>
      </c>
      <c r="G3416" s="10" t="s">
        <v>37</v>
      </c>
      <c r="H3416" s="7" t="s">
        <v>24</v>
      </c>
      <c r="I3416" s="7" t="s">
        <v>25</v>
      </c>
      <c r="J3416" s="13" t="str">
        <f>HYPERLINK("https://www.airitibooks.com/Detail/Detail?PublicationID=P20170815056", "https://www.airitibooks.com/Detail/Detail?PublicationID=P20170815056")</f>
        <v>https://www.airitibooks.com/Detail/Detail?PublicationID=P20170815056</v>
      </c>
      <c r="K3416" s="13" t="str">
        <f>HYPERLINK("https://ntsu.idm.oclc.org/login?url=https://www.airitibooks.com/Detail/Detail?PublicationID=P20170815056", "https://ntsu.idm.oclc.org/login?url=https://www.airitibooks.com/Detail/Detail?PublicationID=P20170815056")</f>
        <v>https://ntsu.idm.oclc.org/login?url=https://www.airitibooks.com/Detail/Detail?PublicationID=P20170815056</v>
      </c>
    </row>
    <row r="3417" spans="1:11" ht="51" x14ac:dyDescent="0.4">
      <c r="A3417" s="10" t="s">
        <v>7011</v>
      </c>
      <c r="B3417" s="10" t="s">
        <v>7012</v>
      </c>
      <c r="C3417" s="10" t="s">
        <v>6759</v>
      </c>
      <c r="D3417" s="10" t="s">
        <v>7013</v>
      </c>
      <c r="E3417" s="10" t="s">
        <v>4129</v>
      </c>
      <c r="F3417" s="10" t="s">
        <v>6797</v>
      </c>
      <c r="G3417" s="10" t="s">
        <v>37</v>
      </c>
      <c r="H3417" s="7" t="s">
        <v>24</v>
      </c>
      <c r="I3417" s="7" t="s">
        <v>25</v>
      </c>
      <c r="J3417" s="13" t="str">
        <f>HYPERLINK("https://www.airitibooks.com/Detail/Detail?PublicationID=P20170815057", "https://www.airitibooks.com/Detail/Detail?PublicationID=P20170815057")</f>
        <v>https://www.airitibooks.com/Detail/Detail?PublicationID=P20170815057</v>
      </c>
      <c r="K3417" s="13" t="str">
        <f>HYPERLINK("https://ntsu.idm.oclc.org/login?url=https://www.airitibooks.com/Detail/Detail?PublicationID=P20170815057", "https://ntsu.idm.oclc.org/login?url=https://www.airitibooks.com/Detail/Detail?PublicationID=P20170815057")</f>
        <v>https://ntsu.idm.oclc.org/login?url=https://www.airitibooks.com/Detail/Detail?PublicationID=P20170815057</v>
      </c>
    </row>
    <row r="3418" spans="1:11" ht="51" x14ac:dyDescent="0.4">
      <c r="A3418" s="10" t="s">
        <v>7139</v>
      </c>
      <c r="B3418" s="10" t="s">
        <v>7140</v>
      </c>
      <c r="C3418" s="10" t="s">
        <v>3832</v>
      </c>
      <c r="D3418" s="10" t="s">
        <v>7141</v>
      </c>
      <c r="E3418" s="10" t="s">
        <v>4129</v>
      </c>
      <c r="F3418" s="10" t="s">
        <v>7116</v>
      </c>
      <c r="G3418" s="10" t="s">
        <v>37</v>
      </c>
      <c r="H3418" s="7" t="s">
        <v>24</v>
      </c>
      <c r="I3418" s="7" t="s">
        <v>25</v>
      </c>
      <c r="J3418" s="13" t="str">
        <f>HYPERLINK("https://www.airitibooks.com/Detail/Detail?PublicationID=P20170929109", "https://www.airitibooks.com/Detail/Detail?PublicationID=P20170929109")</f>
        <v>https://www.airitibooks.com/Detail/Detail?PublicationID=P20170929109</v>
      </c>
      <c r="K3418" s="13" t="str">
        <f>HYPERLINK("https://ntsu.idm.oclc.org/login?url=https://www.airitibooks.com/Detail/Detail?PublicationID=P20170929109", "https://ntsu.idm.oclc.org/login?url=https://www.airitibooks.com/Detail/Detail?PublicationID=P20170929109")</f>
        <v>https://ntsu.idm.oclc.org/login?url=https://www.airitibooks.com/Detail/Detail?PublicationID=P20170929109</v>
      </c>
    </row>
    <row r="3419" spans="1:11" ht="51" x14ac:dyDescent="0.4">
      <c r="A3419" s="10" t="s">
        <v>9302</v>
      </c>
      <c r="B3419" s="10" t="s">
        <v>9303</v>
      </c>
      <c r="C3419" s="10" t="s">
        <v>661</v>
      </c>
      <c r="D3419" s="10" t="s">
        <v>9304</v>
      </c>
      <c r="E3419" s="10" t="s">
        <v>4129</v>
      </c>
      <c r="F3419" s="10" t="s">
        <v>9305</v>
      </c>
      <c r="G3419" s="10" t="s">
        <v>37</v>
      </c>
      <c r="H3419" s="7" t="s">
        <v>24</v>
      </c>
      <c r="I3419" s="7" t="s">
        <v>25</v>
      </c>
      <c r="J3419" s="13" t="str">
        <f>HYPERLINK("https://www.airitibooks.com/Detail/Detail?PublicationID=P20180528007", "https://www.airitibooks.com/Detail/Detail?PublicationID=P20180528007")</f>
        <v>https://www.airitibooks.com/Detail/Detail?PublicationID=P20180528007</v>
      </c>
      <c r="K3419" s="13" t="str">
        <f>HYPERLINK("https://ntsu.idm.oclc.org/login?url=https://www.airitibooks.com/Detail/Detail?PublicationID=P20180528007", "https://ntsu.idm.oclc.org/login?url=https://www.airitibooks.com/Detail/Detail?PublicationID=P20180528007")</f>
        <v>https://ntsu.idm.oclc.org/login?url=https://www.airitibooks.com/Detail/Detail?PublicationID=P20180528007</v>
      </c>
    </row>
    <row r="3420" spans="1:11" ht="51" x14ac:dyDescent="0.4">
      <c r="A3420" s="10" t="s">
        <v>9323</v>
      </c>
      <c r="B3420" s="10" t="s">
        <v>9324</v>
      </c>
      <c r="C3420" s="10" t="s">
        <v>9325</v>
      </c>
      <c r="D3420" s="10" t="s">
        <v>9326</v>
      </c>
      <c r="E3420" s="10" t="s">
        <v>4129</v>
      </c>
      <c r="F3420" s="10" t="s">
        <v>9327</v>
      </c>
      <c r="G3420" s="10" t="s">
        <v>37</v>
      </c>
      <c r="H3420" s="7" t="s">
        <v>24</v>
      </c>
      <c r="I3420" s="7" t="s">
        <v>25</v>
      </c>
      <c r="J3420" s="13" t="str">
        <f>HYPERLINK("https://www.airitibooks.com/Detail/Detail?PublicationID=P20180529037", "https://www.airitibooks.com/Detail/Detail?PublicationID=P20180529037")</f>
        <v>https://www.airitibooks.com/Detail/Detail?PublicationID=P20180529037</v>
      </c>
      <c r="K3420" s="13" t="str">
        <f>HYPERLINK("https://ntsu.idm.oclc.org/login?url=https://www.airitibooks.com/Detail/Detail?PublicationID=P20180529037", "https://ntsu.idm.oclc.org/login?url=https://www.airitibooks.com/Detail/Detail?PublicationID=P20180529037")</f>
        <v>https://ntsu.idm.oclc.org/login?url=https://www.airitibooks.com/Detail/Detail?PublicationID=P20180529037</v>
      </c>
    </row>
    <row r="3421" spans="1:11" ht="51" x14ac:dyDescent="0.4">
      <c r="A3421" s="10" t="s">
        <v>9625</v>
      </c>
      <c r="B3421" s="10" t="s">
        <v>9626</v>
      </c>
      <c r="C3421" s="10" t="s">
        <v>9627</v>
      </c>
      <c r="D3421" s="10" t="s">
        <v>9628</v>
      </c>
      <c r="E3421" s="10" t="s">
        <v>4129</v>
      </c>
      <c r="F3421" s="10" t="s">
        <v>3449</v>
      </c>
      <c r="G3421" s="10" t="s">
        <v>37</v>
      </c>
      <c r="H3421" s="7" t="s">
        <v>24</v>
      </c>
      <c r="I3421" s="7" t="s">
        <v>25</v>
      </c>
      <c r="J3421" s="13" t="str">
        <f>HYPERLINK("https://www.airitibooks.com/Detail/Detail?PublicationID=P20180809095", "https://www.airitibooks.com/Detail/Detail?PublicationID=P20180809095")</f>
        <v>https://www.airitibooks.com/Detail/Detail?PublicationID=P20180809095</v>
      </c>
      <c r="K3421" s="13" t="str">
        <f>HYPERLINK("https://ntsu.idm.oclc.org/login?url=https://www.airitibooks.com/Detail/Detail?PublicationID=P20180809095", "https://ntsu.idm.oclc.org/login?url=https://www.airitibooks.com/Detail/Detail?PublicationID=P20180809095")</f>
        <v>https://ntsu.idm.oclc.org/login?url=https://www.airitibooks.com/Detail/Detail?PublicationID=P20180809095</v>
      </c>
    </row>
    <row r="3422" spans="1:11" ht="51" x14ac:dyDescent="0.4">
      <c r="A3422" s="10" t="s">
        <v>10024</v>
      </c>
      <c r="B3422" s="10" t="s">
        <v>10025</v>
      </c>
      <c r="C3422" s="10" t="s">
        <v>9828</v>
      </c>
      <c r="D3422" s="10" t="s">
        <v>10026</v>
      </c>
      <c r="E3422" s="10" t="s">
        <v>4129</v>
      </c>
      <c r="F3422" s="10" t="s">
        <v>4739</v>
      </c>
      <c r="G3422" s="10" t="s">
        <v>37</v>
      </c>
      <c r="H3422" s="7" t="s">
        <v>1031</v>
      </c>
      <c r="I3422" s="7" t="s">
        <v>25</v>
      </c>
      <c r="J3422" s="13" t="str">
        <f>HYPERLINK("https://www.airitibooks.com/Detail/Detail?PublicationID=P20181114029", "https://www.airitibooks.com/Detail/Detail?PublicationID=P20181114029")</f>
        <v>https://www.airitibooks.com/Detail/Detail?PublicationID=P20181114029</v>
      </c>
      <c r="K3422" s="13" t="str">
        <f>HYPERLINK("https://ntsu.idm.oclc.org/login?url=https://www.airitibooks.com/Detail/Detail?PublicationID=P20181114029", "https://ntsu.idm.oclc.org/login?url=https://www.airitibooks.com/Detail/Detail?PublicationID=P20181114029")</f>
        <v>https://ntsu.idm.oclc.org/login?url=https://www.airitibooks.com/Detail/Detail?PublicationID=P20181114029</v>
      </c>
    </row>
    <row r="3423" spans="1:11" ht="51" x14ac:dyDescent="0.4">
      <c r="A3423" s="10" t="s">
        <v>10027</v>
      </c>
      <c r="B3423" s="10" t="s">
        <v>10028</v>
      </c>
      <c r="C3423" s="10" t="s">
        <v>9828</v>
      </c>
      <c r="D3423" s="10" t="s">
        <v>10029</v>
      </c>
      <c r="E3423" s="10" t="s">
        <v>4129</v>
      </c>
      <c r="F3423" s="10" t="s">
        <v>4739</v>
      </c>
      <c r="G3423" s="10" t="s">
        <v>37</v>
      </c>
      <c r="H3423" s="7" t="s">
        <v>1031</v>
      </c>
      <c r="I3423" s="7" t="s">
        <v>25</v>
      </c>
      <c r="J3423" s="13" t="str">
        <f>HYPERLINK("https://www.airitibooks.com/Detail/Detail?PublicationID=P20181114031", "https://www.airitibooks.com/Detail/Detail?PublicationID=P20181114031")</f>
        <v>https://www.airitibooks.com/Detail/Detail?PublicationID=P20181114031</v>
      </c>
      <c r="K3423" s="13" t="str">
        <f>HYPERLINK("https://ntsu.idm.oclc.org/login?url=https://www.airitibooks.com/Detail/Detail?PublicationID=P20181114031", "https://ntsu.idm.oclc.org/login?url=https://www.airitibooks.com/Detail/Detail?PublicationID=P20181114031")</f>
        <v>https://ntsu.idm.oclc.org/login?url=https://www.airitibooks.com/Detail/Detail?PublicationID=P20181114031</v>
      </c>
    </row>
    <row r="3424" spans="1:11" ht="51" x14ac:dyDescent="0.4">
      <c r="A3424" s="10" t="s">
        <v>10030</v>
      </c>
      <c r="B3424" s="10" t="s">
        <v>10031</v>
      </c>
      <c r="C3424" s="10" t="s">
        <v>9828</v>
      </c>
      <c r="D3424" s="10" t="s">
        <v>10032</v>
      </c>
      <c r="E3424" s="10" t="s">
        <v>4129</v>
      </c>
      <c r="F3424" s="10" t="s">
        <v>4739</v>
      </c>
      <c r="G3424" s="10" t="s">
        <v>37</v>
      </c>
      <c r="H3424" s="7" t="s">
        <v>1031</v>
      </c>
      <c r="I3424" s="7" t="s">
        <v>25</v>
      </c>
      <c r="J3424" s="13" t="str">
        <f>HYPERLINK("https://www.airitibooks.com/Detail/Detail?PublicationID=P20181114033", "https://www.airitibooks.com/Detail/Detail?PublicationID=P20181114033")</f>
        <v>https://www.airitibooks.com/Detail/Detail?PublicationID=P20181114033</v>
      </c>
      <c r="K3424" s="13" t="str">
        <f>HYPERLINK("https://ntsu.idm.oclc.org/login?url=https://www.airitibooks.com/Detail/Detail?PublicationID=P20181114033", "https://ntsu.idm.oclc.org/login?url=https://www.airitibooks.com/Detail/Detail?PublicationID=P20181114033")</f>
        <v>https://ntsu.idm.oclc.org/login?url=https://www.airitibooks.com/Detail/Detail?PublicationID=P20181114033</v>
      </c>
    </row>
    <row r="3425" spans="1:11" ht="51" x14ac:dyDescent="0.4">
      <c r="A3425" s="10" t="s">
        <v>10033</v>
      </c>
      <c r="B3425" s="10" t="s">
        <v>10034</v>
      </c>
      <c r="C3425" s="10" t="s">
        <v>9828</v>
      </c>
      <c r="D3425" s="10" t="s">
        <v>10035</v>
      </c>
      <c r="E3425" s="10" t="s">
        <v>4129</v>
      </c>
      <c r="F3425" s="10" t="s">
        <v>4739</v>
      </c>
      <c r="G3425" s="10" t="s">
        <v>37</v>
      </c>
      <c r="H3425" s="7" t="s">
        <v>1031</v>
      </c>
      <c r="I3425" s="7" t="s">
        <v>25</v>
      </c>
      <c r="J3425" s="13" t="str">
        <f>HYPERLINK("https://www.airitibooks.com/Detail/Detail?PublicationID=P20181114034", "https://www.airitibooks.com/Detail/Detail?PublicationID=P20181114034")</f>
        <v>https://www.airitibooks.com/Detail/Detail?PublicationID=P20181114034</v>
      </c>
      <c r="K3425" s="13" t="str">
        <f>HYPERLINK("https://ntsu.idm.oclc.org/login?url=https://www.airitibooks.com/Detail/Detail?PublicationID=P20181114034", "https://ntsu.idm.oclc.org/login?url=https://www.airitibooks.com/Detail/Detail?PublicationID=P20181114034")</f>
        <v>https://ntsu.idm.oclc.org/login?url=https://www.airitibooks.com/Detail/Detail?PublicationID=P20181114034</v>
      </c>
    </row>
    <row r="3426" spans="1:11" ht="51" x14ac:dyDescent="0.4">
      <c r="A3426" s="10" t="s">
        <v>10036</v>
      </c>
      <c r="B3426" s="10" t="s">
        <v>10037</v>
      </c>
      <c r="C3426" s="10" t="s">
        <v>9828</v>
      </c>
      <c r="D3426" s="10" t="s">
        <v>10038</v>
      </c>
      <c r="E3426" s="10" t="s">
        <v>4129</v>
      </c>
      <c r="F3426" s="10" t="s">
        <v>4739</v>
      </c>
      <c r="G3426" s="10" t="s">
        <v>37</v>
      </c>
      <c r="H3426" s="7" t="s">
        <v>1031</v>
      </c>
      <c r="I3426" s="7" t="s">
        <v>25</v>
      </c>
      <c r="J3426" s="13" t="str">
        <f>HYPERLINK("https://www.airitibooks.com/Detail/Detail?PublicationID=P20181114035", "https://www.airitibooks.com/Detail/Detail?PublicationID=P20181114035")</f>
        <v>https://www.airitibooks.com/Detail/Detail?PublicationID=P20181114035</v>
      </c>
      <c r="K3426" s="13" t="str">
        <f>HYPERLINK("https://ntsu.idm.oclc.org/login?url=https://www.airitibooks.com/Detail/Detail?PublicationID=P20181114035", "https://ntsu.idm.oclc.org/login?url=https://www.airitibooks.com/Detail/Detail?PublicationID=P20181114035")</f>
        <v>https://ntsu.idm.oclc.org/login?url=https://www.airitibooks.com/Detail/Detail?PublicationID=P20181114035</v>
      </c>
    </row>
    <row r="3427" spans="1:11" ht="51" x14ac:dyDescent="0.4">
      <c r="A3427" s="10" t="s">
        <v>10039</v>
      </c>
      <c r="B3427" s="10" t="s">
        <v>10040</v>
      </c>
      <c r="C3427" s="10" t="s">
        <v>9828</v>
      </c>
      <c r="D3427" s="10" t="s">
        <v>10041</v>
      </c>
      <c r="E3427" s="10" t="s">
        <v>4129</v>
      </c>
      <c r="F3427" s="10" t="s">
        <v>4739</v>
      </c>
      <c r="G3427" s="10" t="s">
        <v>37</v>
      </c>
      <c r="H3427" s="7" t="s">
        <v>1031</v>
      </c>
      <c r="I3427" s="7" t="s">
        <v>25</v>
      </c>
      <c r="J3427" s="13" t="str">
        <f>HYPERLINK("https://www.airitibooks.com/Detail/Detail?PublicationID=P20181114036", "https://www.airitibooks.com/Detail/Detail?PublicationID=P20181114036")</f>
        <v>https://www.airitibooks.com/Detail/Detail?PublicationID=P20181114036</v>
      </c>
      <c r="K3427" s="13" t="str">
        <f>HYPERLINK("https://ntsu.idm.oclc.org/login?url=https://www.airitibooks.com/Detail/Detail?PublicationID=P20181114036", "https://ntsu.idm.oclc.org/login?url=https://www.airitibooks.com/Detail/Detail?PublicationID=P20181114036")</f>
        <v>https://ntsu.idm.oclc.org/login?url=https://www.airitibooks.com/Detail/Detail?PublicationID=P20181114036</v>
      </c>
    </row>
    <row r="3428" spans="1:11" ht="51" x14ac:dyDescent="0.4">
      <c r="A3428" s="10" t="s">
        <v>10042</v>
      </c>
      <c r="B3428" s="10" t="s">
        <v>10043</v>
      </c>
      <c r="C3428" s="10" t="s">
        <v>9828</v>
      </c>
      <c r="D3428" s="10" t="s">
        <v>10044</v>
      </c>
      <c r="E3428" s="10" t="s">
        <v>4129</v>
      </c>
      <c r="F3428" s="10" t="s">
        <v>4739</v>
      </c>
      <c r="G3428" s="10" t="s">
        <v>37</v>
      </c>
      <c r="H3428" s="7" t="s">
        <v>1031</v>
      </c>
      <c r="I3428" s="7" t="s">
        <v>25</v>
      </c>
      <c r="J3428" s="13" t="str">
        <f>HYPERLINK("https://www.airitibooks.com/Detail/Detail?PublicationID=P20181114037", "https://www.airitibooks.com/Detail/Detail?PublicationID=P20181114037")</f>
        <v>https://www.airitibooks.com/Detail/Detail?PublicationID=P20181114037</v>
      </c>
      <c r="K3428" s="13" t="str">
        <f>HYPERLINK("https://ntsu.idm.oclc.org/login?url=https://www.airitibooks.com/Detail/Detail?PublicationID=P20181114037", "https://ntsu.idm.oclc.org/login?url=https://www.airitibooks.com/Detail/Detail?PublicationID=P20181114037")</f>
        <v>https://ntsu.idm.oclc.org/login?url=https://www.airitibooks.com/Detail/Detail?PublicationID=P20181114037</v>
      </c>
    </row>
    <row r="3429" spans="1:11" ht="51" x14ac:dyDescent="0.4">
      <c r="A3429" s="10" t="s">
        <v>10045</v>
      </c>
      <c r="B3429" s="10" t="s">
        <v>10046</v>
      </c>
      <c r="C3429" s="10" t="s">
        <v>9828</v>
      </c>
      <c r="D3429" s="10" t="s">
        <v>10047</v>
      </c>
      <c r="E3429" s="10" t="s">
        <v>4129</v>
      </c>
      <c r="F3429" s="10" t="s">
        <v>4739</v>
      </c>
      <c r="G3429" s="10" t="s">
        <v>37</v>
      </c>
      <c r="H3429" s="7" t="s">
        <v>1031</v>
      </c>
      <c r="I3429" s="7" t="s">
        <v>25</v>
      </c>
      <c r="J3429" s="13" t="str">
        <f>HYPERLINK("https://www.airitibooks.com/Detail/Detail?PublicationID=P20181114038", "https://www.airitibooks.com/Detail/Detail?PublicationID=P20181114038")</f>
        <v>https://www.airitibooks.com/Detail/Detail?PublicationID=P20181114038</v>
      </c>
      <c r="K3429" s="13" t="str">
        <f>HYPERLINK("https://ntsu.idm.oclc.org/login?url=https://www.airitibooks.com/Detail/Detail?PublicationID=P20181114038", "https://ntsu.idm.oclc.org/login?url=https://www.airitibooks.com/Detail/Detail?PublicationID=P20181114038")</f>
        <v>https://ntsu.idm.oclc.org/login?url=https://www.airitibooks.com/Detail/Detail?PublicationID=P20181114038</v>
      </c>
    </row>
    <row r="3430" spans="1:11" ht="51" x14ac:dyDescent="0.4">
      <c r="A3430" s="10" t="s">
        <v>10048</v>
      </c>
      <c r="B3430" s="10" t="s">
        <v>10049</v>
      </c>
      <c r="C3430" s="10" t="s">
        <v>9828</v>
      </c>
      <c r="D3430" s="10" t="s">
        <v>10050</v>
      </c>
      <c r="E3430" s="10" t="s">
        <v>4129</v>
      </c>
      <c r="F3430" s="10" t="s">
        <v>4739</v>
      </c>
      <c r="G3430" s="10" t="s">
        <v>37</v>
      </c>
      <c r="H3430" s="7" t="s">
        <v>1031</v>
      </c>
      <c r="I3430" s="7" t="s">
        <v>25</v>
      </c>
      <c r="J3430" s="13" t="str">
        <f>HYPERLINK("https://www.airitibooks.com/Detail/Detail?PublicationID=P20181114040", "https://www.airitibooks.com/Detail/Detail?PublicationID=P20181114040")</f>
        <v>https://www.airitibooks.com/Detail/Detail?PublicationID=P20181114040</v>
      </c>
      <c r="K3430" s="13" t="str">
        <f>HYPERLINK("https://ntsu.idm.oclc.org/login?url=https://www.airitibooks.com/Detail/Detail?PublicationID=P20181114040", "https://ntsu.idm.oclc.org/login?url=https://www.airitibooks.com/Detail/Detail?PublicationID=P20181114040")</f>
        <v>https://ntsu.idm.oclc.org/login?url=https://www.airitibooks.com/Detail/Detail?PublicationID=P20181114040</v>
      </c>
    </row>
    <row r="3431" spans="1:11" ht="51" x14ac:dyDescent="0.4">
      <c r="A3431" s="10" t="s">
        <v>11879</v>
      </c>
      <c r="B3431" s="10" t="s">
        <v>11880</v>
      </c>
      <c r="C3431" s="10" t="s">
        <v>9828</v>
      </c>
      <c r="D3431" s="10" t="s">
        <v>11881</v>
      </c>
      <c r="E3431" s="10" t="s">
        <v>4129</v>
      </c>
      <c r="F3431" s="10" t="s">
        <v>10014</v>
      </c>
      <c r="G3431" s="10" t="s">
        <v>37</v>
      </c>
      <c r="H3431" s="7" t="s">
        <v>1031</v>
      </c>
      <c r="I3431" s="7" t="s">
        <v>25</v>
      </c>
      <c r="J3431" s="13" t="str">
        <f>HYPERLINK("https://www.airitibooks.com/Detail/Detail?PublicationID=P20190620352", "https://www.airitibooks.com/Detail/Detail?PublicationID=P20190620352")</f>
        <v>https://www.airitibooks.com/Detail/Detail?PublicationID=P20190620352</v>
      </c>
      <c r="K3431" s="13" t="str">
        <f>HYPERLINK("https://ntsu.idm.oclc.org/login?url=https://www.airitibooks.com/Detail/Detail?PublicationID=P20190620352", "https://ntsu.idm.oclc.org/login?url=https://www.airitibooks.com/Detail/Detail?PublicationID=P20190620352")</f>
        <v>https://ntsu.idm.oclc.org/login?url=https://www.airitibooks.com/Detail/Detail?PublicationID=P20190620352</v>
      </c>
    </row>
    <row r="3432" spans="1:11" ht="51" x14ac:dyDescent="0.4">
      <c r="A3432" s="10" t="s">
        <v>13221</v>
      </c>
      <c r="B3432" s="10" t="s">
        <v>13222</v>
      </c>
      <c r="C3432" s="10" t="s">
        <v>13223</v>
      </c>
      <c r="D3432" s="10" t="s">
        <v>13224</v>
      </c>
      <c r="E3432" s="10" t="s">
        <v>4129</v>
      </c>
      <c r="F3432" s="10" t="s">
        <v>7845</v>
      </c>
      <c r="G3432" s="10" t="s">
        <v>37</v>
      </c>
      <c r="H3432" s="7" t="s">
        <v>1031</v>
      </c>
      <c r="I3432" s="7" t="s">
        <v>25</v>
      </c>
      <c r="J3432" s="13" t="str">
        <f>HYPERLINK("https://www.airitibooks.com/Detail/Detail?PublicationID=P20200103043", "https://www.airitibooks.com/Detail/Detail?PublicationID=P20200103043")</f>
        <v>https://www.airitibooks.com/Detail/Detail?PublicationID=P20200103043</v>
      </c>
      <c r="K3432" s="13" t="str">
        <f>HYPERLINK("https://ntsu.idm.oclc.org/login?url=https://www.airitibooks.com/Detail/Detail?PublicationID=P20200103043", "https://ntsu.idm.oclc.org/login?url=https://www.airitibooks.com/Detail/Detail?PublicationID=P20200103043")</f>
        <v>https://ntsu.idm.oclc.org/login?url=https://www.airitibooks.com/Detail/Detail?PublicationID=P20200103043</v>
      </c>
    </row>
    <row r="3433" spans="1:11" ht="51" x14ac:dyDescent="0.4">
      <c r="A3433" s="10" t="s">
        <v>13615</v>
      </c>
      <c r="B3433" s="10" t="s">
        <v>13616</v>
      </c>
      <c r="C3433" s="10" t="s">
        <v>13223</v>
      </c>
      <c r="D3433" s="10" t="s">
        <v>13617</v>
      </c>
      <c r="E3433" s="10" t="s">
        <v>4129</v>
      </c>
      <c r="F3433" s="10" t="s">
        <v>6437</v>
      </c>
      <c r="G3433" s="10" t="s">
        <v>37</v>
      </c>
      <c r="H3433" s="7" t="s">
        <v>1031</v>
      </c>
      <c r="I3433" s="7" t="s">
        <v>25</v>
      </c>
      <c r="J3433" s="13" t="str">
        <f>HYPERLINK("https://www.airitibooks.com/Detail/Detail?PublicationID=P20200307139", "https://www.airitibooks.com/Detail/Detail?PublicationID=P20200307139")</f>
        <v>https://www.airitibooks.com/Detail/Detail?PublicationID=P20200307139</v>
      </c>
      <c r="K3433" s="13" t="str">
        <f>HYPERLINK("https://ntsu.idm.oclc.org/login?url=https://www.airitibooks.com/Detail/Detail?PublicationID=P20200307139", "https://ntsu.idm.oclc.org/login?url=https://www.airitibooks.com/Detail/Detail?PublicationID=P20200307139")</f>
        <v>https://ntsu.idm.oclc.org/login?url=https://www.airitibooks.com/Detail/Detail?PublicationID=P20200307139</v>
      </c>
    </row>
    <row r="3434" spans="1:11" ht="51" x14ac:dyDescent="0.4">
      <c r="A3434" s="10" t="s">
        <v>14035</v>
      </c>
      <c r="B3434" s="10" t="s">
        <v>14036</v>
      </c>
      <c r="C3434" s="10" t="s">
        <v>3705</v>
      </c>
      <c r="D3434" s="10" t="s">
        <v>14037</v>
      </c>
      <c r="E3434" s="10" t="s">
        <v>4129</v>
      </c>
      <c r="F3434" s="10" t="s">
        <v>14038</v>
      </c>
      <c r="G3434" s="10" t="s">
        <v>37</v>
      </c>
      <c r="H3434" s="7" t="s">
        <v>24</v>
      </c>
      <c r="I3434" s="7" t="s">
        <v>25</v>
      </c>
      <c r="J3434" s="13" t="str">
        <f>HYPERLINK("https://www.airitibooks.com/Detail/Detail?PublicationID=P20200430229", "https://www.airitibooks.com/Detail/Detail?PublicationID=P20200430229")</f>
        <v>https://www.airitibooks.com/Detail/Detail?PublicationID=P20200430229</v>
      </c>
      <c r="K3434" s="13" t="str">
        <f>HYPERLINK("https://ntsu.idm.oclc.org/login?url=https://www.airitibooks.com/Detail/Detail?PublicationID=P20200430229", "https://ntsu.idm.oclc.org/login?url=https://www.airitibooks.com/Detail/Detail?PublicationID=P20200430229")</f>
        <v>https://ntsu.idm.oclc.org/login?url=https://www.airitibooks.com/Detail/Detail?PublicationID=P20200430229</v>
      </c>
    </row>
    <row r="3435" spans="1:11" ht="51" x14ac:dyDescent="0.4">
      <c r="A3435" s="10" t="s">
        <v>14116</v>
      </c>
      <c r="B3435" s="10" t="s">
        <v>14117</v>
      </c>
      <c r="C3435" s="10" t="s">
        <v>14114</v>
      </c>
      <c r="D3435" s="10" t="s">
        <v>14118</v>
      </c>
      <c r="E3435" s="10" t="s">
        <v>4129</v>
      </c>
      <c r="F3435" s="10" t="s">
        <v>14119</v>
      </c>
      <c r="G3435" s="10" t="s">
        <v>37</v>
      </c>
      <c r="H3435" s="7" t="s">
        <v>1031</v>
      </c>
      <c r="I3435" s="7" t="s">
        <v>25</v>
      </c>
      <c r="J3435" s="13" t="str">
        <f>HYPERLINK("https://www.airitibooks.com/Detail/Detail?PublicationID=P20200514244", "https://www.airitibooks.com/Detail/Detail?PublicationID=P20200514244")</f>
        <v>https://www.airitibooks.com/Detail/Detail?PublicationID=P20200514244</v>
      </c>
      <c r="K3435" s="13" t="str">
        <f>HYPERLINK("https://ntsu.idm.oclc.org/login?url=https://www.airitibooks.com/Detail/Detail?PublicationID=P20200514244", "https://ntsu.idm.oclc.org/login?url=https://www.airitibooks.com/Detail/Detail?PublicationID=P20200514244")</f>
        <v>https://ntsu.idm.oclc.org/login?url=https://www.airitibooks.com/Detail/Detail?PublicationID=P20200514244</v>
      </c>
    </row>
    <row r="3436" spans="1:11" ht="51" x14ac:dyDescent="0.4">
      <c r="A3436" s="10" t="s">
        <v>14414</v>
      </c>
      <c r="B3436" s="10" t="s">
        <v>14415</v>
      </c>
      <c r="C3436" s="10" t="s">
        <v>11292</v>
      </c>
      <c r="D3436" s="10" t="s">
        <v>14416</v>
      </c>
      <c r="E3436" s="10" t="s">
        <v>4129</v>
      </c>
      <c r="F3436" s="10" t="s">
        <v>7845</v>
      </c>
      <c r="G3436" s="10" t="s">
        <v>37</v>
      </c>
      <c r="H3436" s="7" t="s">
        <v>24</v>
      </c>
      <c r="I3436" s="7" t="s">
        <v>25</v>
      </c>
      <c r="J3436" s="13" t="str">
        <f>HYPERLINK("https://www.airitibooks.com/Detail/Detail?PublicationID=P20200703072", "https://www.airitibooks.com/Detail/Detail?PublicationID=P20200703072")</f>
        <v>https://www.airitibooks.com/Detail/Detail?PublicationID=P20200703072</v>
      </c>
      <c r="K3436" s="13" t="str">
        <f>HYPERLINK("https://ntsu.idm.oclc.org/login?url=https://www.airitibooks.com/Detail/Detail?PublicationID=P20200703072", "https://ntsu.idm.oclc.org/login?url=https://www.airitibooks.com/Detail/Detail?PublicationID=P20200703072")</f>
        <v>https://ntsu.idm.oclc.org/login?url=https://www.airitibooks.com/Detail/Detail?PublicationID=P20200703072</v>
      </c>
    </row>
    <row r="3437" spans="1:11" ht="51" x14ac:dyDescent="0.4">
      <c r="A3437" s="10" t="s">
        <v>2253</v>
      </c>
      <c r="B3437" s="10" t="s">
        <v>2254</v>
      </c>
      <c r="C3437" s="10" t="s">
        <v>1504</v>
      </c>
      <c r="D3437" s="10" t="s">
        <v>2255</v>
      </c>
      <c r="E3437" s="10" t="s">
        <v>30</v>
      </c>
      <c r="F3437" s="10" t="s">
        <v>2256</v>
      </c>
      <c r="G3437" s="10" t="s">
        <v>237</v>
      </c>
      <c r="H3437" s="7" t="s">
        <v>24</v>
      </c>
      <c r="I3437" s="7" t="s">
        <v>25</v>
      </c>
      <c r="J3437" s="13" t="str">
        <f>HYPERLINK("https://www.airitibooks.com/Detail/Detail?PublicationID=P20150318074", "https://www.airitibooks.com/Detail/Detail?PublicationID=P20150318074")</f>
        <v>https://www.airitibooks.com/Detail/Detail?PublicationID=P20150318074</v>
      </c>
      <c r="K3437" s="13" t="str">
        <f>HYPERLINK("https://ntsu.idm.oclc.org/login?url=https://www.airitibooks.com/Detail/Detail?PublicationID=P20150318074", "https://ntsu.idm.oclc.org/login?url=https://www.airitibooks.com/Detail/Detail?PublicationID=P20150318074")</f>
        <v>https://ntsu.idm.oclc.org/login?url=https://www.airitibooks.com/Detail/Detail?PublicationID=P20150318074</v>
      </c>
    </row>
    <row r="3438" spans="1:11" ht="51" x14ac:dyDescent="0.4">
      <c r="A3438" s="10" t="s">
        <v>2564</v>
      </c>
      <c r="B3438" s="10" t="s">
        <v>2565</v>
      </c>
      <c r="C3438" s="10" t="s">
        <v>613</v>
      </c>
      <c r="D3438" s="10" t="s">
        <v>2499</v>
      </c>
      <c r="E3438" s="10" t="s">
        <v>30</v>
      </c>
      <c r="F3438" s="10" t="s">
        <v>2566</v>
      </c>
      <c r="G3438" s="10" t="s">
        <v>237</v>
      </c>
      <c r="H3438" s="7" t="s">
        <v>24</v>
      </c>
      <c r="I3438" s="7" t="s">
        <v>25</v>
      </c>
      <c r="J3438" s="13" t="str">
        <f>HYPERLINK("https://www.airitibooks.com/Detail/Detail?PublicationID=P20150513069", "https://www.airitibooks.com/Detail/Detail?PublicationID=P20150513069")</f>
        <v>https://www.airitibooks.com/Detail/Detail?PublicationID=P20150513069</v>
      </c>
      <c r="K3438" s="13" t="str">
        <f>HYPERLINK("https://ntsu.idm.oclc.org/login?url=https://www.airitibooks.com/Detail/Detail?PublicationID=P20150513069", "https://ntsu.idm.oclc.org/login?url=https://www.airitibooks.com/Detail/Detail?PublicationID=P20150513069")</f>
        <v>https://ntsu.idm.oclc.org/login?url=https://www.airitibooks.com/Detail/Detail?PublicationID=P20150513069</v>
      </c>
    </row>
    <row r="3439" spans="1:11" ht="51" x14ac:dyDescent="0.4">
      <c r="A3439" s="10" t="s">
        <v>2567</v>
      </c>
      <c r="B3439" s="10" t="s">
        <v>2568</v>
      </c>
      <c r="C3439" s="10" t="s">
        <v>613</v>
      </c>
      <c r="D3439" s="10" t="s">
        <v>2499</v>
      </c>
      <c r="E3439" s="10" t="s">
        <v>30</v>
      </c>
      <c r="F3439" s="10" t="s">
        <v>2566</v>
      </c>
      <c r="G3439" s="10" t="s">
        <v>237</v>
      </c>
      <c r="H3439" s="7" t="s">
        <v>24</v>
      </c>
      <c r="I3439" s="7" t="s">
        <v>25</v>
      </c>
      <c r="J3439" s="13" t="str">
        <f>HYPERLINK("https://www.airitibooks.com/Detail/Detail?PublicationID=P20150513070", "https://www.airitibooks.com/Detail/Detail?PublicationID=P20150513070")</f>
        <v>https://www.airitibooks.com/Detail/Detail?PublicationID=P20150513070</v>
      </c>
      <c r="K3439" s="13" t="str">
        <f>HYPERLINK("https://ntsu.idm.oclc.org/login?url=https://www.airitibooks.com/Detail/Detail?PublicationID=P20150513070", "https://ntsu.idm.oclc.org/login?url=https://www.airitibooks.com/Detail/Detail?PublicationID=P20150513070")</f>
        <v>https://ntsu.idm.oclc.org/login?url=https://www.airitibooks.com/Detail/Detail?PublicationID=P20150513070</v>
      </c>
    </row>
    <row r="3440" spans="1:11" ht="51" x14ac:dyDescent="0.4">
      <c r="A3440" s="10" t="s">
        <v>2699</v>
      </c>
      <c r="B3440" s="10" t="s">
        <v>2700</v>
      </c>
      <c r="C3440" s="10" t="s">
        <v>1203</v>
      </c>
      <c r="D3440" s="10" t="s">
        <v>2701</v>
      </c>
      <c r="E3440" s="10" t="s">
        <v>30</v>
      </c>
      <c r="F3440" s="10" t="s">
        <v>483</v>
      </c>
      <c r="G3440" s="10" t="s">
        <v>237</v>
      </c>
      <c r="H3440" s="7" t="s">
        <v>24</v>
      </c>
      <c r="I3440" s="7" t="s">
        <v>25</v>
      </c>
      <c r="J3440" s="13" t="str">
        <f>HYPERLINK("https://www.airitibooks.com/Detail/Detail?PublicationID=P20150624011", "https://www.airitibooks.com/Detail/Detail?PublicationID=P20150624011")</f>
        <v>https://www.airitibooks.com/Detail/Detail?PublicationID=P20150624011</v>
      </c>
      <c r="K3440" s="13" t="str">
        <f>HYPERLINK("https://ntsu.idm.oclc.org/login?url=https://www.airitibooks.com/Detail/Detail?PublicationID=P20150624011", "https://ntsu.idm.oclc.org/login?url=https://www.airitibooks.com/Detail/Detail?PublicationID=P20150624011")</f>
        <v>https://ntsu.idm.oclc.org/login?url=https://www.airitibooks.com/Detail/Detail?PublicationID=P20150624011</v>
      </c>
    </row>
    <row r="3441" spans="1:11" ht="51" x14ac:dyDescent="0.4">
      <c r="A3441" s="10" t="s">
        <v>2725</v>
      </c>
      <c r="B3441" s="10" t="s">
        <v>2726</v>
      </c>
      <c r="C3441" s="10" t="s">
        <v>613</v>
      </c>
      <c r="D3441" s="10" t="s">
        <v>2727</v>
      </c>
      <c r="E3441" s="10" t="s">
        <v>30</v>
      </c>
      <c r="F3441" s="10" t="s">
        <v>2728</v>
      </c>
      <c r="G3441" s="10" t="s">
        <v>237</v>
      </c>
      <c r="H3441" s="7" t="s">
        <v>24</v>
      </c>
      <c r="I3441" s="7" t="s">
        <v>25</v>
      </c>
      <c r="J3441" s="13" t="str">
        <f>HYPERLINK("https://www.airitibooks.com/Detail/Detail?PublicationID=P20150624133", "https://www.airitibooks.com/Detail/Detail?PublicationID=P20150624133")</f>
        <v>https://www.airitibooks.com/Detail/Detail?PublicationID=P20150624133</v>
      </c>
      <c r="K3441" s="13" t="str">
        <f>HYPERLINK("https://ntsu.idm.oclc.org/login?url=https://www.airitibooks.com/Detail/Detail?PublicationID=P20150624133", "https://ntsu.idm.oclc.org/login?url=https://www.airitibooks.com/Detail/Detail?PublicationID=P20150624133")</f>
        <v>https://ntsu.idm.oclc.org/login?url=https://www.airitibooks.com/Detail/Detail?PublicationID=P20150624133</v>
      </c>
    </row>
    <row r="3442" spans="1:11" ht="51" x14ac:dyDescent="0.4">
      <c r="A3442" s="10" t="s">
        <v>2832</v>
      </c>
      <c r="B3442" s="10" t="s">
        <v>2833</v>
      </c>
      <c r="C3442" s="10" t="s">
        <v>222</v>
      </c>
      <c r="D3442" s="10" t="s">
        <v>699</v>
      </c>
      <c r="E3442" s="10" t="s">
        <v>30</v>
      </c>
      <c r="F3442" s="10" t="s">
        <v>1481</v>
      </c>
      <c r="G3442" s="10" t="s">
        <v>237</v>
      </c>
      <c r="H3442" s="7" t="s">
        <v>24</v>
      </c>
      <c r="I3442" s="7" t="s">
        <v>25</v>
      </c>
      <c r="J3442" s="13" t="str">
        <f>HYPERLINK("https://www.airitibooks.com/Detail/Detail?PublicationID=P20150626058", "https://www.airitibooks.com/Detail/Detail?PublicationID=P20150626058")</f>
        <v>https://www.airitibooks.com/Detail/Detail?PublicationID=P20150626058</v>
      </c>
      <c r="K3442" s="13" t="str">
        <f>HYPERLINK("https://ntsu.idm.oclc.org/login?url=https://www.airitibooks.com/Detail/Detail?PublicationID=P20150626058", "https://ntsu.idm.oclc.org/login?url=https://www.airitibooks.com/Detail/Detail?PublicationID=P20150626058")</f>
        <v>https://ntsu.idm.oclc.org/login?url=https://www.airitibooks.com/Detail/Detail?PublicationID=P20150626058</v>
      </c>
    </row>
    <row r="3443" spans="1:11" ht="51" x14ac:dyDescent="0.4">
      <c r="A3443" s="10" t="s">
        <v>2838</v>
      </c>
      <c r="B3443" s="10" t="s">
        <v>2839</v>
      </c>
      <c r="C3443" s="10" t="s">
        <v>222</v>
      </c>
      <c r="D3443" s="10" t="s">
        <v>2840</v>
      </c>
      <c r="E3443" s="10" t="s">
        <v>30</v>
      </c>
      <c r="F3443" s="10" t="s">
        <v>1435</v>
      </c>
      <c r="G3443" s="10" t="s">
        <v>237</v>
      </c>
      <c r="H3443" s="7" t="s">
        <v>24</v>
      </c>
      <c r="I3443" s="7" t="s">
        <v>25</v>
      </c>
      <c r="J3443" s="13" t="str">
        <f>HYPERLINK("https://www.airitibooks.com/Detail/Detail?PublicationID=P20150626061", "https://www.airitibooks.com/Detail/Detail?PublicationID=P20150626061")</f>
        <v>https://www.airitibooks.com/Detail/Detail?PublicationID=P20150626061</v>
      </c>
      <c r="K3443" s="13" t="str">
        <f>HYPERLINK("https://ntsu.idm.oclc.org/login?url=https://www.airitibooks.com/Detail/Detail?PublicationID=P20150626061", "https://ntsu.idm.oclc.org/login?url=https://www.airitibooks.com/Detail/Detail?PublicationID=P20150626061")</f>
        <v>https://ntsu.idm.oclc.org/login?url=https://www.airitibooks.com/Detail/Detail?PublicationID=P20150626061</v>
      </c>
    </row>
    <row r="3444" spans="1:11" ht="51" x14ac:dyDescent="0.4">
      <c r="A3444" s="10" t="s">
        <v>3085</v>
      </c>
      <c r="B3444" s="10" t="s">
        <v>3086</v>
      </c>
      <c r="C3444" s="10" t="s">
        <v>1271</v>
      </c>
      <c r="D3444" s="10" t="s">
        <v>3087</v>
      </c>
      <c r="E3444" s="10" t="s">
        <v>30</v>
      </c>
      <c r="F3444" s="10" t="s">
        <v>3088</v>
      </c>
      <c r="G3444" s="10" t="s">
        <v>237</v>
      </c>
      <c r="H3444" s="7" t="s">
        <v>24</v>
      </c>
      <c r="I3444" s="7" t="s">
        <v>25</v>
      </c>
      <c r="J3444" s="13" t="str">
        <f>HYPERLINK("https://www.airitibooks.com/Detail/Detail?PublicationID=P20150820120", "https://www.airitibooks.com/Detail/Detail?PublicationID=P20150820120")</f>
        <v>https://www.airitibooks.com/Detail/Detail?PublicationID=P20150820120</v>
      </c>
      <c r="K3444" s="13" t="str">
        <f>HYPERLINK("https://ntsu.idm.oclc.org/login?url=https://www.airitibooks.com/Detail/Detail?PublicationID=P20150820120", "https://ntsu.idm.oclc.org/login?url=https://www.airitibooks.com/Detail/Detail?PublicationID=P20150820120")</f>
        <v>https://ntsu.idm.oclc.org/login?url=https://www.airitibooks.com/Detail/Detail?PublicationID=P20150820120</v>
      </c>
    </row>
    <row r="3445" spans="1:11" ht="51" x14ac:dyDescent="0.4">
      <c r="A3445" s="10" t="s">
        <v>3089</v>
      </c>
      <c r="B3445" s="10" t="s">
        <v>3090</v>
      </c>
      <c r="C3445" s="10" t="s">
        <v>1271</v>
      </c>
      <c r="D3445" s="10" t="s">
        <v>3091</v>
      </c>
      <c r="E3445" s="10" t="s">
        <v>30</v>
      </c>
      <c r="F3445" s="10" t="s">
        <v>3092</v>
      </c>
      <c r="G3445" s="10" t="s">
        <v>237</v>
      </c>
      <c r="H3445" s="7" t="s">
        <v>24</v>
      </c>
      <c r="I3445" s="7" t="s">
        <v>25</v>
      </c>
      <c r="J3445" s="13" t="str">
        <f>HYPERLINK("https://www.airitibooks.com/Detail/Detail?PublicationID=P20150820121", "https://www.airitibooks.com/Detail/Detail?PublicationID=P20150820121")</f>
        <v>https://www.airitibooks.com/Detail/Detail?PublicationID=P20150820121</v>
      </c>
      <c r="K3445" s="13" t="str">
        <f>HYPERLINK("https://ntsu.idm.oclc.org/login?url=https://www.airitibooks.com/Detail/Detail?PublicationID=P20150820121", "https://ntsu.idm.oclc.org/login?url=https://www.airitibooks.com/Detail/Detail?PublicationID=P20150820121")</f>
        <v>https://ntsu.idm.oclc.org/login?url=https://www.airitibooks.com/Detail/Detail?PublicationID=P20150820121</v>
      </c>
    </row>
    <row r="3446" spans="1:11" ht="51" x14ac:dyDescent="0.4">
      <c r="A3446" s="10" t="s">
        <v>3096</v>
      </c>
      <c r="B3446" s="10" t="s">
        <v>3097</v>
      </c>
      <c r="C3446" s="10" t="s">
        <v>1271</v>
      </c>
      <c r="D3446" s="10" t="s">
        <v>3098</v>
      </c>
      <c r="E3446" s="10" t="s">
        <v>30</v>
      </c>
      <c r="F3446" s="10" t="s">
        <v>3099</v>
      </c>
      <c r="G3446" s="10" t="s">
        <v>237</v>
      </c>
      <c r="H3446" s="7" t="s">
        <v>24</v>
      </c>
      <c r="I3446" s="7" t="s">
        <v>25</v>
      </c>
      <c r="J3446" s="13" t="str">
        <f>HYPERLINK("https://www.airitibooks.com/Detail/Detail?PublicationID=P20150820128", "https://www.airitibooks.com/Detail/Detail?PublicationID=P20150820128")</f>
        <v>https://www.airitibooks.com/Detail/Detail?PublicationID=P20150820128</v>
      </c>
      <c r="K3446" s="13" t="str">
        <f>HYPERLINK("https://ntsu.idm.oclc.org/login?url=https://www.airitibooks.com/Detail/Detail?PublicationID=P20150820128", "https://ntsu.idm.oclc.org/login?url=https://www.airitibooks.com/Detail/Detail?PublicationID=P20150820128")</f>
        <v>https://ntsu.idm.oclc.org/login?url=https://www.airitibooks.com/Detail/Detail?PublicationID=P20150820128</v>
      </c>
    </row>
    <row r="3447" spans="1:11" ht="51" x14ac:dyDescent="0.4">
      <c r="A3447" s="10" t="s">
        <v>3137</v>
      </c>
      <c r="B3447" s="10" t="s">
        <v>3138</v>
      </c>
      <c r="C3447" s="10" t="s">
        <v>1271</v>
      </c>
      <c r="D3447" s="10" t="s">
        <v>3139</v>
      </c>
      <c r="E3447" s="10" t="s">
        <v>30</v>
      </c>
      <c r="F3447" s="10" t="s">
        <v>3140</v>
      </c>
      <c r="G3447" s="10" t="s">
        <v>237</v>
      </c>
      <c r="H3447" s="7" t="s">
        <v>24</v>
      </c>
      <c r="I3447" s="7" t="s">
        <v>25</v>
      </c>
      <c r="J3447" s="13" t="str">
        <f>HYPERLINK("https://www.airitibooks.com/Detail/Detail?PublicationID=P20150820144", "https://www.airitibooks.com/Detail/Detail?PublicationID=P20150820144")</f>
        <v>https://www.airitibooks.com/Detail/Detail?PublicationID=P20150820144</v>
      </c>
      <c r="K3447" s="13" t="str">
        <f>HYPERLINK("https://ntsu.idm.oclc.org/login?url=https://www.airitibooks.com/Detail/Detail?PublicationID=P20150820144", "https://ntsu.idm.oclc.org/login?url=https://www.airitibooks.com/Detail/Detail?PublicationID=P20150820144")</f>
        <v>https://ntsu.idm.oclc.org/login?url=https://www.airitibooks.com/Detail/Detail?PublicationID=P20150820144</v>
      </c>
    </row>
    <row r="3448" spans="1:11" ht="51" x14ac:dyDescent="0.4">
      <c r="A3448" s="10" t="s">
        <v>3153</v>
      </c>
      <c r="B3448" s="10" t="s">
        <v>3154</v>
      </c>
      <c r="C3448" s="10" t="s">
        <v>1271</v>
      </c>
      <c r="D3448" s="10" t="s">
        <v>3155</v>
      </c>
      <c r="E3448" s="10" t="s">
        <v>30</v>
      </c>
      <c r="F3448" s="10" t="s">
        <v>421</v>
      </c>
      <c r="G3448" s="10" t="s">
        <v>237</v>
      </c>
      <c r="H3448" s="7" t="s">
        <v>24</v>
      </c>
      <c r="I3448" s="7" t="s">
        <v>25</v>
      </c>
      <c r="J3448" s="13" t="str">
        <f>HYPERLINK("https://www.airitibooks.com/Detail/Detail?PublicationID=P20150820148", "https://www.airitibooks.com/Detail/Detail?PublicationID=P20150820148")</f>
        <v>https://www.airitibooks.com/Detail/Detail?PublicationID=P20150820148</v>
      </c>
      <c r="K3448" s="13" t="str">
        <f>HYPERLINK("https://ntsu.idm.oclc.org/login?url=https://www.airitibooks.com/Detail/Detail?PublicationID=P20150820148", "https://ntsu.idm.oclc.org/login?url=https://www.airitibooks.com/Detail/Detail?PublicationID=P20150820148")</f>
        <v>https://ntsu.idm.oclc.org/login?url=https://www.airitibooks.com/Detail/Detail?PublicationID=P20150820148</v>
      </c>
    </row>
    <row r="3449" spans="1:11" ht="51" x14ac:dyDescent="0.4">
      <c r="A3449" s="10" t="s">
        <v>3296</v>
      </c>
      <c r="B3449" s="10" t="s">
        <v>3297</v>
      </c>
      <c r="C3449" s="10" t="s">
        <v>3298</v>
      </c>
      <c r="D3449" s="10" t="s">
        <v>3299</v>
      </c>
      <c r="E3449" s="10" t="s">
        <v>30</v>
      </c>
      <c r="F3449" s="10" t="s">
        <v>788</v>
      </c>
      <c r="G3449" s="10" t="s">
        <v>237</v>
      </c>
      <c r="H3449" s="7" t="s">
        <v>24</v>
      </c>
      <c r="I3449" s="7" t="s">
        <v>25</v>
      </c>
      <c r="J3449" s="13" t="str">
        <f>HYPERLINK("https://www.airitibooks.com/Detail/Detail?PublicationID=P20150821143", "https://www.airitibooks.com/Detail/Detail?PublicationID=P20150821143")</f>
        <v>https://www.airitibooks.com/Detail/Detail?PublicationID=P20150821143</v>
      </c>
      <c r="K3449" s="13" t="str">
        <f>HYPERLINK("https://ntsu.idm.oclc.org/login?url=https://www.airitibooks.com/Detail/Detail?PublicationID=P20150821143", "https://ntsu.idm.oclc.org/login?url=https://www.airitibooks.com/Detail/Detail?PublicationID=P20150821143")</f>
        <v>https://ntsu.idm.oclc.org/login?url=https://www.airitibooks.com/Detail/Detail?PublicationID=P20150821143</v>
      </c>
    </row>
    <row r="3450" spans="1:11" ht="51" x14ac:dyDescent="0.4">
      <c r="A3450" s="10" t="s">
        <v>3325</v>
      </c>
      <c r="B3450" s="10" t="s">
        <v>3326</v>
      </c>
      <c r="C3450" s="10" t="s">
        <v>1982</v>
      </c>
      <c r="D3450" s="10" t="s">
        <v>3327</v>
      </c>
      <c r="E3450" s="10" t="s">
        <v>30</v>
      </c>
      <c r="F3450" s="10" t="s">
        <v>3328</v>
      </c>
      <c r="G3450" s="10" t="s">
        <v>237</v>
      </c>
      <c r="H3450" s="7" t="s">
        <v>24</v>
      </c>
      <c r="I3450" s="7" t="s">
        <v>25</v>
      </c>
      <c r="J3450" s="13" t="str">
        <f>HYPERLINK("https://www.airitibooks.com/Detail/Detail?PublicationID=P20150821186", "https://www.airitibooks.com/Detail/Detail?PublicationID=P20150821186")</f>
        <v>https://www.airitibooks.com/Detail/Detail?PublicationID=P20150821186</v>
      </c>
      <c r="K3450" s="13" t="str">
        <f>HYPERLINK("https://ntsu.idm.oclc.org/login?url=https://www.airitibooks.com/Detail/Detail?PublicationID=P20150821186", "https://ntsu.idm.oclc.org/login?url=https://www.airitibooks.com/Detail/Detail?PublicationID=P20150821186")</f>
        <v>https://ntsu.idm.oclc.org/login?url=https://www.airitibooks.com/Detail/Detail?PublicationID=P20150821186</v>
      </c>
    </row>
    <row r="3451" spans="1:11" ht="68" x14ac:dyDescent="0.4">
      <c r="A3451" s="10" t="s">
        <v>3341</v>
      </c>
      <c r="B3451" s="10" t="s">
        <v>3342</v>
      </c>
      <c r="C3451" s="10" t="s">
        <v>568</v>
      </c>
      <c r="D3451" s="10" t="s">
        <v>3343</v>
      </c>
      <c r="E3451" s="10" t="s">
        <v>30</v>
      </c>
      <c r="F3451" s="10" t="s">
        <v>3344</v>
      </c>
      <c r="G3451" s="10" t="s">
        <v>237</v>
      </c>
      <c r="H3451" s="7" t="s">
        <v>24</v>
      </c>
      <c r="I3451" s="7" t="s">
        <v>25</v>
      </c>
      <c r="J3451" s="13" t="str">
        <f>HYPERLINK("https://www.airitibooks.com/Detail/Detail?PublicationID=P20150909068", "https://www.airitibooks.com/Detail/Detail?PublicationID=P20150909068")</f>
        <v>https://www.airitibooks.com/Detail/Detail?PublicationID=P20150909068</v>
      </c>
      <c r="K3451" s="13" t="str">
        <f>HYPERLINK("https://ntsu.idm.oclc.org/login?url=https://www.airitibooks.com/Detail/Detail?PublicationID=P20150909068", "https://ntsu.idm.oclc.org/login?url=https://www.airitibooks.com/Detail/Detail?PublicationID=P20150909068")</f>
        <v>https://ntsu.idm.oclc.org/login?url=https://www.airitibooks.com/Detail/Detail?PublicationID=P20150909068</v>
      </c>
    </row>
    <row r="3452" spans="1:11" ht="51" x14ac:dyDescent="0.4">
      <c r="A3452" s="10" t="s">
        <v>3563</v>
      </c>
      <c r="B3452" s="10" t="s">
        <v>3564</v>
      </c>
      <c r="C3452" s="10" t="s">
        <v>1203</v>
      </c>
      <c r="D3452" s="10" t="s">
        <v>2079</v>
      </c>
      <c r="E3452" s="10" t="s">
        <v>30</v>
      </c>
      <c r="F3452" s="10" t="s">
        <v>3565</v>
      </c>
      <c r="G3452" s="10" t="s">
        <v>237</v>
      </c>
      <c r="H3452" s="7" t="s">
        <v>24</v>
      </c>
      <c r="I3452" s="7" t="s">
        <v>25</v>
      </c>
      <c r="J3452" s="13" t="str">
        <f>HYPERLINK("https://www.airitibooks.com/Detail/Detail?PublicationID=P20150921019", "https://www.airitibooks.com/Detail/Detail?PublicationID=P20150921019")</f>
        <v>https://www.airitibooks.com/Detail/Detail?PublicationID=P20150921019</v>
      </c>
      <c r="K3452" s="13" t="str">
        <f>HYPERLINK("https://ntsu.idm.oclc.org/login?url=https://www.airitibooks.com/Detail/Detail?PublicationID=P20150921019", "https://ntsu.idm.oclc.org/login?url=https://www.airitibooks.com/Detail/Detail?PublicationID=P20150921019")</f>
        <v>https://ntsu.idm.oclc.org/login?url=https://www.airitibooks.com/Detail/Detail?PublicationID=P20150921019</v>
      </c>
    </row>
    <row r="3453" spans="1:11" ht="51" x14ac:dyDescent="0.4">
      <c r="A3453" s="10" t="s">
        <v>3650</v>
      </c>
      <c r="B3453" s="10" t="s">
        <v>3651</v>
      </c>
      <c r="C3453" s="10" t="s">
        <v>2367</v>
      </c>
      <c r="D3453" s="10" t="s">
        <v>3652</v>
      </c>
      <c r="E3453" s="10" t="s">
        <v>30</v>
      </c>
      <c r="F3453" s="10" t="s">
        <v>3653</v>
      </c>
      <c r="G3453" s="10" t="s">
        <v>237</v>
      </c>
      <c r="H3453" s="7" t="s">
        <v>24</v>
      </c>
      <c r="I3453" s="7" t="s">
        <v>25</v>
      </c>
      <c r="J3453" s="13" t="str">
        <f>HYPERLINK("https://www.airitibooks.com/Detail/Detail?PublicationID=P20150922041", "https://www.airitibooks.com/Detail/Detail?PublicationID=P20150922041")</f>
        <v>https://www.airitibooks.com/Detail/Detail?PublicationID=P20150922041</v>
      </c>
      <c r="K3453" s="13" t="str">
        <f>HYPERLINK("https://ntsu.idm.oclc.org/login?url=https://www.airitibooks.com/Detail/Detail?PublicationID=P20150922041", "https://ntsu.idm.oclc.org/login?url=https://www.airitibooks.com/Detail/Detail?PublicationID=P20150922041")</f>
        <v>https://ntsu.idm.oclc.org/login?url=https://www.airitibooks.com/Detail/Detail?PublicationID=P20150922041</v>
      </c>
    </row>
    <row r="3454" spans="1:11" ht="51" x14ac:dyDescent="0.4">
      <c r="A3454" s="10" t="s">
        <v>3681</v>
      </c>
      <c r="B3454" s="10" t="s">
        <v>3682</v>
      </c>
      <c r="C3454" s="10" t="s">
        <v>613</v>
      </c>
      <c r="D3454" s="10" t="s">
        <v>3683</v>
      </c>
      <c r="E3454" s="10" t="s">
        <v>30</v>
      </c>
      <c r="F3454" s="10" t="s">
        <v>3684</v>
      </c>
      <c r="G3454" s="10" t="s">
        <v>237</v>
      </c>
      <c r="H3454" s="7" t="s">
        <v>24</v>
      </c>
      <c r="I3454" s="7" t="s">
        <v>25</v>
      </c>
      <c r="J3454" s="13" t="str">
        <f>HYPERLINK("https://www.airitibooks.com/Detail/Detail?PublicationID=P20150923007", "https://www.airitibooks.com/Detail/Detail?PublicationID=P20150923007")</f>
        <v>https://www.airitibooks.com/Detail/Detail?PublicationID=P20150923007</v>
      </c>
      <c r="K3454" s="13" t="str">
        <f>HYPERLINK("https://ntsu.idm.oclc.org/login?url=https://www.airitibooks.com/Detail/Detail?PublicationID=P20150923007", "https://ntsu.idm.oclc.org/login?url=https://www.airitibooks.com/Detail/Detail?PublicationID=P20150923007")</f>
        <v>https://ntsu.idm.oclc.org/login?url=https://www.airitibooks.com/Detail/Detail?PublicationID=P20150923007</v>
      </c>
    </row>
    <row r="3455" spans="1:11" ht="51" x14ac:dyDescent="0.4">
      <c r="A3455" s="10" t="s">
        <v>3685</v>
      </c>
      <c r="B3455" s="10" t="s">
        <v>3686</v>
      </c>
      <c r="C3455" s="10" t="s">
        <v>613</v>
      </c>
      <c r="D3455" s="10" t="s">
        <v>3687</v>
      </c>
      <c r="E3455" s="10" t="s">
        <v>30</v>
      </c>
      <c r="F3455" s="10" t="s">
        <v>3688</v>
      </c>
      <c r="G3455" s="10" t="s">
        <v>237</v>
      </c>
      <c r="H3455" s="7" t="s">
        <v>24</v>
      </c>
      <c r="I3455" s="7" t="s">
        <v>25</v>
      </c>
      <c r="J3455" s="13" t="str">
        <f>HYPERLINK("https://www.airitibooks.com/Detail/Detail?PublicationID=P20150923008", "https://www.airitibooks.com/Detail/Detail?PublicationID=P20150923008")</f>
        <v>https://www.airitibooks.com/Detail/Detail?PublicationID=P20150923008</v>
      </c>
      <c r="K3455" s="13" t="str">
        <f>HYPERLINK("https://ntsu.idm.oclc.org/login?url=https://www.airitibooks.com/Detail/Detail?PublicationID=P20150923008", "https://ntsu.idm.oclc.org/login?url=https://www.airitibooks.com/Detail/Detail?PublicationID=P20150923008")</f>
        <v>https://ntsu.idm.oclc.org/login?url=https://www.airitibooks.com/Detail/Detail?PublicationID=P20150923008</v>
      </c>
    </row>
    <row r="3456" spans="1:11" ht="51" x14ac:dyDescent="0.4">
      <c r="A3456" s="10" t="s">
        <v>3689</v>
      </c>
      <c r="B3456" s="10" t="s">
        <v>3690</v>
      </c>
      <c r="C3456" s="10" t="s">
        <v>613</v>
      </c>
      <c r="D3456" s="10" t="s">
        <v>3691</v>
      </c>
      <c r="E3456" s="10" t="s">
        <v>30</v>
      </c>
      <c r="F3456" s="10" t="s">
        <v>3692</v>
      </c>
      <c r="G3456" s="10" t="s">
        <v>237</v>
      </c>
      <c r="H3456" s="7" t="s">
        <v>24</v>
      </c>
      <c r="I3456" s="7" t="s">
        <v>25</v>
      </c>
      <c r="J3456" s="13" t="str">
        <f>HYPERLINK("https://www.airitibooks.com/Detail/Detail?PublicationID=P20150923009", "https://www.airitibooks.com/Detail/Detail?PublicationID=P20150923009")</f>
        <v>https://www.airitibooks.com/Detail/Detail?PublicationID=P20150923009</v>
      </c>
      <c r="K3456" s="13" t="str">
        <f>HYPERLINK("https://ntsu.idm.oclc.org/login?url=https://www.airitibooks.com/Detail/Detail?PublicationID=P20150923009", "https://ntsu.idm.oclc.org/login?url=https://www.airitibooks.com/Detail/Detail?PublicationID=P20150923009")</f>
        <v>https://ntsu.idm.oclc.org/login?url=https://www.airitibooks.com/Detail/Detail?PublicationID=P20150923009</v>
      </c>
    </row>
    <row r="3457" spans="1:11" ht="68" x14ac:dyDescent="0.4">
      <c r="A3457" s="10" t="s">
        <v>4010</v>
      </c>
      <c r="B3457" s="10" t="s">
        <v>4011</v>
      </c>
      <c r="C3457" s="10" t="s">
        <v>791</v>
      </c>
      <c r="D3457" s="10" t="s">
        <v>4012</v>
      </c>
      <c r="E3457" s="10" t="s">
        <v>30</v>
      </c>
      <c r="F3457" s="10" t="s">
        <v>1435</v>
      </c>
      <c r="G3457" s="10" t="s">
        <v>237</v>
      </c>
      <c r="H3457" s="7" t="s">
        <v>24</v>
      </c>
      <c r="I3457" s="7" t="s">
        <v>25</v>
      </c>
      <c r="J3457" s="13" t="str">
        <f>HYPERLINK("https://www.airitibooks.com/Detail/Detail?PublicationID=P20151201458", "https://www.airitibooks.com/Detail/Detail?PublicationID=P20151201458")</f>
        <v>https://www.airitibooks.com/Detail/Detail?PublicationID=P20151201458</v>
      </c>
      <c r="K3457" s="13" t="str">
        <f>HYPERLINK("https://ntsu.idm.oclc.org/login?url=https://www.airitibooks.com/Detail/Detail?PublicationID=P20151201458", "https://ntsu.idm.oclc.org/login?url=https://www.airitibooks.com/Detail/Detail?PublicationID=P20151201458")</f>
        <v>https://ntsu.idm.oclc.org/login?url=https://www.airitibooks.com/Detail/Detail?PublicationID=P20151201458</v>
      </c>
    </row>
    <row r="3458" spans="1:11" ht="51" x14ac:dyDescent="0.4">
      <c r="A3458" s="10" t="s">
        <v>4140</v>
      </c>
      <c r="B3458" s="10" t="s">
        <v>4141</v>
      </c>
      <c r="C3458" s="10" t="s">
        <v>130</v>
      </c>
      <c r="D3458" s="10" t="s">
        <v>4142</v>
      </c>
      <c r="E3458" s="10" t="s">
        <v>30</v>
      </c>
      <c r="F3458" s="10" t="s">
        <v>4143</v>
      </c>
      <c r="G3458" s="10" t="s">
        <v>237</v>
      </c>
      <c r="H3458" s="7" t="s">
        <v>24</v>
      </c>
      <c r="I3458" s="7" t="s">
        <v>25</v>
      </c>
      <c r="J3458" s="13" t="str">
        <f>HYPERLINK("https://www.airitibooks.com/Detail/Detail?PublicationID=P20160224037", "https://www.airitibooks.com/Detail/Detail?PublicationID=P20160224037")</f>
        <v>https://www.airitibooks.com/Detail/Detail?PublicationID=P20160224037</v>
      </c>
      <c r="K3458" s="13" t="str">
        <f>HYPERLINK("https://ntsu.idm.oclc.org/login?url=https://www.airitibooks.com/Detail/Detail?PublicationID=P20160224037", "https://ntsu.idm.oclc.org/login?url=https://www.airitibooks.com/Detail/Detail?PublicationID=P20160224037")</f>
        <v>https://ntsu.idm.oclc.org/login?url=https://www.airitibooks.com/Detail/Detail?PublicationID=P20160224037</v>
      </c>
    </row>
    <row r="3459" spans="1:11" ht="51" x14ac:dyDescent="0.4">
      <c r="A3459" s="10" t="s">
        <v>4177</v>
      </c>
      <c r="B3459" s="10" t="s">
        <v>4178</v>
      </c>
      <c r="C3459" s="10" t="s">
        <v>3359</v>
      </c>
      <c r="D3459" s="10" t="s">
        <v>4179</v>
      </c>
      <c r="E3459" s="10" t="s">
        <v>30</v>
      </c>
      <c r="F3459" s="10" t="s">
        <v>236</v>
      </c>
      <c r="G3459" s="10" t="s">
        <v>237</v>
      </c>
      <c r="H3459" s="7" t="s">
        <v>24</v>
      </c>
      <c r="I3459" s="7" t="s">
        <v>25</v>
      </c>
      <c r="J3459" s="13" t="str">
        <f>HYPERLINK("https://www.airitibooks.com/Detail/Detail?PublicationID=P20160224051", "https://www.airitibooks.com/Detail/Detail?PublicationID=P20160224051")</f>
        <v>https://www.airitibooks.com/Detail/Detail?PublicationID=P20160224051</v>
      </c>
      <c r="K3459" s="13" t="str">
        <f>HYPERLINK("https://ntsu.idm.oclc.org/login?url=https://www.airitibooks.com/Detail/Detail?PublicationID=P20160224051", "https://ntsu.idm.oclc.org/login?url=https://www.airitibooks.com/Detail/Detail?PublicationID=P20160224051")</f>
        <v>https://ntsu.idm.oclc.org/login?url=https://www.airitibooks.com/Detail/Detail?PublicationID=P20160224051</v>
      </c>
    </row>
    <row r="3460" spans="1:11" ht="51" x14ac:dyDescent="0.4">
      <c r="A3460" s="10" t="s">
        <v>4369</v>
      </c>
      <c r="B3460" s="10" t="s">
        <v>4370</v>
      </c>
      <c r="C3460" s="10" t="s">
        <v>371</v>
      </c>
      <c r="D3460" s="10" t="s">
        <v>4371</v>
      </c>
      <c r="E3460" s="10" t="s">
        <v>30</v>
      </c>
      <c r="F3460" s="10" t="s">
        <v>4372</v>
      </c>
      <c r="G3460" s="10" t="s">
        <v>237</v>
      </c>
      <c r="H3460" s="7" t="s">
        <v>24</v>
      </c>
      <c r="I3460" s="7" t="s">
        <v>25</v>
      </c>
      <c r="J3460" s="13" t="str">
        <f>HYPERLINK("https://www.airitibooks.com/Detail/Detail?PublicationID=P20160319043", "https://www.airitibooks.com/Detail/Detail?PublicationID=P20160319043")</f>
        <v>https://www.airitibooks.com/Detail/Detail?PublicationID=P20160319043</v>
      </c>
      <c r="K3460" s="13" t="str">
        <f>HYPERLINK("https://ntsu.idm.oclc.org/login?url=https://www.airitibooks.com/Detail/Detail?PublicationID=P20160319043", "https://ntsu.idm.oclc.org/login?url=https://www.airitibooks.com/Detail/Detail?PublicationID=P20160319043")</f>
        <v>https://ntsu.idm.oclc.org/login?url=https://www.airitibooks.com/Detail/Detail?PublicationID=P20160319043</v>
      </c>
    </row>
    <row r="3461" spans="1:11" ht="51" x14ac:dyDescent="0.4">
      <c r="A3461" s="10" t="s">
        <v>4475</v>
      </c>
      <c r="B3461" s="10" t="s">
        <v>4476</v>
      </c>
      <c r="C3461" s="10" t="s">
        <v>1574</v>
      </c>
      <c r="D3461" s="10" t="s">
        <v>1575</v>
      </c>
      <c r="E3461" s="10" t="s">
        <v>30</v>
      </c>
      <c r="F3461" s="10" t="s">
        <v>1140</v>
      </c>
      <c r="G3461" s="10" t="s">
        <v>237</v>
      </c>
      <c r="H3461" s="7" t="s">
        <v>24</v>
      </c>
      <c r="I3461" s="7" t="s">
        <v>25</v>
      </c>
      <c r="J3461" s="13" t="str">
        <f>HYPERLINK("https://www.airitibooks.com/Detail/Detail?PublicationID=P20160421072", "https://www.airitibooks.com/Detail/Detail?PublicationID=P20160421072")</f>
        <v>https://www.airitibooks.com/Detail/Detail?PublicationID=P20160421072</v>
      </c>
      <c r="K3461" s="13" t="str">
        <f>HYPERLINK("https://ntsu.idm.oclc.org/login?url=https://www.airitibooks.com/Detail/Detail?PublicationID=P20160421072", "https://ntsu.idm.oclc.org/login?url=https://www.airitibooks.com/Detail/Detail?PublicationID=P20160421072")</f>
        <v>https://ntsu.idm.oclc.org/login?url=https://www.airitibooks.com/Detail/Detail?PublicationID=P20160421072</v>
      </c>
    </row>
    <row r="3462" spans="1:11" ht="51" x14ac:dyDescent="0.4">
      <c r="A3462" s="10" t="s">
        <v>5341</v>
      </c>
      <c r="B3462" s="10" t="s">
        <v>5342</v>
      </c>
      <c r="C3462" s="10" t="s">
        <v>287</v>
      </c>
      <c r="D3462" s="10" t="s">
        <v>5343</v>
      </c>
      <c r="E3462" s="10" t="s">
        <v>30</v>
      </c>
      <c r="F3462" s="10" t="s">
        <v>4372</v>
      </c>
      <c r="G3462" s="10" t="s">
        <v>237</v>
      </c>
      <c r="H3462" s="7" t="s">
        <v>24</v>
      </c>
      <c r="I3462" s="7" t="s">
        <v>25</v>
      </c>
      <c r="J3462" s="13" t="str">
        <f>HYPERLINK("https://www.airitibooks.com/Detail/Detail?PublicationID=P20160901033", "https://www.airitibooks.com/Detail/Detail?PublicationID=P20160901033")</f>
        <v>https://www.airitibooks.com/Detail/Detail?PublicationID=P20160901033</v>
      </c>
      <c r="K3462" s="13" t="str">
        <f>HYPERLINK("https://ntsu.idm.oclc.org/login?url=https://www.airitibooks.com/Detail/Detail?PublicationID=P20160901033", "https://ntsu.idm.oclc.org/login?url=https://www.airitibooks.com/Detail/Detail?PublicationID=P20160901033")</f>
        <v>https://ntsu.idm.oclc.org/login?url=https://www.airitibooks.com/Detail/Detail?PublicationID=P20160901033</v>
      </c>
    </row>
    <row r="3463" spans="1:11" ht="51" x14ac:dyDescent="0.4">
      <c r="A3463" s="10" t="s">
        <v>5584</v>
      </c>
      <c r="B3463" s="10" t="s">
        <v>5585</v>
      </c>
      <c r="C3463" s="10" t="s">
        <v>5582</v>
      </c>
      <c r="D3463" s="10" t="s">
        <v>5586</v>
      </c>
      <c r="E3463" s="10" t="s">
        <v>30</v>
      </c>
      <c r="F3463" s="10" t="s">
        <v>5587</v>
      </c>
      <c r="G3463" s="10" t="s">
        <v>237</v>
      </c>
      <c r="H3463" s="7" t="s">
        <v>24</v>
      </c>
      <c r="I3463" s="7" t="s">
        <v>25</v>
      </c>
      <c r="J3463" s="13" t="str">
        <f>HYPERLINK("https://www.airitibooks.com/Detail/Detail?PublicationID=P20161004039", "https://www.airitibooks.com/Detail/Detail?PublicationID=P20161004039")</f>
        <v>https://www.airitibooks.com/Detail/Detail?PublicationID=P20161004039</v>
      </c>
      <c r="K3463" s="13" t="str">
        <f>HYPERLINK("https://ntsu.idm.oclc.org/login?url=https://www.airitibooks.com/Detail/Detail?PublicationID=P20161004039", "https://ntsu.idm.oclc.org/login?url=https://www.airitibooks.com/Detail/Detail?PublicationID=P20161004039")</f>
        <v>https://ntsu.idm.oclc.org/login?url=https://www.airitibooks.com/Detail/Detail?PublicationID=P20161004039</v>
      </c>
    </row>
    <row r="3464" spans="1:11" ht="51" x14ac:dyDescent="0.4">
      <c r="A3464" s="10" t="s">
        <v>5588</v>
      </c>
      <c r="B3464" s="10" t="s">
        <v>5589</v>
      </c>
      <c r="C3464" s="10" t="s">
        <v>5582</v>
      </c>
      <c r="D3464" s="10" t="s">
        <v>5590</v>
      </c>
      <c r="E3464" s="10" t="s">
        <v>30</v>
      </c>
      <c r="F3464" s="10" t="s">
        <v>5591</v>
      </c>
      <c r="G3464" s="10" t="s">
        <v>237</v>
      </c>
      <c r="H3464" s="7" t="s">
        <v>24</v>
      </c>
      <c r="I3464" s="7" t="s">
        <v>25</v>
      </c>
      <c r="J3464" s="13" t="str">
        <f>HYPERLINK("https://www.airitibooks.com/Detail/Detail?PublicationID=P20161004040", "https://www.airitibooks.com/Detail/Detail?PublicationID=P20161004040")</f>
        <v>https://www.airitibooks.com/Detail/Detail?PublicationID=P20161004040</v>
      </c>
      <c r="K3464" s="13" t="str">
        <f>HYPERLINK("https://ntsu.idm.oclc.org/login?url=https://www.airitibooks.com/Detail/Detail?PublicationID=P20161004040", "https://ntsu.idm.oclc.org/login?url=https://www.airitibooks.com/Detail/Detail?PublicationID=P20161004040")</f>
        <v>https://ntsu.idm.oclc.org/login?url=https://www.airitibooks.com/Detail/Detail?PublicationID=P20161004040</v>
      </c>
    </row>
    <row r="3465" spans="1:11" ht="51" x14ac:dyDescent="0.4">
      <c r="A3465" s="10" t="s">
        <v>5595</v>
      </c>
      <c r="B3465" s="10" t="s">
        <v>5596</v>
      </c>
      <c r="C3465" s="10" t="s">
        <v>5582</v>
      </c>
      <c r="D3465" s="10" t="s">
        <v>5597</v>
      </c>
      <c r="E3465" s="10" t="s">
        <v>30</v>
      </c>
      <c r="F3465" s="10" t="s">
        <v>5598</v>
      </c>
      <c r="G3465" s="10" t="s">
        <v>237</v>
      </c>
      <c r="H3465" s="7" t="s">
        <v>24</v>
      </c>
      <c r="I3465" s="7" t="s">
        <v>25</v>
      </c>
      <c r="J3465" s="13" t="str">
        <f>HYPERLINK("https://www.airitibooks.com/Detail/Detail?PublicationID=P20161004042", "https://www.airitibooks.com/Detail/Detail?PublicationID=P20161004042")</f>
        <v>https://www.airitibooks.com/Detail/Detail?PublicationID=P20161004042</v>
      </c>
      <c r="K3465" s="13" t="str">
        <f>HYPERLINK("https://ntsu.idm.oclc.org/login?url=https://www.airitibooks.com/Detail/Detail?PublicationID=P20161004042", "https://ntsu.idm.oclc.org/login?url=https://www.airitibooks.com/Detail/Detail?PublicationID=P20161004042")</f>
        <v>https://ntsu.idm.oclc.org/login?url=https://www.airitibooks.com/Detail/Detail?PublicationID=P20161004042</v>
      </c>
    </row>
    <row r="3466" spans="1:11" ht="68" x14ac:dyDescent="0.4">
      <c r="A3466" s="10" t="s">
        <v>6048</v>
      </c>
      <c r="B3466" s="10" t="s">
        <v>6049</v>
      </c>
      <c r="C3466" s="10" t="s">
        <v>3426</v>
      </c>
      <c r="D3466" s="10" t="s">
        <v>3437</v>
      </c>
      <c r="E3466" s="10" t="s">
        <v>30</v>
      </c>
      <c r="F3466" s="10" t="s">
        <v>6050</v>
      </c>
      <c r="G3466" s="10" t="s">
        <v>237</v>
      </c>
      <c r="H3466" s="7" t="s">
        <v>24</v>
      </c>
      <c r="I3466" s="7" t="s">
        <v>25</v>
      </c>
      <c r="J3466" s="13" t="str">
        <f>HYPERLINK("https://www.airitibooks.com/Detail/Detail?PublicationID=P20170203150", "https://www.airitibooks.com/Detail/Detail?PublicationID=P20170203150")</f>
        <v>https://www.airitibooks.com/Detail/Detail?PublicationID=P20170203150</v>
      </c>
      <c r="K3466" s="13" t="str">
        <f>HYPERLINK("https://ntsu.idm.oclc.org/login?url=https://www.airitibooks.com/Detail/Detail?PublicationID=P20170203150", "https://ntsu.idm.oclc.org/login?url=https://www.airitibooks.com/Detail/Detail?PublicationID=P20170203150")</f>
        <v>https://ntsu.idm.oclc.org/login?url=https://www.airitibooks.com/Detail/Detail?PublicationID=P20170203150</v>
      </c>
    </row>
    <row r="3467" spans="1:11" ht="51" x14ac:dyDescent="0.4">
      <c r="A3467" s="10" t="s">
        <v>6164</v>
      </c>
      <c r="B3467" s="10" t="s">
        <v>6165</v>
      </c>
      <c r="C3467" s="10" t="s">
        <v>5582</v>
      </c>
      <c r="D3467" s="10" t="s">
        <v>6166</v>
      </c>
      <c r="E3467" s="10" t="s">
        <v>30</v>
      </c>
      <c r="F3467" s="10" t="s">
        <v>6167</v>
      </c>
      <c r="G3467" s="10" t="s">
        <v>237</v>
      </c>
      <c r="H3467" s="7" t="s">
        <v>24</v>
      </c>
      <c r="I3467" s="7" t="s">
        <v>25</v>
      </c>
      <c r="J3467" s="13" t="str">
        <f>HYPERLINK("https://www.airitibooks.com/Detail/Detail?PublicationID=P20170203322", "https://www.airitibooks.com/Detail/Detail?PublicationID=P20170203322")</f>
        <v>https://www.airitibooks.com/Detail/Detail?PublicationID=P20170203322</v>
      </c>
      <c r="K3467" s="13" t="str">
        <f>HYPERLINK("https://ntsu.idm.oclc.org/login?url=https://www.airitibooks.com/Detail/Detail?PublicationID=P20170203322", "https://ntsu.idm.oclc.org/login?url=https://www.airitibooks.com/Detail/Detail?PublicationID=P20170203322")</f>
        <v>https://ntsu.idm.oclc.org/login?url=https://www.airitibooks.com/Detail/Detail?PublicationID=P20170203322</v>
      </c>
    </row>
    <row r="3468" spans="1:11" ht="51" x14ac:dyDescent="0.4">
      <c r="A3468" s="10" t="s">
        <v>6172</v>
      </c>
      <c r="B3468" s="10" t="s">
        <v>6173</v>
      </c>
      <c r="C3468" s="10" t="s">
        <v>5582</v>
      </c>
      <c r="D3468" s="10" t="s">
        <v>6174</v>
      </c>
      <c r="E3468" s="10" t="s">
        <v>30</v>
      </c>
      <c r="F3468" s="10" t="s">
        <v>1313</v>
      </c>
      <c r="G3468" s="10" t="s">
        <v>237</v>
      </c>
      <c r="H3468" s="7" t="s">
        <v>24</v>
      </c>
      <c r="I3468" s="7" t="s">
        <v>25</v>
      </c>
      <c r="J3468" s="13" t="str">
        <f>HYPERLINK("https://www.airitibooks.com/Detail/Detail?PublicationID=P20170203324", "https://www.airitibooks.com/Detail/Detail?PublicationID=P20170203324")</f>
        <v>https://www.airitibooks.com/Detail/Detail?PublicationID=P20170203324</v>
      </c>
      <c r="K3468" s="13" t="str">
        <f>HYPERLINK("https://ntsu.idm.oclc.org/login?url=https://www.airitibooks.com/Detail/Detail?PublicationID=P20170203324", "https://ntsu.idm.oclc.org/login?url=https://www.airitibooks.com/Detail/Detail?PublicationID=P20170203324")</f>
        <v>https://ntsu.idm.oclc.org/login?url=https://www.airitibooks.com/Detail/Detail?PublicationID=P20170203324</v>
      </c>
    </row>
    <row r="3469" spans="1:11" ht="85" x14ac:dyDescent="0.4">
      <c r="A3469" s="10" t="s">
        <v>6458</v>
      </c>
      <c r="B3469" s="10" t="s">
        <v>6459</v>
      </c>
      <c r="C3469" s="10" t="s">
        <v>510</v>
      </c>
      <c r="D3469" s="10" t="s">
        <v>6460</v>
      </c>
      <c r="E3469" s="10" t="s">
        <v>30</v>
      </c>
      <c r="F3469" s="10" t="s">
        <v>6461</v>
      </c>
      <c r="G3469" s="10" t="s">
        <v>237</v>
      </c>
      <c r="H3469" s="7" t="s">
        <v>24</v>
      </c>
      <c r="I3469" s="7" t="s">
        <v>25</v>
      </c>
      <c r="J3469" s="13" t="str">
        <f>HYPERLINK("https://www.airitibooks.com/Detail/Detail?PublicationID=P20170502015", "https://www.airitibooks.com/Detail/Detail?PublicationID=P20170502015")</f>
        <v>https://www.airitibooks.com/Detail/Detail?PublicationID=P20170502015</v>
      </c>
      <c r="K3469" s="13" t="str">
        <f>HYPERLINK("https://ntsu.idm.oclc.org/login?url=https://www.airitibooks.com/Detail/Detail?PublicationID=P20170502015", "https://ntsu.idm.oclc.org/login?url=https://www.airitibooks.com/Detail/Detail?PublicationID=P20170502015")</f>
        <v>https://ntsu.idm.oclc.org/login?url=https://www.airitibooks.com/Detail/Detail?PublicationID=P20170502015</v>
      </c>
    </row>
    <row r="3470" spans="1:11" ht="85" x14ac:dyDescent="0.4">
      <c r="A3470" s="10" t="s">
        <v>6462</v>
      </c>
      <c r="B3470" s="10" t="s">
        <v>6463</v>
      </c>
      <c r="C3470" s="10" t="s">
        <v>510</v>
      </c>
      <c r="D3470" s="10" t="s">
        <v>6464</v>
      </c>
      <c r="E3470" s="10" t="s">
        <v>30</v>
      </c>
      <c r="F3470" s="10" t="s">
        <v>6465</v>
      </c>
      <c r="G3470" s="10" t="s">
        <v>237</v>
      </c>
      <c r="H3470" s="7" t="s">
        <v>24</v>
      </c>
      <c r="I3470" s="7" t="s">
        <v>25</v>
      </c>
      <c r="J3470" s="13" t="str">
        <f>HYPERLINK("https://www.airitibooks.com/Detail/Detail?PublicationID=P20170502016", "https://www.airitibooks.com/Detail/Detail?PublicationID=P20170502016")</f>
        <v>https://www.airitibooks.com/Detail/Detail?PublicationID=P20170502016</v>
      </c>
      <c r="K3470" s="13" t="str">
        <f>HYPERLINK("https://ntsu.idm.oclc.org/login?url=https://www.airitibooks.com/Detail/Detail?PublicationID=P20170502016", "https://ntsu.idm.oclc.org/login?url=https://www.airitibooks.com/Detail/Detail?PublicationID=P20170502016")</f>
        <v>https://ntsu.idm.oclc.org/login?url=https://www.airitibooks.com/Detail/Detail?PublicationID=P20170502016</v>
      </c>
    </row>
    <row r="3471" spans="1:11" ht="102" x14ac:dyDescent="0.4">
      <c r="A3471" s="10" t="s">
        <v>6466</v>
      </c>
      <c r="B3471" s="10" t="s">
        <v>6467</v>
      </c>
      <c r="C3471" s="10" t="s">
        <v>510</v>
      </c>
      <c r="D3471" s="10" t="s">
        <v>6468</v>
      </c>
      <c r="E3471" s="10" t="s">
        <v>30</v>
      </c>
      <c r="F3471" s="10" t="s">
        <v>6469</v>
      </c>
      <c r="G3471" s="10" t="s">
        <v>237</v>
      </c>
      <c r="H3471" s="7" t="s">
        <v>24</v>
      </c>
      <c r="I3471" s="7" t="s">
        <v>25</v>
      </c>
      <c r="J3471" s="13" t="str">
        <f>HYPERLINK("https://www.airitibooks.com/Detail/Detail?PublicationID=P20170502017", "https://www.airitibooks.com/Detail/Detail?PublicationID=P20170502017")</f>
        <v>https://www.airitibooks.com/Detail/Detail?PublicationID=P20170502017</v>
      </c>
      <c r="K3471" s="13" t="str">
        <f>HYPERLINK("https://ntsu.idm.oclc.org/login?url=https://www.airitibooks.com/Detail/Detail?PublicationID=P20170502017", "https://ntsu.idm.oclc.org/login?url=https://www.airitibooks.com/Detail/Detail?PublicationID=P20170502017")</f>
        <v>https://ntsu.idm.oclc.org/login?url=https://www.airitibooks.com/Detail/Detail?PublicationID=P20170502017</v>
      </c>
    </row>
    <row r="3472" spans="1:11" ht="51" x14ac:dyDescent="0.4">
      <c r="A3472" s="10" t="s">
        <v>8077</v>
      </c>
      <c r="B3472" s="10" t="s">
        <v>8078</v>
      </c>
      <c r="C3472" s="10" t="s">
        <v>8079</v>
      </c>
      <c r="D3472" s="10" t="s">
        <v>8080</v>
      </c>
      <c r="E3472" s="10" t="s">
        <v>30</v>
      </c>
      <c r="F3472" s="10" t="s">
        <v>982</v>
      </c>
      <c r="G3472" s="10" t="s">
        <v>237</v>
      </c>
      <c r="H3472" s="7" t="s">
        <v>24</v>
      </c>
      <c r="I3472" s="7" t="s">
        <v>25</v>
      </c>
      <c r="J3472" s="13" t="str">
        <f>HYPERLINK("https://www.airitibooks.com/Detail/Detail?PublicationID=P20171213223", "https://www.airitibooks.com/Detail/Detail?PublicationID=P20171213223")</f>
        <v>https://www.airitibooks.com/Detail/Detail?PublicationID=P20171213223</v>
      </c>
      <c r="K3472" s="13" t="str">
        <f>HYPERLINK("https://ntsu.idm.oclc.org/login?url=https://www.airitibooks.com/Detail/Detail?PublicationID=P20171213223", "https://ntsu.idm.oclc.org/login?url=https://www.airitibooks.com/Detail/Detail?PublicationID=P20171213223")</f>
        <v>https://ntsu.idm.oclc.org/login?url=https://www.airitibooks.com/Detail/Detail?PublicationID=P20171213223</v>
      </c>
    </row>
    <row r="3473" spans="1:11" ht="51" x14ac:dyDescent="0.4">
      <c r="A3473" s="10" t="s">
        <v>8081</v>
      </c>
      <c r="B3473" s="10" t="s">
        <v>8082</v>
      </c>
      <c r="C3473" s="10" t="s">
        <v>8079</v>
      </c>
      <c r="D3473" s="10" t="s">
        <v>8083</v>
      </c>
      <c r="E3473" s="10" t="s">
        <v>30</v>
      </c>
      <c r="F3473" s="10" t="s">
        <v>982</v>
      </c>
      <c r="G3473" s="10" t="s">
        <v>237</v>
      </c>
      <c r="H3473" s="7" t="s">
        <v>24</v>
      </c>
      <c r="I3473" s="7" t="s">
        <v>25</v>
      </c>
      <c r="J3473" s="13" t="str">
        <f>HYPERLINK("https://www.airitibooks.com/Detail/Detail?PublicationID=P20171213230", "https://www.airitibooks.com/Detail/Detail?PublicationID=P20171213230")</f>
        <v>https://www.airitibooks.com/Detail/Detail?PublicationID=P20171213230</v>
      </c>
      <c r="K3473" s="13" t="str">
        <f>HYPERLINK("https://ntsu.idm.oclc.org/login?url=https://www.airitibooks.com/Detail/Detail?PublicationID=P20171213230", "https://ntsu.idm.oclc.org/login?url=https://www.airitibooks.com/Detail/Detail?PublicationID=P20171213230")</f>
        <v>https://ntsu.idm.oclc.org/login?url=https://www.airitibooks.com/Detail/Detail?PublicationID=P20171213230</v>
      </c>
    </row>
    <row r="3474" spans="1:11" ht="51" x14ac:dyDescent="0.4">
      <c r="A3474" s="10" t="s">
        <v>8084</v>
      </c>
      <c r="B3474" s="10" t="s">
        <v>8085</v>
      </c>
      <c r="C3474" s="10" t="s">
        <v>8079</v>
      </c>
      <c r="D3474" s="10" t="s">
        <v>8086</v>
      </c>
      <c r="E3474" s="10" t="s">
        <v>30</v>
      </c>
      <c r="F3474" s="10" t="s">
        <v>982</v>
      </c>
      <c r="G3474" s="10" t="s">
        <v>237</v>
      </c>
      <c r="H3474" s="7" t="s">
        <v>24</v>
      </c>
      <c r="I3474" s="7" t="s">
        <v>25</v>
      </c>
      <c r="J3474" s="13" t="str">
        <f>HYPERLINK("https://www.airitibooks.com/Detail/Detail?PublicationID=P20171213234", "https://www.airitibooks.com/Detail/Detail?PublicationID=P20171213234")</f>
        <v>https://www.airitibooks.com/Detail/Detail?PublicationID=P20171213234</v>
      </c>
      <c r="K3474" s="13" t="str">
        <f>HYPERLINK("https://ntsu.idm.oclc.org/login?url=https://www.airitibooks.com/Detail/Detail?PublicationID=P20171213234", "https://ntsu.idm.oclc.org/login?url=https://www.airitibooks.com/Detail/Detail?PublicationID=P20171213234")</f>
        <v>https://ntsu.idm.oclc.org/login?url=https://www.airitibooks.com/Detail/Detail?PublicationID=P20171213234</v>
      </c>
    </row>
    <row r="3475" spans="1:11" ht="51" x14ac:dyDescent="0.4">
      <c r="A3475" s="10" t="s">
        <v>8087</v>
      </c>
      <c r="B3475" s="10" t="s">
        <v>8088</v>
      </c>
      <c r="C3475" s="10" t="s">
        <v>8079</v>
      </c>
      <c r="D3475" s="10" t="s">
        <v>8089</v>
      </c>
      <c r="E3475" s="10" t="s">
        <v>30</v>
      </c>
      <c r="F3475" s="10" t="s">
        <v>982</v>
      </c>
      <c r="G3475" s="10" t="s">
        <v>237</v>
      </c>
      <c r="H3475" s="7" t="s">
        <v>24</v>
      </c>
      <c r="I3475" s="7" t="s">
        <v>25</v>
      </c>
      <c r="J3475" s="13" t="str">
        <f>HYPERLINK("https://www.airitibooks.com/Detail/Detail?PublicationID=P20171213235", "https://www.airitibooks.com/Detail/Detail?PublicationID=P20171213235")</f>
        <v>https://www.airitibooks.com/Detail/Detail?PublicationID=P20171213235</v>
      </c>
      <c r="K3475" s="13" t="str">
        <f>HYPERLINK("https://ntsu.idm.oclc.org/login?url=https://www.airitibooks.com/Detail/Detail?PublicationID=P20171213235", "https://ntsu.idm.oclc.org/login?url=https://www.airitibooks.com/Detail/Detail?PublicationID=P20171213235")</f>
        <v>https://ntsu.idm.oclc.org/login?url=https://www.airitibooks.com/Detail/Detail?PublicationID=P20171213235</v>
      </c>
    </row>
    <row r="3476" spans="1:11" ht="51" x14ac:dyDescent="0.4">
      <c r="A3476" s="10" t="s">
        <v>8090</v>
      </c>
      <c r="B3476" s="10" t="s">
        <v>8091</v>
      </c>
      <c r="C3476" s="10" t="s">
        <v>8079</v>
      </c>
      <c r="D3476" s="10" t="s">
        <v>8092</v>
      </c>
      <c r="E3476" s="10" t="s">
        <v>30</v>
      </c>
      <c r="F3476" s="10" t="s">
        <v>982</v>
      </c>
      <c r="G3476" s="10" t="s">
        <v>237</v>
      </c>
      <c r="H3476" s="7" t="s">
        <v>24</v>
      </c>
      <c r="I3476" s="7" t="s">
        <v>25</v>
      </c>
      <c r="J3476" s="13" t="str">
        <f>HYPERLINK("https://www.airitibooks.com/Detail/Detail?PublicationID=P20171213236", "https://www.airitibooks.com/Detail/Detail?PublicationID=P20171213236")</f>
        <v>https://www.airitibooks.com/Detail/Detail?PublicationID=P20171213236</v>
      </c>
      <c r="K3476" s="13" t="str">
        <f>HYPERLINK("https://ntsu.idm.oclc.org/login?url=https://www.airitibooks.com/Detail/Detail?PublicationID=P20171213236", "https://ntsu.idm.oclc.org/login?url=https://www.airitibooks.com/Detail/Detail?PublicationID=P20171213236")</f>
        <v>https://ntsu.idm.oclc.org/login?url=https://www.airitibooks.com/Detail/Detail?PublicationID=P20171213236</v>
      </c>
    </row>
    <row r="3477" spans="1:11" ht="51" x14ac:dyDescent="0.4">
      <c r="A3477" s="10" t="s">
        <v>8093</v>
      </c>
      <c r="B3477" s="10" t="s">
        <v>8094</v>
      </c>
      <c r="C3477" s="10" t="s">
        <v>8079</v>
      </c>
      <c r="D3477" s="10" t="s">
        <v>8095</v>
      </c>
      <c r="E3477" s="10" t="s">
        <v>30</v>
      </c>
      <c r="F3477" s="10" t="s">
        <v>982</v>
      </c>
      <c r="G3477" s="10" t="s">
        <v>237</v>
      </c>
      <c r="H3477" s="7" t="s">
        <v>24</v>
      </c>
      <c r="I3477" s="7" t="s">
        <v>25</v>
      </c>
      <c r="J3477" s="13" t="str">
        <f>HYPERLINK("https://www.airitibooks.com/Detail/Detail?PublicationID=P20171213239", "https://www.airitibooks.com/Detail/Detail?PublicationID=P20171213239")</f>
        <v>https://www.airitibooks.com/Detail/Detail?PublicationID=P20171213239</v>
      </c>
      <c r="K3477" s="13" t="str">
        <f>HYPERLINK("https://ntsu.idm.oclc.org/login?url=https://www.airitibooks.com/Detail/Detail?PublicationID=P20171213239", "https://ntsu.idm.oclc.org/login?url=https://www.airitibooks.com/Detail/Detail?PublicationID=P20171213239")</f>
        <v>https://ntsu.idm.oclc.org/login?url=https://www.airitibooks.com/Detail/Detail?PublicationID=P20171213239</v>
      </c>
    </row>
    <row r="3478" spans="1:11" ht="51" x14ac:dyDescent="0.4">
      <c r="A3478" s="10" t="s">
        <v>9559</v>
      </c>
      <c r="B3478" s="10" t="s">
        <v>9560</v>
      </c>
      <c r="C3478" s="10" t="s">
        <v>5050</v>
      </c>
      <c r="D3478" s="10" t="s">
        <v>9561</v>
      </c>
      <c r="E3478" s="10" t="s">
        <v>30</v>
      </c>
      <c r="F3478" s="10" t="s">
        <v>1876</v>
      </c>
      <c r="G3478" s="10" t="s">
        <v>237</v>
      </c>
      <c r="H3478" s="7" t="s">
        <v>24</v>
      </c>
      <c r="I3478" s="7" t="s">
        <v>25</v>
      </c>
      <c r="J3478" s="13" t="str">
        <f>HYPERLINK("https://www.airitibooks.com/Detail/Detail?PublicationID=P20180806060", "https://www.airitibooks.com/Detail/Detail?PublicationID=P20180806060")</f>
        <v>https://www.airitibooks.com/Detail/Detail?PublicationID=P20180806060</v>
      </c>
      <c r="K3478" s="13" t="str">
        <f>HYPERLINK("https://ntsu.idm.oclc.org/login?url=https://www.airitibooks.com/Detail/Detail?PublicationID=P20180806060", "https://ntsu.idm.oclc.org/login?url=https://www.airitibooks.com/Detail/Detail?PublicationID=P20180806060")</f>
        <v>https://ntsu.idm.oclc.org/login?url=https://www.airitibooks.com/Detail/Detail?PublicationID=P20180806060</v>
      </c>
    </row>
    <row r="3479" spans="1:11" ht="51" x14ac:dyDescent="0.4">
      <c r="A3479" s="10" t="s">
        <v>9629</v>
      </c>
      <c r="B3479" s="10" t="s">
        <v>9630</v>
      </c>
      <c r="C3479" s="10" t="s">
        <v>9631</v>
      </c>
      <c r="D3479" s="10" t="s">
        <v>9632</v>
      </c>
      <c r="E3479" s="10" t="s">
        <v>30</v>
      </c>
      <c r="F3479" s="10" t="s">
        <v>9633</v>
      </c>
      <c r="G3479" s="10" t="s">
        <v>237</v>
      </c>
      <c r="H3479" s="7" t="s">
        <v>24</v>
      </c>
      <c r="I3479" s="7" t="s">
        <v>25</v>
      </c>
      <c r="J3479" s="13" t="str">
        <f>HYPERLINK("https://www.airitibooks.com/Detail/Detail?PublicationID=P20180809139", "https://www.airitibooks.com/Detail/Detail?PublicationID=P20180809139")</f>
        <v>https://www.airitibooks.com/Detail/Detail?PublicationID=P20180809139</v>
      </c>
      <c r="K3479" s="13" t="str">
        <f>HYPERLINK("https://ntsu.idm.oclc.org/login?url=https://www.airitibooks.com/Detail/Detail?PublicationID=P20180809139", "https://ntsu.idm.oclc.org/login?url=https://www.airitibooks.com/Detail/Detail?PublicationID=P20180809139")</f>
        <v>https://ntsu.idm.oclc.org/login?url=https://www.airitibooks.com/Detail/Detail?PublicationID=P20180809139</v>
      </c>
    </row>
    <row r="3480" spans="1:11" ht="51" x14ac:dyDescent="0.4">
      <c r="A3480" s="10" t="s">
        <v>10127</v>
      </c>
      <c r="B3480" s="10" t="s">
        <v>10128</v>
      </c>
      <c r="C3480" s="10" t="s">
        <v>9828</v>
      </c>
      <c r="D3480" s="10" t="s">
        <v>10129</v>
      </c>
      <c r="E3480" s="10" t="s">
        <v>30</v>
      </c>
      <c r="F3480" s="10" t="s">
        <v>982</v>
      </c>
      <c r="G3480" s="10" t="s">
        <v>237</v>
      </c>
      <c r="H3480" s="7" t="s">
        <v>1031</v>
      </c>
      <c r="I3480" s="7" t="s">
        <v>25</v>
      </c>
      <c r="J3480" s="13" t="str">
        <f>HYPERLINK("https://www.airitibooks.com/Detail/Detail?PublicationID=P20181116129", "https://www.airitibooks.com/Detail/Detail?PublicationID=P20181116129")</f>
        <v>https://www.airitibooks.com/Detail/Detail?PublicationID=P20181116129</v>
      </c>
      <c r="K3480" s="13" t="str">
        <f>HYPERLINK("https://ntsu.idm.oclc.org/login?url=https://www.airitibooks.com/Detail/Detail?PublicationID=P20181116129", "https://ntsu.idm.oclc.org/login?url=https://www.airitibooks.com/Detail/Detail?PublicationID=P20181116129")</f>
        <v>https://ntsu.idm.oclc.org/login?url=https://www.airitibooks.com/Detail/Detail?PublicationID=P20181116129</v>
      </c>
    </row>
    <row r="3481" spans="1:11" ht="51" x14ac:dyDescent="0.4">
      <c r="A3481" s="10" t="s">
        <v>2095</v>
      </c>
      <c r="B3481" s="10" t="s">
        <v>2096</v>
      </c>
      <c r="C3481" s="10" t="s">
        <v>428</v>
      </c>
      <c r="D3481" s="10" t="s">
        <v>2097</v>
      </c>
      <c r="E3481" s="10" t="s">
        <v>30</v>
      </c>
      <c r="F3481" s="10" t="s">
        <v>488</v>
      </c>
      <c r="G3481" s="10" t="s">
        <v>209</v>
      </c>
      <c r="H3481" s="7" t="s">
        <v>24</v>
      </c>
      <c r="I3481" s="7" t="s">
        <v>25</v>
      </c>
      <c r="J3481" s="13" t="str">
        <f>HYPERLINK("https://www.airitibooks.com/Detail/Detail?PublicationID=P20150309022", "https://www.airitibooks.com/Detail/Detail?PublicationID=P20150309022")</f>
        <v>https://www.airitibooks.com/Detail/Detail?PublicationID=P20150309022</v>
      </c>
      <c r="K3481" s="13" t="str">
        <f>HYPERLINK("https://ntsu.idm.oclc.org/login?url=https://www.airitibooks.com/Detail/Detail?PublicationID=P20150309022", "https://ntsu.idm.oclc.org/login?url=https://www.airitibooks.com/Detail/Detail?PublicationID=P20150309022")</f>
        <v>https://ntsu.idm.oclc.org/login?url=https://www.airitibooks.com/Detail/Detail?PublicationID=P20150309022</v>
      </c>
    </row>
    <row r="3482" spans="1:11" ht="51" x14ac:dyDescent="0.4">
      <c r="A3482" s="10" t="s">
        <v>2432</v>
      </c>
      <c r="B3482" s="10" t="s">
        <v>2433</v>
      </c>
      <c r="C3482" s="10" t="s">
        <v>108</v>
      </c>
      <c r="D3482" s="10" t="s">
        <v>2434</v>
      </c>
      <c r="E3482" s="10" t="s">
        <v>30</v>
      </c>
      <c r="F3482" s="10" t="s">
        <v>2435</v>
      </c>
      <c r="G3482" s="10" t="s">
        <v>209</v>
      </c>
      <c r="H3482" s="7" t="s">
        <v>24</v>
      </c>
      <c r="I3482" s="7" t="s">
        <v>25</v>
      </c>
      <c r="J3482" s="13" t="str">
        <f>HYPERLINK("https://www.airitibooks.com/Detail/Detail?PublicationID=P20150430013", "https://www.airitibooks.com/Detail/Detail?PublicationID=P20150430013")</f>
        <v>https://www.airitibooks.com/Detail/Detail?PublicationID=P20150430013</v>
      </c>
      <c r="K3482" s="13" t="str">
        <f>HYPERLINK("https://ntsu.idm.oclc.org/login?url=https://www.airitibooks.com/Detail/Detail?PublicationID=P20150430013", "https://ntsu.idm.oclc.org/login?url=https://www.airitibooks.com/Detail/Detail?PublicationID=P20150430013")</f>
        <v>https://ntsu.idm.oclc.org/login?url=https://www.airitibooks.com/Detail/Detail?PublicationID=P20150430013</v>
      </c>
    </row>
    <row r="3483" spans="1:11" ht="51" x14ac:dyDescent="0.4">
      <c r="A3483" s="10" t="s">
        <v>2653</v>
      </c>
      <c r="B3483" s="10" t="s">
        <v>2654</v>
      </c>
      <c r="C3483" s="10" t="s">
        <v>1028</v>
      </c>
      <c r="D3483" s="10" t="s">
        <v>2655</v>
      </c>
      <c r="E3483" s="10" t="s">
        <v>30</v>
      </c>
      <c r="F3483" s="10" t="s">
        <v>2656</v>
      </c>
      <c r="G3483" s="10" t="s">
        <v>209</v>
      </c>
      <c r="H3483" s="7" t="s">
        <v>1031</v>
      </c>
      <c r="I3483" s="7" t="s">
        <v>25</v>
      </c>
      <c r="J3483" s="13" t="str">
        <f>HYPERLINK("https://www.airitibooks.com/Detail/Detail?PublicationID=P20150616022", "https://www.airitibooks.com/Detail/Detail?PublicationID=P20150616022")</f>
        <v>https://www.airitibooks.com/Detail/Detail?PublicationID=P20150616022</v>
      </c>
      <c r="K3483" s="13" t="str">
        <f>HYPERLINK("https://ntsu.idm.oclc.org/login?url=https://www.airitibooks.com/Detail/Detail?PublicationID=P20150616022", "https://ntsu.idm.oclc.org/login?url=https://www.airitibooks.com/Detail/Detail?PublicationID=P20150616022")</f>
        <v>https://ntsu.idm.oclc.org/login?url=https://www.airitibooks.com/Detail/Detail?PublicationID=P20150616022</v>
      </c>
    </row>
    <row r="3484" spans="1:11" ht="51" x14ac:dyDescent="0.4">
      <c r="A3484" s="10" t="s">
        <v>2711</v>
      </c>
      <c r="B3484" s="10" t="s">
        <v>2712</v>
      </c>
      <c r="C3484" s="10" t="s">
        <v>428</v>
      </c>
      <c r="D3484" s="10" t="s">
        <v>2713</v>
      </c>
      <c r="E3484" s="10" t="s">
        <v>30</v>
      </c>
      <c r="F3484" s="10" t="s">
        <v>1234</v>
      </c>
      <c r="G3484" s="10" t="s">
        <v>209</v>
      </c>
      <c r="H3484" s="7" t="s">
        <v>24</v>
      </c>
      <c r="I3484" s="7" t="s">
        <v>25</v>
      </c>
      <c r="J3484" s="13" t="str">
        <f>HYPERLINK("https://www.airitibooks.com/Detail/Detail?PublicationID=P20150624018", "https://www.airitibooks.com/Detail/Detail?PublicationID=P20150624018")</f>
        <v>https://www.airitibooks.com/Detail/Detail?PublicationID=P20150624018</v>
      </c>
      <c r="K3484" s="13" t="str">
        <f>HYPERLINK("https://ntsu.idm.oclc.org/login?url=https://www.airitibooks.com/Detail/Detail?PublicationID=P20150624018", "https://ntsu.idm.oclc.org/login?url=https://www.airitibooks.com/Detail/Detail?PublicationID=P20150624018")</f>
        <v>https://ntsu.idm.oclc.org/login?url=https://www.airitibooks.com/Detail/Detail?PublicationID=P20150624018</v>
      </c>
    </row>
    <row r="3485" spans="1:11" ht="51" x14ac:dyDescent="0.4">
      <c r="A3485" s="10" t="s">
        <v>2983</v>
      </c>
      <c r="B3485" s="10" t="s">
        <v>2984</v>
      </c>
      <c r="C3485" s="10" t="s">
        <v>1203</v>
      </c>
      <c r="D3485" s="10" t="s">
        <v>2985</v>
      </c>
      <c r="E3485" s="10" t="s">
        <v>30</v>
      </c>
      <c r="F3485" s="10" t="s">
        <v>279</v>
      </c>
      <c r="G3485" s="10" t="s">
        <v>209</v>
      </c>
      <c r="H3485" s="7" t="s">
        <v>24</v>
      </c>
      <c r="I3485" s="7" t="s">
        <v>25</v>
      </c>
      <c r="J3485" s="13" t="str">
        <f>HYPERLINK("https://www.airitibooks.com/Detail/Detail?PublicationID=P20150807034", "https://www.airitibooks.com/Detail/Detail?PublicationID=P20150807034")</f>
        <v>https://www.airitibooks.com/Detail/Detail?PublicationID=P20150807034</v>
      </c>
      <c r="K3485" s="13" t="str">
        <f>HYPERLINK("https://ntsu.idm.oclc.org/login?url=https://www.airitibooks.com/Detail/Detail?PublicationID=P20150807034", "https://ntsu.idm.oclc.org/login?url=https://www.airitibooks.com/Detail/Detail?PublicationID=P20150807034")</f>
        <v>https://ntsu.idm.oclc.org/login?url=https://www.airitibooks.com/Detail/Detail?PublicationID=P20150807034</v>
      </c>
    </row>
    <row r="3486" spans="1:11" ht="51" x14ac:dyDescent="0.4">
      <c r="A3486" s="10" t="s">
        <v>2986</v>
      </c>
      <c r="B3486" s="10" t="s">
        <v>2987</v>
      </c>
      <c r="C3486" s="10" t="s">
        <v>1203</v>
      </c>
      <c r="D3486" s="10" t="s">
        <v>2985</v>
      </c>
      <c r="E3486" s="10" t="s">
        <v>30</v>
      </c>
      <c r="F3486" s="10" t="s">
        <v>279</v>
      </c>
      <c r="G3486" s="10" t="s">
        <v>209</v>
      </c>
      <c r="H3486" s="7" t="s">
        <v>24</v>
      </c>
      <c r="I3486" s="7" t="s">
        <v>25</v>
      </c>
      <c r="J3486" s="13" t="str">
        <f>HYPERLINK("https://www.airitibooks.com/Detail/Detail?PublicationID=P20150807035", "https://www.airitibooks.com/Detail/Detail?PublicationID=P20150807035")</f>
        <v>https://www.airitibooks.com/Detail/Detail?PublicationID=P20150807035</v>
      </c>
      <c r="K3486" s="13" t="str">
        <f>HYPERLINK("https://ntsu.idm.oclc.org/login?url=https://www.airitibooks.com/Detail/Detail?PublicationID=P20150807035", "https://ntsu.idm.oclc.org/login?url=https://www.airitibooks.com/Detail/Detail?PublicationID=P20150807035")</f>
        <v>https://ntsu.idm.oclc.org/login?url=https://www.airitibooks.com/Detail/Detail?PublicationID=P20150807035</v>
      </c>
    </row>
    <row r="3487" spans="1:11" ht="51" x14ac:dyDescent="0.4">
      <c r="A3487" s="10" t="s">
        <v>3189</v>
      </c>
      <c r="B3487" s="10" t="s">
        <v>3190</v>
      </c>
      <c r="C3487" s="10" t="s">
        <v>108</v>
      </c>
      <c r="D3487" s="10" t="s">
        <v>2434</v>
      </c>
      <c r="E3487" s="10" t="s">
        <v>30</v>
      </c>
      <c r="F3487" s="10" t="s">
        <v>2435</v>
      </c>
      <c r="G3487" s="10" t="s">
        <v>209</v>
      </c>
      <c r="H3487" s="7" t="s">
        <v>24</v>
      </c>
      <c r="I3487" s="7" t="s">
        <v>25</v>
      </c>
      <c r="J3487" s="13" t="str">
        <f>HYPERLINK("https://www.airitibooks.com/Detail/Detail?PublicationID=P20150820186", "https://www.airitibooks.com/Detail/Detail?PublicationID=P20150820186")</f>
        <v>https://www.airitibooks.com/Detail/Detail?PublicationID=P20150820186</v>
      </c>
      <c r="K3487" s="13" t="str">
        <f>HYPERLINK("https://ntsu.idm.oclc.org/login?url=https://www.airitibooks.com/Detail/Detail?PublicationID=P20150820186", "https://ntsu.idm.oclc.org/login?url=https://www.airitibooks.com/Detail/Detail?PublicationID=P20150820186")</f>
        <v>https://ntsu.idm.oclc.org/login?url=https://www.airitibooks.com/Detail/Detail?PublicationID=P20150820186</v>
      </c>
    </row>
    <row r="3488" spans="1:11" ht="51" x14ac:dyDescent="0.4">
      <c r="A3488" s="10" t="s">
        <v>3554</v>
      </c>
      <c r="B3488" s="10" t="s">
        <v>3555</v>
      </c>
      <c r="C3488" s="10" t="s">
        <v>1203</v>
      </c>
      <c r="D3488" s="10" t="s">
        <v>3556</v>
      </c>
      <c r="E3488" s="10" t="s">
        <v>30</v>
      </c>
      <c r="F3488" s="10" t="s">
        <v>3557</v>
      </c>
      <c r="G3488" s="10" t="s">
        <v>209</v>
      </c>
      <c r="H3488" s="7" t="s">
        <v>24</v>
      </c>
      <c r="I3488" s="7" t="s">
        <v>25</v>
      </c>
      <c r="J3488" s="13" t="str">
        <f>HYPERLINK("https://www.airitibooks.com/Detail/Detail?PublicationID=P20150921015", "https://www.airitibooks.com/Detail/Detail?PublicationID=P20150921015")</f>
        <v>https://www.airitibooks.com/Detail/Detail?PublicationID=P20150921015</v>
      </c>
      <c r="K3488" s="13" t="str">
        <f>HYPERLINK("https://ntsu.idm.oclc.org/login?url=https://www.airitibooks.com/Detail/Detail?PublicationID=P20150921015", "https://ntsu.idm.oclc.org/login?url=https://www.airitibooks.com/Detail/Detail?PublicationID=P20150921015")</f>
        <v>https://ntsu.idm.oclc.org/login?url=https://www.airitibooks.com/Detail/Detail?PublicationID=P20150921015</v>
      </c>
    </row>
    <row r="3489" spans="1:11" ht="51" x14ac:dyDescent="0.4">
      <c r="A3489" s="10" t="s">
        <v>4075</v>
      </c>
      <c r="B3489" s="10" t="s">
        <v>4076</v>
      </c>
      <c r="C3489" s="10" t="s">
        <v>1203</v>
      </c>
      <c r="D3489" s="10" t="s">
        <v>2985</v>
      </c>
      <c r="E3489" s="10" t="s">
        <v>30</v>
      </c>
      <c r="F3489" s="10" t="s">
        <v>279</v>
      </c>
      <c r="G3489" s="10" t="s">
        <v>209</v>
      </c>
      <c r="H3489" s="7" t="s">
        <v>24</v>
      </c>
      <c r="I3489" s="7" t="s">
        <v>25</v>
      </c>
      <c r="J3489" s="13" t="str">
        <f>HYPERLINK("https://www.airitibooks.com/Detail/Detail?PublicationID=P20151204059", "https://www.airitibooks.com/Detail/Detail?PublicationID=P20151204059")</f>
        <v>https://www.airitibooks.com/Detail/Detail?PublicationID=P20151204059</v>
      </c>
      <c r="K3489" s="13" t="str">
        <f>HYPERLINK("https://ntsu.idm.oclc.org/login?url=https://www.airitibooks.com/Detail/Detail?PublicationID=P20151204059", "https://ntsu.idm.oclc.org/login?url=https://www.airitibooks.com/Detail/Detail?PublicationID=P20151204059")</f>
        <v>https://ntsu.idm.oclc.org/login?url=https://www.airitibooks.com/Detail/Detail?PublicationID=P20151204059</v>
      </c>
    </row>
    <row r="3490" spans="1:11" ht="51" x14ac:dyDescent="0.4">
      <c r="A3490" s="10" t="s">
        <v>4077</v>
      </c>
      <c r="B3490" s="10" t="s">
        <v>4078</v>
      </c>
      <c r="C3490" s="10" t="s">
        <v>1203</v>
      </c>
      <c r="D3490" s="10" t="s">
        <v>3556</v>
      </c>
      <c r="E3490" s="10" t="s">
        <v>30</v>
      </c>
      <c r="F3490" s="10" t="s">
        <v>4079</v>
      </c>
      <c r="G3490" s="10" t="s">
        <v>209</v>
      </c>
      <c r="H3490" s="7" t="s">
        <v>24</v>
      </c>
      <c r="I3490" s="7" t="s">
        <v>25</v>
      </c>
      <c r="J3490" s="13" t="str">
        <f>HYPERLINK("https://www.airitibooks.com/Detail/Detail?PublicationID=P20151204060", "https://www.airitibooks.com/Detail/Detail?PublicationID=P20151204060")</f>
        <v>https://www.airitibooks.com/Detail/Detail?PublicationID=P20151204060</v>
      </c>
      <c r="K3490" s="13" t="str">
        <f>HYPERLINK("https://ntsu.idm.oclc.org/login?url=https://www.airitibooks.com/Detail/Detail?PublicationID=P20151204060", "https://ntsu.idm.oclc.org/login?url=https://www.airitibooks.com/Detail/Detail?PublicationID=P20151204060")</f>
        <v>https://ntsu.idm.oclc.org/login?url=https://www.airitibooks.com/Detail/Detail?PublicationID=P20151204060</v>
      </c>
    </row>
    <row r="3491" spans="1:11" ht="51" x14ac:dyDescent="0.4">
      <c r="A3491" s="10" t="s">
        <v>4517</v>
      </c>
      <c r="B3491" s="10" t="s">
        <v>4518</v>
      </c>
      <c r="C3491" s="10" t="s">
        <v>428</v>
      </c>
      <c r="D3491" s="10" t="s">
        <v>4519</v>
      </c>
      <c r="E3491" s="10" t="s">
        <v>30</v>
      </c>
      <c r="F3491" s="10" t="s">
        <v>488</v>
      </c>
      <c r="G3491" s="10" t="s">
        <v>209</v>
      </c>
      <c r="H3491" s="7" t="s">
        <v>24</v>
      </c>
      <c r="I3491" s="7" t="s">
        <v>25</v>
      </c>
      <c r="J3491" s="13" t="str">
        <f>HYPERLINK("https://www.airitibooks.com/Detail/Detail?PublicationID=P20160421133", "https://www.airitibooks.com/Detail/Detail?PublicationID=P20160421133")</f>
        <v>https://www.airitibooks.com/Detail/Detail?PublicationID=P20160421133</v>
      </c>
      <c r="K3491" s="13" t="str">
        <f>HYPERLINK("https://ntsu.idm.oclc.org/login?url=https://www.airitibooks.com/Detail/Detail?PublicationID=P20160421133", "https://ntsu.idm.oclc.org/login?url=https://www.airitibooks.com/Detail/Detail?PublicationID=P20160421133")</f>
        <v>https://ntsu.idm.oclc.org/login?url=https://www.airitibooks.com/Detail/Detail?PublicationID=P20160421133</v>
      </c>
    </row>
    <row r="3492" spans="1:11" ht="51" x14ac:dyDescent="0.4">
      <c r="A3492" s="10" t="s">
        <v>4725</v>
      </c>
      <c r="B3492" s="10" t="s">
        <v>4726</v>
      </c>
      <c r="C3492" s="10" t="s">
        <v>2515</v>
      </c>
      <c r="D3492" s="10" t="s">
        <v>4727</v>
      </c>
      <c r="E3492" s="10" t="s">
        <v>30</v>
      </c>
      <c r="F3492" s="10" t="s">
        <v>4728</v>
      </c>
      <c r="G3492" s="10" t="s">
        <v>209</v>
      </c>
      <c r="H3492" s="7" t="s">
        <v>24</v>
      </c>
      <c r="I3492" s="7" t="s">
        <v>25</v>
      </c>
      <c r="J3492" s="13" t="str">
        <f>HYPERLINK("https://www.airitibooks.com/Detail/Detail?PublicationID=P20160603027", "https://www.airitibooks.com/Detail/Detail?PublicationID=P20160603027")</f>
        <v>https://www.airitibooks.com/Detail/Detail?PublicationID=P20160603027</v>
      </c>
      <c r="K3492" s="13" t="str">
        <f>HYPERLINK("https://ntsu.idm.oclc.org/login?url=https://www.airitibooks.com/Detail/Detail?PublicationID=P20160603027", "https://ntsu.idm.oclc.org/login?url=https://www.airitibooks.com/Detail/Detail?PublicationID=P20160603027")</f>
        <v>https://ntsu.idm.oclc.org/login?url=https://www.airitibooks.com/Detail/Detail?PublicationID=P20160603027</v>
      </c>
    </row>
    <row r="3493" spans="1:11" ht="51" x14ac:dyDescent="0.4">
      <c r="A3493" s="10" t="s">
        <v>4838</v>
      </c>
      <c r="B3493" s="10" t="s">
        <v>4839</v>
      </c>
      <c r="C3493" s="10" t="s">
        <v>2367</v>
      </c>
      <c r="D3493" s="10" t="s">
        <v>4836</v>
      </c>
      <c r="E3493" s="10" t="s">
        <v>30</v>
      </c>
      <c r="F3493" s="10" t="s">
        <v>1268</v>
      </c>
      <c r="G3493" s="10" t="s">
        <v>209</v>
      </c>
      <c r="H3493" s="7" t="s">
        <v>24</v>
      </c>
      <c r="I3493" s="7" t="s">
        <v>25</v>
      </c>
      <c r="J3493" s="13" t="str">
        <f>HYPERLINK("https://www.airitibooks.com/Detail/Detail?PublicationID=P20160715131", "https://www.airitibooks.com/Detail/Detail?PublicationID=P20160715131")</f>
        <v>https://www.airitibooks.com/Detail/Detail?PublicationID=P20160715131</v>
      </c>
      <c r="K3493" s="13" t="str">
        <f>HYPERLINK("https://ntsu.idm.oclc.org/login?url=https://www.airitibooks.com/Detail/Detail?PublicationID=P20160715131", "https://ntsu.idm.oclc.org/login?url=https://www.airitibooks.com/Detail/Detail?PublicationID=P20160715131")</f>
        <v>https://ntsu.idm.oclc.org/login?url=https://www.airitibooks.com/Detail/Detail?PublicationID=P20160715131</v>
      </c>
    </row>
    <row r="3494" spans="1:11" ht="51" x14ac:dyDescent="0.4">
      <c r="A3494" s="10" t="s">
        <v>7825</v>
      </c>
      <c r="B3494" s="10" t="s">
        <v>7826</v>
      </c>
      <c r="C3494" s="10" t="s">
        <v>7822</v>
      </c>
      <c r="D3494" s="10" t="s">
        <v>7827</v>
      </c>
      <c r="E3494" s="10" t="s">
        <v>30</v>
      </c>
      <c r="F3494" s="10" t="s">
        <v>7828</v>
      </c>
      <c r="G3494" s="10" t="s">
        <v>209</v>
      </c>
      <c r="H3494" s="7" t="s">
        <v>24</v>
      </c>
      <c r="I3494" s="7" t="s">
        <v>25</v>
      </c>
      <c r="J3494" s="13" t="str">
        <f>HYPERLINK("https://www.airitibooks.com/Detail/Detail?PublicationID=P20171127173", "https://www.airitibooks.com/Detail/Detail?PublicationID=P20171127173")</f>
        <v>https://www.airitibooks.com/Detail/Detail?PublicationID=P20171127173</v>
      </c>
      <c r="K3494" s="13" t="str">
        <f>HYPERLINK("https://ntsu.idm.oclc.org/login?url=https://www.airitibooks.com/Detail/Detail?PublicationID=P20171127173", "https://ntsu.idm.oclc.org/login?url=https://www.airitibooks.com/Detail/Detail?PublicationID=P20171127173")</f>
        <v>https://ntsu.idm.oclc.org/login?url=https://www.airitibooks.com/Detail/Detail?PublicationID=P20171127173</v>
      </c>
    </row>
    <row r="3495" spans="1:11" ht="51" x14ac:dyDescent="0.4">
      <c r="A3495" s="10" t="s">
        <v>9721</v>
      </c>
      <c r="B3495" s="10" t="s">
        <v>9722</v>
      </c>
      <c r="C3495" s="10" t="s">
        <v>1296</v>
      </c>
      <c r="D3495" s="10" t="s">
        <v>9723</v>
      </c>
      <c r="E3495" s="10" t="s">
        <v>30</v>
      </c>
      <c r="F3495" s="10" t="s">
        <v>4728</v>
      </c>
      <c r="G3495" s="10" t="s">
        <v>209</v>
      </c>
      <c r="H3495" s="7" t="s">
        <v>24</v>
      </c>
      <c r="I3495" s="7" t="s">
        <v>25</v>
      </c>
      <c r="J3495" s="13" t="str">
        <f>HYPERLINK("https://www.airitibooks.com/Detail/Detail?PublicationID=P20180821006", "https://www.airitibooks.com/Detail/Detail?PublicationID=P20180821006")</f>
        <v>https://www.airitibooks.com/Detail/Detail?PublicationID=P20180821006</v>
      </c>
      <c r="K3495" s="13" t="str">
        <f>HYPERLINK("https://ntsu.idm.oclc.org/login?url=https://www.airitibooks.com/Detail/Detail?PublicationID=P20180821006", "https://ntsu.idm.oclc.org/login?url=https://www.airitibooks.com/Detail/Detail?PublicationID=P20180821006")</f>
        <v>https://ntsu.idm.oclc.org/login?url=https://www.airitibooks.com/Detail/Detail?PublicationID=P20180821006</v>
      </c>
    </row>
    <row r="3496" spans="1:11" ht="51" x14ac:dyDescent="0.4">
      <c r="A3496" s="10" t="s">
        <v>72</v>
      </c>
      <c r="B3496" s="10" t="s">
        <v>73</v>
      </c>
      <c r="C3496" s="10" t="s">
        <v>28</v>
      </c>
      <c r="D3496" s="10" t="s">
        <v>74</v>
      </c>
      <c r="E3496" s="10" t="s">
        <v>30</v>
      </c>
      <c r="F3496" s="10" t="s">
        <v>75</v>
      </c>
      <c r="G3496" s="10" t="s">
        <v>76</v>
      </c>
      <c r="H3496" s="7" t="s">
        <v>24</v>
      </c>
      <c r="I3496" s="7" t="s">
        <v>25</v>
      </c>
      <c r="J3496" s="13" t="str">
        <f>HYPERLINK("https://www.airitibooks.com/Detail/Detail?PublicationID=P20091028113", "https://www.airitibooks.com/Detail/Detail?PublicationID=P20091028113")</f>
        <v>https://www.airitibooks.com/Detail/Detail?PublicationID=P20091028113</v>
      </c>
      <c r="K3496" s="13" t="str">
        <f>HYPERLINK("https://ntsu.idm.oclc.org/login?url=https://www.airitibooks.com/Detail/Detail?PublicationID=P20091028113", "https://ntsu.idm.oclc.org/login?url=https://www.airitibooks.com/Detail/Detail?PublicationID=P20091028113")</f>
        <v>https://ntsu.idm.oclc.org/login?url=https://www.airitibooks.com/Detail/Detail?PublicationID=P20091028113</v>
      </c>
    </row>
    <row r="3497" spans="1:11" ht="51" x14ac:dyDescent="0.4">
      <c r="A3497" s="10" t="s">
        <v>77</v>
      </c>
      <c r="B3497" s="10" t="s">
        <v>78</v>
      </c>
      <c r="C3497" s="10" t="s">
        <v>28</v>
      </c>
      <c r="D3497" s="10" t="s">
        <v>74</v>
      </c>
      <c r="E3497" s="10" t="s">
        <v>30</v>
      </c>
      <c r="F3497" s="10" t="s">
        <v>79</v>
      </c>
      <c r="G3497" s="10" t="s">
        <v>76</v>
      </c>
      <c r="H3497" s="7" t="s">
        <v>24</v>
      </c>
      <c r="I3497" s="7" t="s">
        <v>25</v>
      </c>
      <c r="J3497" s="13" t="str">
        <f>HYPERLINK("https://www.airitibooks.com/Detail/Detail?PublicationID=P20091028116", "https://www.airitibooks.com/Detail/Detail?PublicationID=P20091028116")</f>
        <v>https://www.airitibooks.com/Detail/Detail?PublicationID=P20091028116</v>
      </c>
      <c r="K3497" s="13" t="str">
        <f>HYPERLINK("https://ntsu.idm.oclc.org/login?url=https://www.airitibooks.com/Detail/Detail?PublicationID=P20091028116", "https://ntsu.idm.oclc.org/login?url=https://www.airitibooks.com/Detail/Detail?PublicationID=P20091028116")</f>
        <v>https://ntsu.idm.oclc.org/login?url=https://www.airitibooks.com/Detail/Detail?PublicationID=P20091028116</v>
      </c>
    </row>
    <row r="3498" spans="1:11" ht="51" x14ac:dyDescent="0.4">
      <c r="A3498" s="10" t="s">
        <v>80</v>
      </c>
      <c r="B3498" s="10" t="s">
        <v>81</v>
      </c>
      <c r="C3498" s="10" t="s">
        <v>28</v>
      </c>
      <c r="D3498" s="10" t="s">
        <v>82</v>
      </c>
      <c r="E3498" s="10" t="s">
        <v>30</v>
      </c>
      <c r="F3498" s="10" t="s">
        <v>79</v>
      </c>
      <c r="G3498" s="10" t="s">
        <v>76</v>
      </c>
      <c r="H3498" s="7" t="s">
        <v>24</v>
      </c>
      <c r="I3498" s="7" t="s">
        <v>25</v>
      </c>
      <c r="J3498" s="13" t="str">
        <f>HYPERLINK("https://www.airitibooks.com/Detail/Detail?PublicationID=P20091028117", "https://www.airitibooks.com/Detail/Detail?PublicationID=P20091028117")</f>
        <v>https://www.airitibooks.com/Detail/Detail?PublicationID=P20091028117</v>
      </c>
      <c r="K3498" s="13" t="str">
        <f>HYPERLINK("https://ntsu.idm.oclc.org/login?url=https://www.airitibooks.com/Detail/Detail?PublicationID=P20091028117", "https://ntsu.idm.oclc.org/login?url=https://www.airitibooks.com/Detail/Detail?PublicationID=P20091028117")</f>
        <v>https://ntsu.idm.oclc.org/login?url=https://www.airitibooks.com/Detail/Detail?PublicationID=P20091028117</v>
      </c>
    </row>
    <row r="3499" spans="1:11" ht="51" x14ac:dyDescent="0.4">
      <c r="A3499" s="10" t="s">
        <v>88</v>
      </c>
      <c r="B3499" s="10" t="s">
        <v>89</v>
      </c>
      <c r="C3499" s="10" t="s">
        <v>28</v>
      </c>
      <c r="D3499" s="10" t="s">
        <v>90</v>
      </c>
      <c r="E3499" s="10" t="s">
        <v>30</v>
      </c>
      <c r="F3499" s="10" t="s">
        <v>75</v>
      </c>
      <c r="G3499" s="10" t="s">
        <v>76</v>
      </c>
      <c r="H3499" s="7" t="s">
        <v>24</v>
      </c>
      <c r="I3499" s="7" t="s">
        <v>25</v>
      </c>
      <c r="J3499" s="13" t="str">
        <f>HYPERLINK("https://www.airitibooks.com/Detail/Detail?PublicationID=P200911261934", "https://www.airitibooks.com/Detail/Detail?PublicationID=P200911261934")</f>
        <v>https://www.airitibooks.com/Detail/Detail?PublicationID=P200911261934</v>
      </c>
      <c r="K3499" s="13" t="str">
        <f>HYPERLINK("https://ntsu.idm.oclc.org/login?url=https://www.airitibooks.com/Detail/Detail?PublicationID=P200911261934", "https://ntsu.idm.oclc.org/login?url=https://www.airitibooks.com/Detail/Detail?PublicationID=P200911261934")</f>
        <v>https://ntsu.idm.oclc.org/login?url=https://www.airitibooks.com/Detail/Detail?PublicationID=P200911261934</v>
      </c>
    </row>
    <row r="3500" spans="1:11" ht="51" x14ac:dyDescent="0.4">
      <c r="A3500" s="10" t="s">
        <v>91</v>
      </c>
      <c r="B3500" s="10" t="s">
        <v>92</v>
      </c>
      <c r="C3500" s="10" t="s">
        <v>28</v>
      </c>
      <c r="D3500" s="10" t="s">
        <v>93</v>
      </c>
      <c r="E3500" s="10" t="s">
        <v>30</v>
      </c>
      <c r="F3500" s="10" t="s">
        <v>75</v>
      </c>
      <c r="G3500" s="10" t="s">
        <v>76</v>
      </c>
      <c r="H3500" s="7" t="s">
        <v>24</v>
      </c>
      <c r="I3500" s="7" t="s">
        <v>25</v>
      </c>
      <c r="J3500" s="13" t="str">
        <f>HYPERLINK("https://www.airitibooks.com/Detail/Detail?PublicationID=P200911261935", "https://www.airitibooks.com/Detail/Detail?PublicationID=P200911261935")</f>
        <v>https://www.airitibooks.com/Detail/Detail?PublicationID=P200911261935</v>
      </c>
      <c r="K3500" s="13" t="str">
        <f>HYPERLINK("https://ntsu.idm.oclc.org/login?url=https://www.airitibooks.com/Detail/Detail?PublicationID=P200911261935", "https://ntsu.idm.oclc.org/login?url=https://www.airitibooks.com/Detail/Detail?PublicationID=P200911261935")</f>
        <v>https://ntsu.idm.oclc.org/login?url=https://www.airitibooks.com/Detail/Detail?PublicationID=P200911261935</v>
      </c>
    </row>
    <row r="3501" spans="1:11" ht="51" x14ac:dyDescent="0.4">
      <c r="A3501" s="10" t="s">
        <v>1827</v>
      </c>
      <c r="B3501" s="10" t="s">
        <v>1828</v>
      </c>
      <c r="C3501" s="10" t="s">
        <v>439</v>
      </c>
      <c r="D3501" s="10" t="s">
        <v>1829</v>
      </c>
      <c r="E3501" s="10" t="s">
        <v>30</v>
      </c>
      <c r="F3501" s="10" t="s">
        <v>294</v>
      </c>
      <c r="G3501" s="10" t="s">
        <v>76</v>
      </c>
      <c r="H3501" s="7" t="s">
        <v>24</v>
      </c>
      <c r="I3501" s="7" t="s">
        <v>25</v>
      </c>
      <c r="J3501" s="13" t="str">
        <f>HYPERLINK("https://www.airitibooks.com/Detail/Detail?PublicationID=P201501152182", "https://www.airitibooks.com/Detail/Detail?PublicationID=P201501152182")</f>
        <v>https://www.airitibooks.com/Detail/Detail?PublicationID=P201501152182</v>
      </c>
      <c r="K3501" s="13" t="str">
        <f>HYPERLINK("https://ntsu.idm.oclc.org/login?url=https://www.airitibooks.com/Detail/Detail?PublicationID=P201501152182", "https://ntsu.idm.oclc.org/login?url=https://www.airitibooks.com/Detail/Detail?PublicationID=P201501152182")</f>
        <v>https://ntsu.idm.oclc.org/login?url=https://www.airitibooks.com/Detail/Detail?PublicationID=P201501152182</v>
      </c>
    </row>
    <row r="3502" spans="1:11" ht="68" x14ac:dyDescent="0.4">
      <c r="A3502" s="10" t="s">
        <v>1995</v>
      </c>
      <c r="B3502" s="10" t="s">
        <v>1996</v>
      </c>
      <c r="C3502" s="10" t="s">
        <v>1484</v>
      </c>
      <c r="D3502" s="10" t="s">
        <v>1997</v>
      </c>
      <c r="E3502" s="10" t="s">
        <v>30</v>
      </c>
      <c r="F3502" s="10" t="s">
        <v>1998</v>
      </c>
      <c r="G3502" s="10" t="s">
        <v>76</v>
      </c>
      <c r="H3502" s="7" t="s">
        <v>24</v>
      </c>
      <c r="I3502" s="7" t="s">
        <v>25</v>
      </c>
      <c r="J3502" s="13" t="str">
        <f>HYPERLINK("https://www.airitibooks.com/Detail/Detail?PublicationID=P20150211020", "https://www.airitibooks.com/Detail/Detail?PublicationID=P20150211020")</f>
        <v>https://www.airitibooks.com/Detail/Detail?PublicationID=P20150211020</v>
      </c>
      <c r="K3502" s="13" t="str">
        <f>HYPERLINK("https://ntsu.idm.oclc.org/login?url=https://www.airitibooks.com/Detail/Detail?PublicationID=P20150211020", "https://ntsu.idm.oclc.org/login?url=https://www.airitibooks.com/Detail/Detail?PublicationID=P20150211020")</f>
        <v>https://ntsu.idm.oclc.org/login?url=https://www.airitibooks.com/Detail/Detail?PublicationID=P20150211020</v>
      </c>
    </row>
    <row r="3503" spans="1:11" ht="68" x14ac:dyDescent="0.4">
      <c r="A3503" s="10" t="s">
        <v>1999</v>
      </c>
      <c r="B3503" s="10" t="s">
        <v>2000</v>
      </c>
      <c r="C3503" s="10" t="s">
        <v>292</v>
      </c>
      <c r="D3503" s="10" t="s">
        <v>2001</v>
      </c>
      <c r="E3503" s="10" t="s">
        <v>30</v>
      </c>
      <c r="F3503" s="10" t="s">
        <v>294</v>
      </c>
      <c r="G3503" s="10" t="s">
        <v>76</v>
      </c>
      <c r="H3503" s="7" t="s">
        <v>24</v>
      </c>
      <c r="I3503" s="7" t="s">
        <v>25</v>
      </c>
      <c r="J3503" s="13" t="str">
        <f>HYPERLINK("https://www.airitibooks.com/Detail/Detail?PublicationID=P20150211022", "https://www.airitibooks.com/Detail/Detail?PublicationID=P20150211022")</f>
        <v>https://www.airitibooks.com/Detail/Detail?PublicationID=P20150211022</v>
      </c>
      <c r="K3503" s="13" t="str">
        <f>HYPERLINK("https://ntsu.idm.oclc.org/login?url=https://www.airitibooks.com/Detail/Detail?PublicationID=P20150211022", "https://ntsu.idm.oclc.org/login?url=https://www.airitibooks.com/Detail/Detail?PublicationID=P20150211022")</f>
        <v>https://ntsu.idm.oclc.org/login?url=https://www.airitibooks.com/Detail/Detail?PublicationID=P20150211022</v>
      </c>
    </row>
    <row r="3504" spans="1:11" ht="51" x14ac:dyDescent="0.4">
      <c r="A3504" s="10" t="s">
        <v>2002</v>
      </c>
      <c r="B3504" s="10" t="s">
        <v>2003</v>
      </c>
      <c r="C3504" s="10" t="s">
        <v>101</v>
      </c>
      <c r="D3504" s="10" t="s">
        <v>102</v>
      </c>
      <c r="E3504" s="10" t="s">
        <v>30</v>
      </c>
      <c r="F3504" s="10" t="s">
        <v>2004</v>
      </c>
      <c r="G3504" s="10" t="s">
        <v>76</v>
      </c>
      <c r="H3504" s="7" t="s">
        <v>24</v>
      </c>
      <c r="I3504" s="7" t="s">
        <v>25</v>
      </c>
      <c r="J3504" s="13" t="str">
        <f>HYPERLINK("https://www.airitibooks.com/Detail/Detail?PublicationID=P20150211023", "https://www.airitibooks.com/Detail/Detail?PublicationID=P20150211023")</f>
        <v>https://www.airitibooks.com/Detail/Detail?PublicationID=P20150211023</v>
      </c>
      <c r="K3504" s="13" t="str">
        <f>HYPERLINK("https://ntsu.idm.oclc.org/login?url=https://www.airitibooks.com/Detail/Detail?PublicationID=P20150211023", "https://ntsu.idm.oclc.org/login?url=https://www.airitibooks.com/Detail/Detail?PublicationID=P20150211023")</f>
        <v>https://ntsu.idm.oclc.org/login?url=https://www.airitibooks.com/Detail/Detail?PublicationID=P20150211023</v>
      </c>
    </row>
    <row r="3505" spans="1:11" ht="51" x14ac:dyDescent="0.4">
      <c r="A3505" s="10" t="s">
        <v>2018</v>
      </c>
      <c r="B3505" s="10" t="s">
        <v>2019</v>
      </c>
      <c r="C3505" s="10" t="s">
        <v>2020</v>
      </c>
      <c r="D3505" s="10" t="s">
        <v>2021</v>
      </c>
      <c r="E3505" s="10" t="s">
        <v>30</v>
      </c>
      <c r="F3505" s="10" t="s">
        <v>79</v>
      </c>
      <c r="G3505" s="10" t="s">
        <v>76</v>
      </c>
      <c r="H3505" s="7" t="s">
        <v>24</v>
      </c>
      <c r="I3505" s="7" t="s">
        <v>25</v>
      </c>
      <c r="J3505" s="13" t="str">
        <f>HYPERLINK("https://www.airitibooks.com/Detail/Detail?PublicationID=P20150213130", "https://www.airitibooks.com/Detail/Detail?PublicationID=P20150213130")</f>
        <v>https://www.airitibooks.com/Detail/Detail?PublicationID=P20150213130</v>
      </c>
      <c r="K3505" s="13" t="str">
        <f>HYPERLINK("https://ntsu.idm.oclc.org/login?url=https://www.airitibooks.com/Detail/Detail?PublicationID=P20150213130", "https://ntsu.idm.oclc.org/login?url=https://www.airitibooks.com/Detail/Detail?PublicationID=P20150213130")</f>
        <v>https://ntsu.idm.oclc.org/login?url=https://www.airitibooks.com/Detail/Detail?PublicationID=P20150213130</v>
      </c>
    </row>
    <row r="3506" spans="1:11" ht="68" x14ac:dyDescent="0.4">
      <c r="A3506" s="10" t="s">
        <v>2028</v>
      </c>
      <c r="B3506" s="10" t="s">
        <v>2029</v>
      </c>
      <c r="C3506" s="10" t="s">
        <v>1484</v>
      </c>
      <c r="D3506" s="10" t="s">
        <v>2030</v>
      </c>
      <c r="E3506" s="10" t="s">
        <v>30</v>
      </c>
      <c r="F3506" s="10" t="s">
        <v>2007</v>
      </c>
      <c r="G3506" s="10" t="s">
        <v>76</v>
      </c>
      <c r="H3506" s="7" t="s">
        <v>24</v>
      </c>
      <c r="I3506" s="7" t="s">
        <v>25</v>
      </c>
      <c r="J3506" s="13" t="str">
        <f>HYPERLINK("https://www.airitibooks.com/Detail/Detail?PublicationID=P20150304001", "https://www.airitibooks.com/Detail/Detail?PublicationID=P20150304001")</f>
        <v>https://www.airitibooks.com/Detail/Detail?PublicationID=P20150304001</v>
      </c>
      <c r="K3506" s="13" t="str">
        <f>HYPERLINK("https://ntsu.idm.oclc.org/login?url=https://www.airitibooks.com/Detail/Detail?PublicationID=P20150304001", "https://ntsu.idm.oclc.org/login?url=https://www.airitibooks.com/Detail/Detail?PublicationID=P20150304001")</f>
        <v>https://ntsu.idm.oclc.org/login?url=https://www.airitibooks.com/Detail/Detail?PublicationID=P20150304001</v>
      </c>
    </row>
    <row r="3507" spans="1:11" ht="51" x14ac:dyDescent="0.4">
      <c r="A3507" s="10" t="s">
        <v>2055</v>
      </c>
      <c r="B3507" s="10" t="s">
        <v>2056</v>
      </c>
      <c r="C3507" s="10" t="s">
        <v>428</v>
      </c>
      <c r="D3507" s="10" t="s">
        <v>2057</v>
      </c>
      <c r="E3507" s="10" t="s">
        <v>30</v>
      </c>
      <c r="F3507" s="10" t="s">
        <v>1092</v>
      </c>
      <c r="G3507" s="10" t="s">
        <v>76</v>
      </c>
      <c r="H3507" s="7" t="s">
        <v>24</v>
      </c>
      <c r="I3507" s="7" t="s">
        <v>25</v>
      </c>
      <c r="J3507" s="13" t="str">
        <f>HYPERLINK("https://www.airitibooks.com/Detail/Detail?PublicationID=P20150309002", "https://www.airitibooks.com/Detail/Detail?PublicationID=P20150309002")</f>
        <v>https://www.airitibooks.com/Detail/Detail?PublicationID=P20150309002</v>
      </c>
      <c r="K3507" s="13" t="str">
        <f>HYPERLINK("https://ntsu.idm.oclc.org/login?url=https://www.airitibooks.com/Detail/Detail?PublicationID=P20150309002", "https://ntsu.idm.oclc.org/login?url=https://www.airitibooks.com/Detail/Detail?PublicationID=P20150309002")</f>
        <v>https://ntsu.idm.oclc.org/login?url=https://www.airitibooks.com/Detail/Detail?PublicationID=P20150309002</v>
      </c>
    </row>
    <row r="3508" spans="1:11" ht="51" x14ac:dyDescent="0.4">
      <c r="A3508" s="10" t="s">
        <v>2165</v>
      </c>
      <c r="B3508" s="10" t="s">
        <v>2166</v>
      </c>
      <c r="C3508" s="10" t="s">
        <v>661</v>
      </c>
      <c r="D3508" s="10" t="s">
        <v>2167</v>
      </c>
      <c r="E3508" s="10" t="s">
        <v>30</v>
      </c>
      <c r="F3508" s="10" t="s">
        <v>2168</v>
      </c>
      <c r="G3508" s="10" t="s">
        <v>76</v>
      </c>
      <c r="H3508" s="7" t="s">
        <v>24</v>
      </c>
      <c r="I3508" s="7" t="s">
        <v>25</v>
      </c>
      <c r="J3508" s="13" t="str">
        <f>HYPERLINK("https://www.airitibooks.com/Detail/Detail?PublicationID=P20150317029", "https://www.airitibooks.com/Detail/Detail?PublicationID=P20150317029")</f>
        <v>https://www.airitibooks.com/Detail/Detail?PublicationID=P20150317029</v>
      </c>
      <c r="K3508" s="13" t="str">
        <f>HYPERLINK("https://ntsu.idm.oclc.org/login?url=https://www.airitibooks.com/Detail/Detail?PublicationID=P20150317029", "https://ntsu.idm.oclc.org/login?url=https://www.airitibooks.com/Detail/Detail?PublicationID=P20150317029")</f>
        <v>https://ntsu.idm.oclc.org/login?url=https://www.airitibooks.com/Detail/Detail?PublicationID=P20150317029</v>
      </c>
    </row>
    <row r="3509" spans="1:11" ht="51" x14ac:dyDescent="0.4">
      <c r="A3509" s="10" t="s">
        <v>2272</v>
      </c>
      <c r="B3509" s="10" t="s">
        <v>2273</v>
      </c>
      <c r="C3509" s="10" t="s">
        <v>1727</v>
      </c>
      <c r="D3509" s="10" t="s">
        <v>2274</v>
      </c>
      <c r="E3509" s="10" t="s">
        <v>30</v>
      </c>
      <c r="F3509" s="10" t="s">
        <v>2275</v>
      </c>
      <c r="G3509" s="10" t="s">
        <v>76</v>
      </c>
      <c r="H3509" s="7" t="s">
        <v>24</v>
      </c>
      <c r="I3509" s="7" t="s">
        <v>25</v>
      </c>
      <c r="J3509" s="13" t="str">
        <f>HYPERLINK("https://www.airitibooks.com/Detail/Detail?PublicationID=P20150323050", "https://www.airitibooks.com/Detail/Detail?PublicationID=P20150323050")</f>
        <v>https://www.airitibooks.com/Detail/Detail?PublicationID=P20150323050</v>
      </c>
      <c r="K3509" s="13" t="str">
        <f>HYPERLINK("https://ntsu.idm.oclc.org/login?url=https://www.airitibooks.com/Detail/Detail?PublicationID=P20150323050", "https://ntsu.idm.oclc.org/login?url=https://www.airitibooks.com/Detail/Detail?PublicationID=P20150323050")</f>
        <v>https://ntsu.idm.oclc.org/login?url=https://www.airitibooks.com/Detail/Detail?PublicationID=P20150323050</v>
      </c>
    </row>
    <row r="3510" spans="1:11" ht="51" x14ac:dyDescent="0.4">
      <c r="A3510" s="10" t="s">
        <v>2338</v>
      </c>
      <c r="B3510" s="10" t="s">
        <v>2339</v>
      </c>
      <c r="C3510" s="10" t="s">
        <v>756</v>
      </c>
      <c r="D3510" s="10" t="s">
        <v>2340</v>
      </c>
      <c r="E3510" s="10" t="s">
        <v>30</v>
      </c>
      <c r="F3510" s="10" t="s">
        <v>2341</v>
      </c>
      <c r="G3510" s="10" t="s">
        <v>76</v>
      </c>
      <c r="H3510" s="7" t="s">
        <v>24</v>
      </c>
      <c r="I3510" s="7" t="s">
        <v>25</v>
      </c>
      <c r="J3510" s="13" t="str">
        <f>HYPERLINK("https://www.airitibooks.com/Detail/Detail?PublicationID=P20150414067", "https://www.airitibooks.com/Detail/Detail?PublicationID=P20150414067")</f>
        <v>https://www.airitibooks.com/Detail/Detail?PublicationID=P20150414067</v>
      </c>
      <c r="K3510" s="13" t="str">
        <f>HYPERLINK("https://ntsu.idm.oclc.org/login?url=https://www.airitibooks.com/Detail/Detail?PublicationID=P20150414067", "https://ntsu.idm.oclc.org/login?url=https://www.airitibooks.com/Detail/Detail?PublicationID=P20150414067")</f>
        <v>https://ntsu.idm.oclc.org/login?url=https://www.airitibooks.com/Detail/Detail?PublicationID=P20150414067</v>
      </c>
    </row>
    <row r="3511" spans="1:11" ht="85" x14ac:dyDescent="0.4">
      <c r="A3511" s="10" t="s">
        <v>2469</v>
      </c>
      <c r="B3511" s="10" t="s">
        <v>2470</v>
      </c>
      <c r="C3511" s="10" t="s">
        <v>938</v>
      </c>
      <c r="D3511" s="10" t="s">
        <v>2471</v>
      </c>
      <c r="E3511" s="10" t="s">
        <v>30</v>
      </c>
      <c r="F3511" s="10" t="s">
        <v>65</v>
      </c>
      <c r="G3511" s="10" t="s">
        <v>76</v>
      </c>
      <c r="H3511" s="7" t="s">
        <v>24</v>
      </c>
      <c r="I3511" s="7" t="s">
        <v>25</v>
      </c>
      <c r="J3511" s="13" t="str">
        <f>HYPERLINK("https://www.airitibooks.com/Detail/Detail?PublicationID=P20150505061", "https://www.airitibooks.com/Detail/Detail?PublicationID=P20150505061")</f>
        <v>https://www.airitibooks.com/Detail/Detail?PublicationID=P20150505061</v>
      </c>
      <c r="K3511" s="13" t="str">
        <f>HYPERLINK("https://ntsu.idm.oclc.org/login?url=https://www.airitibooks.com/Detail/Detail?PublicationID=P20150505061", "https://ntsu.idm.oclc.org/login?url=https://www.airitibooks.com/Detail/Detail?PublicationID=P20150505061")</f>
        <v>https://ntsu.idm.oclc.org/login?url=https://www.airitibooks.com/Detail/Detail?PublicationID=P20150505061</v>
      </c>
    </row>
    <row r="3512" spans="1:11" ht="51" x14ac:dyDescent="0.4">
      <c r="A3512" s="10" t="s">
        <v>2477</v>
      </c>
      <c r="B3512" s="10" t="s">
        <v>2478</v>
      </c>
      <c r="C3512" s="10" t="s">
        <v>938</v>
      </c>
      <c r="D3512" s="10" t="s">
        <v>2479</v>
      </c>
      <c r="E3512" s="10" t="s">
        <v>30</v>
      </c>
      <c r="F3512" s="10" t="s">
        <v>2480</v>
      </c>
      <c r="G3512" s="10" t="s">
        <v>76</v>
      </c>
      <c r="H3512" s="7" t="s">
        <v>24</v>
      </c>
      <c r="I3512" s="7" t="s">
        <v>25</v>
      </c>
      <c r="J3512" s="13" t="str">
        <f>HYPERLINK("https://www.airitibooks.com/Detail/Detail?PublicationID=P20150506403", "https://www.airitibooks.com/Detail/Detail?PublicationID=P20150506403")</f>
        <v>https://www.airitibooks.com/Detail/Detail?PublicationID=P20150506403</v>
      </c>
      <c r="K3512" s="13" t="str">
        <f>HYPERLINK("https://ntsu.idm.oclc.org/login?url=https://www.airitibooks.com/Detail/Detail?PublicationID=P20150506403", "https://ntsu.idm.oclc.org/login?url=https://www.airitibooks.com/Detail/Detail?PublicationID=P20150506403")</f>
        <v>https://ntsu.idm.oclc.org/login?url=https://www.airitibooks.com/Detail/Detail?PublicationID=P20150506403</v>
      </c>
    </row>
    <row r="3513" spans="1:11" ht="51" x14ac:dyDescent="0.4">
      <c r="A3513" s="10" t="s">
        <v>2485</v>
      </c>
      <c r="B3513" s="10" t="s">
        <v>2486</v>
      </c>
      <c r="C3513" s="10" t="s">
        <v>938</v>
      </c>
      <c r="D3513" s="10" t="s">
        <v>2487</v>
      </c>
      <c r="E3513" s="10" t="s">
        <v>30</v>
      </c>
      <c r="F3513" s="10" t="s">
        <v>2488</v>
      </c>
      <c r="G3513" s="10" t="s">
        <v>76</v>
      </c>
      <c r="H3513" s="7" t="s">
        <v>24</v>
      </c>
      <c r="I3513" s="7" t="s">
        <v>25</v>
      </c>
      <c r="J3513" s="13" t="str">
        <f>HYPERLINK("https://www.airitibooks.com/Detail/Detail?PublicationID=P20150506407", "https://www.airitibooks.com/Detail/Detail?PublicationID=P20150506407")</f>
        <v>https://www.airitibooks.com/Detail/Detail?PublicationID=P20150506407</v>
      </c>
      <c r="K3513" s="13" t="str">
        <f>HYPERLINK("https://ntsu.idm.oclc.org/login?url=https://www.airitibooks.com/Detail/Detail?PublicationID=P20150506407", "https://ntsu.idm.oclc.org/login?url=https://www.airitibooks.com/Detail/Detail?PublicationID=P20150506407")</f>
        <v>https://ntsu.idm.oclc.org/login?url=https://www.airitibooks.com/Detail/Detail?PublicationID=P20150506407</v>
      </c>
    </row>
    <row r="3514" spans="1:11" ht="51" x14ac:dyDescent="0.4">
      <c r="A3514" s="10" t="s">
        <v>2629</v>
      </c>
      <c r="B3514" s="10" t="s">
        <v>2630</v>
      </c>
      <c r="C3514" s="10" t="s">
        <v>661</v>
      </c>
      <c r="D3514" s="10" t="s">
        <v>2631</v>
      </c>
      <c r="E3514" s="10" t="s">
        <v>30</v>
      </c>
      <c r="F3514" s="10" t="s">
        <v>2632</v>
      </c>
      <c r="G3514" s="10" t="s">
        <v>76</v>
      </c>
      <c r="H3514" s="7" t="s">
        <v>24</v>
      </c>
      <c r="I3514" s="7" t="s">
        <v>25</v>
      </c>
      <c r="J3514" s="13" t="str">
        <f>HYPERLINK("https://www.airitibooks.com/Detail/Detail?PublicationID=P20150604009", "https://www.airitibooks.com/Detail/Detail?PublicationID=P20150604009")</f>
        <v>https://www.airitibooks.com/Detail/Detail?PublicationID=P20150604009</v>
      </c>
      <c r="K3514" s="13" t="str">
        <f>HYPERLINK("https://ntsu.idm.oclc.org/login?url=https://www.airitibooks.com/Detail/Detail?PublicationID=P20150604009", "https://ntsu.idm.oclc.org/login?url=https://www.airitibooks.com/Detail/Detail?PublicationID=P20150604009")</f>
        <v>https://ntsu.idm.oclc.org/login?url=https://www.airitibooks.com/Detail/Detail?PublicationID=P20150604009</v>
      </c>
    </row>
    <row r="3515" spans="1:11" ht="51" x14ac:dyDescent="0.4">
      <c r="A3515" s="10" t="s">
        <v>2706</v>
      </c>
      <c r="B3515" s="10" t="s">
        <v>2707</v>
      </c>
      <c r="C3515" s="10" t="s">
        <v>439</v>
      </c>
      <c r="D3515" s="10" t="s">
        <v>2708</v>
      </c>
      <c r="E3515" s="10" t="s">
        <v>30</v>
      </c>
      <c r="F3515" s="10" t="s">
        <v>294</v>
      </c>
      <c r="G3515" s="10" t="s">
        <v>76</v>
      </c>
      <c r="H3515" s="7" t="s">
        <v>24</v>
      </c>
      <c r="I3515" s="7" t="s">
        <v>25</v>
      </c>
      <c r="J3515" s="13" t="str">
        <f>HYPERLINK("https://www.airitibooks.com/Detail/Detail?PublicationID=P20150624015", "https://www.airitibooks.com/Detail/Detail?PublicationID=P20150624015")</f>
        <v>https://www.airitibooks.com/Detail/Detail?PublicationID=P20150624015</v>
      </c>
      <c r="K3515" s="13" t="str">
        <f>HYPERLINK("https://ntsu.idm.oclc.org/login?url=https://www.airitibooks.com/Detail/Detail?PublicationID=P20150624015", "https://ntsu.idm.oclc.org/login?url=https://www.airitibooks.com/Detail/Detail?PublicationID=P20150624015")</f>
        <v>https://ntsu.idm.oclc.org/login?url=https://www.airitibooks.com/Detail/Detail?PublicationID=P20150624015</v>
      </c>
    </row>
    <row r="3516" spans="1:11" ht="51" x14ac:dyDescent="0.4">
      <c r="A3516" s="10" t="s">
        <v>2722</v>
      </c>
      <c r="B3516" s="10" t="s">
        <v>2723</v>
      </c>
      <c r="C3516" s="10" t="s">
        <v>101</v>
      </c>
      <c r="D3516" s="10" t="s">
        <v>102</v>
      </c>
      <c r="E3516" s="10" t="s">
        <v>30</v>
      </c>
      <c r="F3516" s="10" t="s">
        <v>2724</v>
      </c>
      <c r="G3516" s="10" t="s">
        <v>76</v>
      </c>
      <c r="H3516" s="7" t="s">
        <v>24</v>
      </c>
      <c r="I3516" s="7" t="s">
        <v>25</v>
      </c>
      <c r="J3516" s="13" t="str">
        <f>HYPERLINK("https://www.airitibooks.com/Detail/Detail?PublicationID=P20150624131", "https://www.airitibooks.com/Detail/Detail?PublicationID=P20150624131")</f>
        <v>https://www.airitibooks.com/Detail/Detail?PublicationID=P20150624131</v>
      </c>
      <c r="K3516" s="13" t="str">
        <f>HYPERLINK("https://ntsu.idm.oclc.org/login?url=https://www.airitibooks.com/Detail/Detail?PublicationID=P20150624131", "https://ntsu.idm.oclc.org/login?url=https://www.airitibooks.com/Detail/Detail?PublicationID=P20150624131")</f>
        <v>https://ntsu.idm.oclc.org/login?url=https://www.airitibooks.com/Detail/Detail?PublicationID=P20150624131</v>
      </c>
    </row>
    <row r="3517" spans="1:11" ht="51" x14ac:dyDescent="0.4">
      <c r="A3517" s="10" t="s">
        <v>2750</v>
      </c>
      <c r="B3517" s="10" t="s">
        <v>2751</v>
      </c>
      <c r="C3517" s="10" t="s">
        <v>990</v>
      </c>
      <c r="D3517" s="10" t="s">
        <v>2752</v>
      </c>
      <c r="E3517" s="10" t="s">
        <v>30</v>
      </c>
      <c r="F3517" s="10" t="s">
        <v>2753</v>
      </c>
      <c r="G3517" s="10" t="s">
        <v>76</v>
      </c>
      <c r="H3517" s="7" t="s">
        <v>24</v>
      </c>
      <c r="I3517" s="7" t="s">
        <v>25</v>
      </c>
      <c r="J3517" s="13" t="str">
        <f>HYPERLINK("https://www.airitibooks.com/Detail/Detail?PublicationID=P20150624151", "https://www.airitibooks.com/Detail/Detail?PublicationID=P20150624151")</f>
        <v>https://www.airitibooks.com/Detail/Detail?PublicationID=P20150624151</v>
      </c>
      <c r="K3517" s="13" t="str">
        <f>HYPERLINK("https://ntsu.idm.oclc.org/login?url=https://www.airitibooks.com/Detail/Detail?PublicationID=P20150624151", "https://ntsu.idm.oclc.org/login?url=https://www.airitibooks.com/Detail/Detail?PublicationID=P20150624151")</f>
        <v>https://ntsu.idm.oclc.org/login?url=https://www.airitibooks.com/Detail/Detail?PublicationID=P20150624151</v>
      </c>
    </row>
    <row r="3518" spans="1:11" ht="51" x14ac:dyDescent="0.4">
      <c r="A3518" s="10" t="s">
        <v>2761</v>
      </c>
      <c r="B3518" s="10" t="s">
        <v>2762</v>
      </c>
      <c r="C3518" s="10" t="s">
        <v>642</v>
      </c>
      <c r="D3518" s="10" t="s">
        <v>2763</v>
      </c>
      <c r="E3518" s="10" t="s">
        <v>30</v>
      </c>
      <c r="F3518" s="10" t="s">
        <v>538</v>
      </c>
      <c r="G3518" s="10" t="s">
        <v>76</v>
      </c>
      <c r="H3518" s="7" t="s">
        <v>24</v>
      </c>
      <c r="I3518" s="7" t="s">
        <v>25</v>
      </c>
      <c r="J3518" s="13" t="str">
        <f>HYPERLINK("https://www.airitibooks.com/Detail/Detail?PublicationID=P20150624205", "https://www.airitibooks.com/Detail/Detail?PublicationID=P20150624205")</f>
        <v>https://www.airitibooks.com/Detail/Detail?PublicationID=P20150624205</v>
      </c>
      <c r="K3518" s="13" t="str">
        <f>HYPERLINK("https://ntsu.idm.oclc.org/login?url=https://www.airitibooks.com/Detail/Detail?PublicationID=P20150624205", "https://ntsu.idm.oclc.org/login?url=https://www.airitibooks.com/Detail/Detail?PublicationID=P20150624205")</f>
        <v>https://ntsu.idm.oclc.org/login?url=https://www.airitibooks.com/Detail/Detail?PublicationID=P20150624205</v>
      </c>
    </row>
    <row r="3519" spans="1:11" ht="51" x14ac:dyDescent="0.4">
      <c r="A3519" s="10" t="s">
        <v>2764</v>
      </c>
      <c r="B3519" s="10" t="s">
        <v>2765</v>
      </c>
      <c r="C3519" s="10" t="s">
        <v>642</v>
      </c>
      <c r="D3519" s="10" t="s">
        <v>2766</v>
      </c>
      <c r="E3519" s="10" t="s">
        <v>30</v>
      </c>
      <c r="F3519" s="10" t="s">
        <v>538</v>
      </c>
      <c r="G3519" s="10" t="s">
        <v>76</v>
      </c>
      <c r="H3519" s="7" t="s">
        <v>24</v>
      </c>
      <c r="I3519" s="7" t="s">
        <v>25</v>
      </c>
      <c r="J3519" s="13" t="str">
        <f>HYPERLINK("https://www.airitibooks.com/Detail/Detail?PublicationID=P20150624207", "https://www.airitibooks.com/Detail/Detail?PublicationID=P20150624207")</f>
        <v>https://www.airitibooks.com/Detail/Detail?PublicationID=P20150624207</v>
      </c>
      <c r="K3519" s="13" t="str">
        <f>HYPERLINK("https://ntsu.idm.oclc.org/login?url=https://www.airitibooks.com/Detail/Detail?PublicationID=P20150624207", "https://ntsu.idm.oclc.org/login?url=https://www.airitibooks.com/Detail/Detail?PublicationID=P20150624207")</f>
        <v>https://ntsu.idm.oclc.org/login?url=https://www.airitibooks.com/Detail/Detail?PublicationID=P20150624207</v>
      </c>
    </row>
    <row r="3520" spans="1:11" ht="51" x14ac:dyDescent="0.4">
      <c r="A3520" s="10" t="s">
        <v>2767</v>
      </c>
      <c r="B3520" s="10" t="s">
        <v>2768</v>
      </c>
      <c r="C3520" s="10" t="s">
        <v>642</v>
      </c>
      <c r="D3520" s="10" t="s">
        <v>2769</v>
      </c>
      <c r="E3520" s="10" t="s">
        <v>30</v>
      </c>
      <c r="F3520" s="10" t="s">
        <v>538</v>
      </c>
      <c r="G3520" s="10" t="s">
        <v>76</v>
      </c>
      <c r="H3520" s="7" t="s">
        <v>24</v>
      </c>
      <c r="I3520" s="7" t="s">
        <v>25</v>
      </c>
      <c r="J3520" s="13" t="str">
        <f>HYPERLINK("https://www.airitibooks.com/Detail/Detail?PublicationID=P20150624208", "https://www.airitibooks.com/Detail/Detail?PublicationID=P20150624208")</f>
        <v>https://www.airitibooks.com/Detail/Detail?PublicationID=P20150624208</v>
      </c>
      <c r="K3520" s="13" t="str">
        <f>HYPERLINK("https://ntsu.idm.oclc.org/login?url=https://www.airitibooks.com/Detail/Detail?PublicationID=P20150624208", "https://ntsu.idm.oclc.org/login?url=https://www.airitibooks.com/Detail/Detail?PublicationID=P20150624208")</f>
        <v>https://ntsu.idm.oclc.org/login?url=https://www.airitibooks.com/Detail/Detail?PublicationID=P20150624208</v>
      </c>
    </row>
    <row r="3521" spans="1:11" ht="51" x14ac:dyDescent="0.4">
      <c r="A3521" s="10" t="s">
        <v>2800</v>
      </c>
      <c r="B3521" s="10" t="s">
        <v>2801</v>
      </c>
      <c r="C3521" s="10" t="s">
        <v>292</v>
      </c>
      <c r="D3521" s="10" t="s">
        <v>2802</v>
      </c>
      <c r="E3521" s="10" t="s">
        <v>30</v>
      </c>
      <c r="F3521" s="10" t="s">
        <v>294</v>
      </c>
      <c r="G3521" s="10" t="s">
        <v>76</v>
      </c>
      <c r="H3521" s="7" t="s">
        <v>24</v>
      </c>
      <c r="I3521" s="7" t="s">
        <v>25</v>
      </c>
      <c r="J3521" s="13" t="str">
        <f>HYPERLINK("https://www.airitibooks.com/Detail/Detail?PublicationID=P20150625025", "https://www.airitibooks.com/Detail/Detail?PublicationID=P20150625025")</f>
        <v>https://www.airitibooks.com/Detail/Detail?PublicationID=P20150625025</v>
      </c>
      <c r="K3521" s="13" t="str">
        <f>HYPERLINK("https://ntsu.idm.oclc.org/login?url=https://www.airitibooks.com/Detail/Detail?PublicationID=P20150625025", "https://ntsu.idm.oclc.org/login?url=https://www.airitibooks.com/Detail/Detail?PublicationID=P20150625025")</f>
        <v>https://ntsu.idm.oclc.org/login?url=https://www.airitibooks.com/Detail/Detail?PublicationID=P20150625025</v>
      </c>
    </row>
    <row r="3522" spans="1:11" ht="51" x14ac:dyDescent="0.4">
      <c r="A3522" s="10" t="s">
        <v>2834</v>
      </c>
      <c r="B3522" s="10" t="s">
        <v>2835</v>
      </c>
      <c r="C3522" s="10" t="s">
        <v>222</v>
      </c>
      <c r="D3522" s="10" t="s">
        <v>2836</v>
      </c>
      <c r="E3522" s="10" t="s">
        <v>30</v>
      </c>
      <c r="F3522" s="10" t="s">
        <v>2837</v>
      </c>
      <c r="G3522" s="10" t="s">
        <v>76</v>
      </c>
      <c r="H3522" s="7" t="s">
        <v>24</v>
      </c>
      <c r="I3522" s="7" t="s">
        <v>25</v>
      </c>
      <c r="J3522" s="13" t="str">
        <f>HYPERLINK("https://www.airitibooks.com/Detail/Detail?PublicationID=P20150626060", "https://www.airitibooks.com/Detail/Detail?PublicationID=P20150626060")</f>
        <v>https://www.airitibooks.com/Detail/Detail?PublicationID=P20150626060</v>
      </c>
      <c r="K3522" s="13" t="str">
        <f>HYPERLINK("https://ntsu.idm.oclc.org/login?url=https://www.airitibooks.com/Detail/Detail?PublicationID=P20150626060", "https://ntsu.idm.oclc.org/login?url=https://www.airitibooks.com/Detail/Detail?PublicationID=P20150626060")</f>
        <v>https://ntsu.idm.oclc.org/login?url=https://www.airitibooks.com/Detail/Detail?PublicationID=P20150626060</v>
      </c>
    </row>
    <row r="3523" spans="1:11" ht="68" x14ac:dyDescent="0.4">
      <c r="A3523" s="10" t="s">
        <v>2857</v>
      </c>
      <c r="B3523" s="10" t="s">
        <v>2858</v>
      </c>
      <c r="C3523" s="10" t="s">
        <v>938</v>
      </c>
      <c r="D3523" s="10" t="s">
        <v>2859</v>
      </c>
      <c r="E3523" s="10" t="s">
        <v>30</v>
      </c>
      <c r="F3523" s="10" t="s">
        <v>2860</v>
      </c>
      <c r="G3523" s="10" t="s">
        <v>76</v>
      </c>
      <c r="H3523" s="7" t="s">
        <v>24</v>
      </c>
      <c r="I3523" s="7" t="s">
        <v>25</v>
      </c>
      <c r="J3523" s="13" t="str">
        <f>HYPERLINK("https://www.airitibooks.com/Detail/Detail?PublicationID=P20150708019", "https://www.airitibooks.com/Detail/Detail?PublicationID=P20150708019")</f>
        <v>https://www.airitibooks.com/Detail/Detail?PublicationID=P20150708019</v>
      </c>
      <c r="K3523" s="13" t="str">
        <f>HYPERLINK("https://ntsu.idm.oclc.org/login?url=https://www.airitibooks.com/Detail/Detail?PublicationID=P20150708019", "https://ntsu.idm.oclc.org/login?url=https://www.airitibooks.com/Detail/Detail?PublicationID=P20150708019")</f>
        <v>https://ntsu.idm.oclc.org/login?url=https://www.airitibooks.com/Detail/Detail?PublicationID=P20150708019</v>
      </c>
    </row>
    <row r="3524" spans="1:11" ht="51" x14ac:dyDescent="0.4">
      <c r="A3524" s="10" t="s">
        <v>2865</v>
      </c>
      <c r="B3524" s="10" t="s">
        <v>2866</v>
      </c>
      <c r="C3524" s="10" t="s">
        <v>938</v>
      </c>
      <c r="D3524" s="10" t="s">
        <v>2867</v>
      </c>
      <c r="E3524" s="10" t="s">
        <v>30</v>
      </c>
      <c r="F3524" s="10" t="s">
        <v>632</v>
      </c>
      <c r="G3524" s="10" t="s">
        <v>76</v>
      </c>
      <c r="H3524" s="7" t="s">
        <v>24</v>
      </c>
      <c r="I3524" s="7" t="s">
        <v>25</v>
      </c>
      <c r="J3524" s="13" t="str">
        <f>HYPERLINK("https://www.airitibooks.com/Detail/Detail?PublicationID=P20150708027", "https://www.airitibooks.com/Detail/Detail?PublicationID=P20150708027")</f>
        <v>https://www.airitibooks.com/Detail/Detail?PublicationID=P20150708027</v>
      </c>
      <c r="K3524" s="13" t="str">
        <f>HYPERLINK("https://ntsu.idm.oclc.org/login?url=https://www.airitibooks.com/Detail/Detail?PublicationID=P20150708027", "https://ntsu.idm.oclc.org/login?url=https://www.airitibooks.com/Detail/Detail?PublicationID=P20150708027")</f>
        <v>https://ntsu.idm.oclc.org/login?url=https://www.airitibooks.com/Detail/Detail?PublicationID=P20150708027</v>
      </c>
    </row>
    <row r="3525" spans="1:11" ht="51" x14ac:dyDescent="0.4">
      <c r="A3525" s="10" t="s">
        <v>2868</v>
      </c>
      <c r="B3525" s="10" t="s">
        <v>2869</v>
      </c>
      <c r="C3525" s="10" t="s">
        <v>938</v>
      </c>
      <c r="D3525" s="10" t="s">
        <v>2487</v>
      </c>
      <c r="E3525" s="10" t="s">
        <v>30</v>
      </c>
      <c r="F3525" s="10" t="s">
        <v>2871</v>
      </c>
      <c r="G3525" s="10" t="s">
        <v>76</v>
      </c>
      <c r="H3525" s="7" t="s">
        <v>24</v>
      </c>
      <c r="I3525" s="7" t="s">
        <v>25</v>
      </c>
      <c r="J3525" s="13" t="str">
        <f>HYPERLINK("https://www.airitibooks.com/Detail/Detail?PublicationID=P20150708029", "https://www.airitibooks.com/Detail/Detail?PublicationID=P20150708029")</f>
        <v>https://www.airitibooks.com/Detail/Detail?PublicationID=P20150708029</v>
      </c>
      <c r="K3525" s="13" t="str">
        <f>HYPERLINK("https://ntsu.idm.oclc.org/login?url=https://www.airitibooks.com/Detail/Detail?PublicationID=P20150708029", "https://ntsu.idm.oclc.org/login?url=https://www.airitibooks.com/Detail/Detail?PublicationID=P20150708029")</f>
        <v>https://ntsu.idm.oclc.org/login?url=https://www.airitibooks.com/Detail/Detail?PublicationID=P20150708029</v>
      </c>
    </row>
    <row r="3526" spans="1:11" ht="51" x14ac:dyDescent="0.4">
      <c r="A3526" s="10" t="s">
        <v>2872</v>
      </c>
      <c r="B3526" s="10" t="s">
        <v>2873</v>
      </c>
      <c r="C3526" s="10" t="s">
        <v>938</v>
      </c>
      <c r="D3526" s="10" t="s">
        <v>2487</v>
      </c>
      <c r="E3526" s="10" t="s">
        <v>30</v>
      </c>
      <c r="F3526" s="10" t="s">
        <v>2871</v>
      </c>
      <c r="G3526" s="10" t="s">
        <v>76</v>
      </c>
      <c r="H3526" s="7" t="s">
        <v>24</v>
      </c>
      <c r="I3526" s="7" t="s">
        <v>25</v>
      </c>
      <c r="J3526" s="13" t="str">
        <f>HYPERLINK("https://www.airitibooks.com/Detail/Detail?PublicationID=P20150708030", "https://www.airitibooks.com/Detail/Detail?PublicationID=P20150708030")</f>
        <v>https://www.airitibooks.com/Detail/Detail?PublicationID=P20150708030</v>
      </c>
      <c r="K3526" s="13" t="str">
        <f>HYPERLINK("https://ntsu.idm.oclc.org/login?url=https://www.airitibooks.com/Detail/Detail?PublicationID=P20150708030", "https://ntsu.idm.oclc.org/login?url=https://www.airitibooks.com/Detail/Detail?PublicationID=P20150708030")</f>
        <v>https://ntsu.idm.oclc.org/login?url=https://www.airitibooks.com/Detail/Detail?PublicationID=P20150708030</v>
      </c>
    </row>
    <row r="3527" spans="1:11" ht="51" x14ac:dyDescent="0.4">
      <c r="A3527" s="10" t="s">
        <v>2875</v>
      </c>
      <c r="B3527" s="10" t="s">
        <v>2876</v>
      </c>
      <c r="C3527" s="10" t="s">
        <v>938</v>
      </c>
      <c r="D3527" s="10" t="s">
        <v>2877</v>
      </c>
      <c r="E3527" s="10" t="s">
        <v>30</v>
      </c>
      <c r="F3527" s="10" t="s">
        <v>2871</v>
      </c>
      <c r="G3527" s="10" t="s">
        <v>76</v>
      </c>
      <c r="H3527" s="7" t="s">
        <v>24</v>
      </c>
      <c r="I3527" s="7" t="s">
        <v>25</v>
      </c>
      <c r="J3527" s="13" t="str">
        <f>HYPERLINK("https://www.airitibooks.com/Detail/Detail?PublicationID=P20150708031", "https://www.airitibooks.com/Detail/Detail?PublicationID=P20150708031")</f>
        <v>https://www.airitibooks.com/Detail/Detail?PublicationID=P20150708031</v>
      </c>
      <c r="K3527" s="13" t="str">
        <f>HYPERLINK("https://ntsu.idm.oclc.org/login?url=https://www.airitibooks.com/Detail/Detail?PublicationID=P20150708031", "https://ntsu.idm.oclc.org/login?url=https://www.airitibooks.com/Detail/Detail?PublicationID=P20150708031")</f>
        <v>https://ntsu.idm.oclc.org/login?url=https://www.airitibooks.com/Detail/Detail?PublicationID=P20150708031</v>
      </c>
    </row>
    <row r="3528" spans="1:11" ht="51" x14ac:dyDescent="0.4">
      <c r="A3528" s="10" t="s">
        <v>2878</v>
      </c>
      <c r="B3528" s="10" t="s">
        <v>2879</v>
      </c>
      <c r="C3528" s="10" t="s">
        <v>938</v>
      </c>
      <c r="D3528" s="10" t="s">
        <v>2880</v>
      </c>
      <c r="E3528" s="10" t="s">
        <v>30</v>
      </c>
      <c r="F3528" s="10" t="s">
        <v>2881</v>
      </c>
      <c r="G3528" s="10" t="s">
        <v>76</v>
      </c>
      <c r="H3528" s="7" t="s">
        <v>24</v>
      </c>
      <c r="I3528" s="7" t="s">
        <v>25</v>
      </c>
      <c r="J3528" s="13" t="str">
        <f>HYPERLINK("https://www.airitibooks.com/Detail/Detail?PublicationID=P20150708032", "https://www.airitibooks.com/Detail/Detail?PublicationID=P20150708032")</f>
        <v>https://www.airitibooks.com/Detail/Detail?PublicationID=P20150708032</v>
      </c>
      <c r="K3528" s="13" t="str">
        <f>HYPERLINK("https://ntsu.idm.oclc.org/login?url=https://www.airitibooks.com/Detail/Detail?PublicationID=P20150708032", "https://ntsu.idm.oclc.org/login?url=https://www.airitibooks.com/Detail/Detail?PublicationID=P20150708032")</f>
        <v>https://ntsu.idm.oclc.org/login?url=https://www.airitibooks.com/Detail/Detail?PublicationID=P20150708032</v>
      </c>
    </row>
    <row r="3529" spans="1:11" ht="51" x14ac:dyDescent="0.4">
      <c r="A3529" s="10" t="s">
        <v>2882</v>
      </c>
      <c r="B3529" s="10" t="s">
        <v>2883</v>
      </c>
      <c r="C3529" s="10" t="s">
        <v>938</v>
      </c>
      <c r="D3529" s="10" t="s">
        <v>2884</v>
      </c>
      <c r="E3529" s="10" t="s">
        <v>30</v>
      </c>
      <c r="F3529" s="10" t="s">
        <v>2885</v>
      </c>
      <c r="G3529" s="10" t="s">
        <v>76</v>
      </c>
      <c r="H3529" s="7" t="s">
        <v>24</v>
      </c>
      <c r="I3529" s="7" t="s">
        <v>25</v>
      </c>
      <c r="J3529" s="13" t="str">
        <f>HYPERLINK("https://www.airitibooks.com/Detail/Detail?PublicationID=P20150708033", "https://www.airitibooks.com/Detail/Detail?PublicationID=P20150708033")</f>
        <v>https://www.airitibooks.com/Detail/Detail?PublicationID=P20150708033</v>
      </c>
      <c r="K3529" s="13" t="str">
        <f>HYPERLINK("https://ntsu.idm.oclc.org/login?url=https://www.airitibooks.com/Detail/Detail?PublicationID=P20150708033", "https://ntsu.idm.oclc.org/login?url=https://www.airitibooks.com/Detail/Detail?PublicationID=P20150708033")</f>
        <v>https://ntsu.idm.oclc.org/login?url=https://www.airitibooks.com/Detail/Detail?PublicationID=P20150708033</v>
      </c>
    </row>
    <row r="3530" spans="1:11" ht="68" x14ac:dyDescent="0.4">
      <c r="A3530" s="10" t="s">
        <v>2886</v>
      </c>
      <c r="B3530" s="10" t="s">
        <v>2887</v>
      </c>
      <c r="C3530" s="10" t="s">
        <v>938</v>
      </c>
      <c r="D3530" s="10" t="s">
        <v>2877</v>
      </c>
      <c r="E3530" s="10" t="s">
        <v>30</v>
      </c>
      <c r="F3530" s="10" t="s">
        <v>2888</v>
      </c>
      <c r="G3530" s="10" t="s">
        <v>76</v>
      </c>
      <c r="H3530" s="7" t="s">
        <v>24</v>
      </c>
      <c r="I3530" s="7" t="s">
        <v>25</v>
      </c>
      <c r="J3530" s="13" t="str">
        <f>HYPERLINK("https://www.airitibooks.com/Detail/Detail?PublicationID=P20150708036", "https://www.airitibooks.com/Detail/Detail?PublicationID=P20150708036")</f>
        <v>https://www.airitibooks.com/Detail/Detail?PublicationID=P20150708036</v>
      </c>
      <c r="K3530" s="13" t="str">
        <f>HYPERLINK("https://ntsu.idm.oclc.org/login?url=https://www.airitibooks.com/Detail/Detail?PublicationID=P20150708036", "https://ntsu.idm.oclc.org/login?url=https://www.airitibooks.com/Detail/Detail?PublicationID=P20150708036")</f>
        <v>https://ntsu.idm.oclc.org/login?url=https://www.airitibooks.com/Detail/Detail?PublicationID=P20150708036</v>
      </c>
    </row>
    <row r="3531" spans="1:11" ht="51" x14ac:dyDescent="0.4">
      <c r="A3531" s="10" t="s">
        <v>3032</v>
      </c>
      <c r="B3531" s="10" t="s">
        <v>3033</v>
      </c>
      <c r="C3531" s="10" t="s">
        <v>3034</v>
      </c>
      <c r="D3531" s="10" t="s">
        <v>3035</v>
      </c>
      <c r="E3531" s="10" t="s">
        <v>30</v>
      </c>
      <c r="F3531" s="10" t="s">
        <v>294</v>
      </c>
      <c r="G3531" s="10" t="s">
        <v>76</v>
      </c>
      <c r="H3531" s="7" t="s">
        <v>24</v>
      </c>
      <c r="I3531" s="7" t="s">
        <v>25</v>
      </c>
      <c r="J3531" s="13" t="str">
        <f>HYPERLINK("https://www.airitibooks.com/Detail/Detail?PublicationID=P20150820001", "https://www.airitibooks.com/Detail/Detail?PublicationID=P20150820001")</f>
        <v>https://www.airitibooks.com/Detail/Detail?PublicationID=P20150820001</v>
      </c>
      <c r="K3531" s="13" t="str">
        <f>HYPERLINK("https://ntsu.idm.oclc.org/login?url=https://www.airitibooks.com/Detail/Detail?PublicationID=P20150820001", "https://ntsu.idm.oclc.org/login?url=https://www.airitibooks.com/Detail/Detail?PublicationID=P20150820001")</f>
        <v>https://ntsu.idm.oclc.org/login?url=https://www.airitibooks.com/Detail/Detail?PublicationID=P20150820001</v>
      </c>
    </row>
    <row r="3532" spans="1:11" ht="51" x14ac:dyDescent="0.4">
      <c r="A3532" s="10" t="s">
        <v>3108</v>
      </c>
      <c r="B3532" s="10" t="s">
        <v>3109</v>
      </c>
      <c r="C3532" s="10" t="s">
        <v>1271</v>
      </c>
      <c r="D3532" s="10" t="s">
        <v>3110</v>
      </c>
      <c r="E3532" s="10" t="s">
        <v>30</v>
      </c>
      <c r="F3532" s="10" t="s">
        <v>632</v>
      </c>
      <c r="G3532" s="10" t="s">
        <v>76</v>
      </c>
      <c r="H3532" s="7" t="s">
        <v>24</v>
      </c>
      <c r="I3532" s="7" t="s">
        <v>25</v>
      </c>
      <c r="J3532" s="13" t="str">
        <f>HYPERLINK("https://www.airitibooks.com/Detail/Detail?PublicationID=P20150820135", "https://www.airitibooks.com/Detail/Detail?PublicationID=P20150820135")</f>
        <v>https://www.airitibooks.com/Detail/Detail?PublicationID=P20150820135</v>
      </c>
      <c r="K3532" s="13" t="str">
        <f>HYPERLINK("https://ntsu.idm.oclc.org/login?url=https://www.airitibooks.com/Detail/Detail?PublicationID=P20150820135", "https://ntsu.idm.oclc.org/login?url=https://www.airitibooks.com/Detail/Detail?PublicationID=P20150820135")</f>
        <v>https://ntsu.idm.oclc.org/login?url=https://www.airitibooks.com/Detail/Detail?PublicationID=P20150820135</v>
      </c>
    </row>
    <row r="3533" spans="1:11" ht="51" x14ac:dyDescent="0.4">
      <c r="A3533" s="10" t="s">
        <v>3117</v>
      </c>
      <c r="B3533" s="10" t="s">
        <v>3118</v>
      </c>
      <c r="C3533" s="10" t="s">
        <v>1271</v>
      </c>
      <c r="D3533" s="10" t="s">
        <v>3119</v>
      </c>
      <c r="E3533" s="10" t="s">
        <v>30</v>
      </c>
      <c r="F3533" s="10" t="s">
        <v>3120</v>
      </c>
      <c r="G3533" s="10" t="s">
        <v>76</v>
      </c>
      <c r="H3533" s="7" t="s">
        <v>24</v>
      </c>
      <c r="I3533" s="7" t="s">
        <v>25</v>
      </c>
      <c r="J3533" s="13" t="str">
        <f>HYPERLINK("https://www.airitibooks.com/Detail/Detail?PublicationID=P20150820138", "https://www.airitibooks.com/Detail/Detail?PublicationID=P20150820138")</f>
        <v>https://www.airitibooks.com/Detail/Detail?PublicationID=P20150820138</v>
      </c>
      <c r="K3533" s="13" t="str">
        <f>HYPERLINK("https://ntsu.idm.oclc.org/login?url=https://www.airitibooks.com/Detail/Detail?PublicationID=P20150820138", "https://ntsu.idm.oclc.org/login?url=https://www.airitibooks.com/Detail/Detail?PublicationID=P20150820138")</f>
        <v>https://ntsu.idm.oclc.org/login?url=https://www.airitibooks.com/Detail/Detail?PublicationID=P20150820138</v>
      </c>
    </row>
    <row r="3534" spans="1:11" ht="51" x14ac:dyDescent="0.4">
      <c r="A3534" s="10" t="s">
        <v>3141</v>
      </c>
      <c r="B3534" s="10" t="s">
        <v>3142</v>
      </c>
      <c r="C3534" s="10" t="s">
        <v>1271</v>
      </c>
      <c r="D3534" s="10" t="s">
        <v>3143</v>
      </c>
      <c r="E3534" s="10" t="s">
        <v>30</v>
      </c>
      <c r="F3534" s="10" t="s">
        <v>3144</v>
      </c>
      <c r="G3534" s="10" t="s">
        <v>76</v>
      </c>
      <c r="H3534" s="7" t="s">
        <v>24</v>
      </c>
      <c r="I3534" s="7" t="s">
        <v>25</v>
      </c>
      <c r="J3534" s="13" t="str">
        <f>HYPERLINK("https://www.airitibooks.com/Detail/Detail?PublicationID=P20150820145", "https://www.airitibooks.com/Detail/Detail?PublicationID=P20150820145")</f>
        <v>https://www.airitibooks.com/Detail/Detail?PublicationID=P20150820145</v>
      </c>
      <c r="K3534" s="13" t="str">
        <f>HYPERLINK("https://ntsu.idm.oclc.org/login?url=https://www.airitibooks.com/Detail/Detail?PublicationID=P20150820145", "https://ntsu.idm.oclc.org/login?url=https://www.airitibooks.com/Detail/Detail?PublicationID=P20150820145")</f>
        <v>https://ntsu.idm.oclc.org/login?url=https://www.airitibooks.com/Detail/Detail?PublicationID=P20150820145</v>
      </c>
    </row>
    <row r="3535" spans="1:11" ht="51" x14ac:dyDescent="0.4">
      <c r="A3535" s="10" t="s">
        <v>3145</v>
      </c>
      <c r="B3535" s="10" t="s">
        <v>3146</v>
      </c>
      <c r="C3535" s="10" t="s">
        <v>1271</v>
      </c>
      <c r="D3535" s="10" t="s">
        <v>3147</v>
      </c>
      <c r="E3535" s="10" t="s">
        <v>30</v>
      </c>
      <c r="F3535" s="10" t="s">
        <v>3148</v>
      </c>
      <c r="G3535" s="10" t="s">
        <v>76</v>
      </c>
      <c r="H3535" s="7" t="s">
        <v>24</v>
      </c>
      <c r="I3535" s="7" t="s">
        <v>25</v>
      </c>
      <c r="J3535" s="13" t="str">
        <f>HYPERLINK("https://www.airitibooks.com/Detail/Detail?PublicationID=P20150820146", "https://www.airitibooks.com/Detail/Detail?PublicationID=P20150820146")</f>
        <v>https://www.airitibooks.com/Detail/Detail?PublicationID=P20150820146</v>
      </c>
      <c r="K3535" s="13" t="str">
        <f>HYPERLINK("https://ntsu.idm.oclc.org/login?url=https://www.airitibooks.com/Detail/Detail?PublicationID=P20150820146", "https://ntsu.idm.oclc.org/login?url=https://www.airitibooks.com/Detail/Detail?PublicationID=P20150820146")</f>
        <v>https://ntsu.idm.oclc.org/login?url=https://www.airitibooks.com/Detail/Detail?PublicationID=P20150820146</v>
      </c>
    </row>
    <row r="3536" spans="1:11" ht="51" x14ac:dyDescent="0.4">
      <c r="A3536" s="10" t="s">
        <v>3149</v>
      </c>
      <c r="B3536" s="10" t="s">
        <v>3150</v>
      </c>
      <c r="C3536" s="10" t="s">
        <v>1271</v>
      </c>
      <c r="D3536" s="10" t="s">
        <v>3151</v>
      </c>
      <c r="E3536" s="10" t="s">
        <v>30</v>
      </c>
      <c r="F3536" s="10" t="s">
        <v>3152</v>
      </c>
      <c r="G3536" s="10" t="s">
        <v>76</v>
      </c>
      <c r="H3536" s="7" t="s">
        <v>24</v>
      </c>
      <c r="I3536" s="7" t="s">
        <v>25</v>
      </c>
      <c r="J3536" s="13" t="str">
        <f>HYPERLINK("https://www.airitibooks.com/Detail/Detail?PublicationID=P20150820147", "https://www.airitibooks.com/Detail/Detail?PublicationID=P20150820147")</f>
        <v>https://www.airitibooks.com/Detail/Detail?PublicationID=P20150820147</v>
      </c>
      <c r="K3536" s="13" t="str">
        <f>HYPERLINK("https://ntsu.idm.oclc.org/login?url=https://www.airitibooks.com/Detail/Detail?PublicationID=P20150820147", "https://ntsu.idm.oclc.org/login?url=https://www.airitibooks.com/Detail/Detail?PublicationID=P20150820147")</f>
        <v>https://ntsu.idm.oclc.org/login?url=https://www.airitibooks.com/Detail/Detail?PublicationID=P20150820147</v>
      </c>
    </row>
    <row r="3537" spans="1:11" ht="68" x14ac:dyDescent="0.4">
      <c r="A3537" s="10" t="s">
        <v>3191</v>
      </c>
      <c r="B3537" s="10" t="s">
        <v>3192</v>
      </c>
      <c r="C3537" s="10" t="s">
        <v>2616</v>
      </c>
      <c r="D3537" s="10" t="s">
        <v>3193</v>
      </c>
      <c r="E3537" s="10" t="s">
        <v>30</v>
      </c>
      <c r="F3537" s="10" t="s">
        <v>3194</v>
      </c>
      <c r="G3537" s="10" t="s">
        <v>76</v>
      </c>
      <c r="H3537" s="7" t="s">
        <v>24</v>
      </c>
      <c r="I3537" s="7" t="s">
        <v>25</v>
      </c>
      <c r="J3537" s="13" t="str">
        <f>HYPERLINK("https://www.airitibooks.com/Detail/Detail?PublicationID=P20150820189", "https://www.airitibooks.com/Detail/Detail?PublicationID=P20150820189")</f>
        <v>https://www.airitibooks.com/Detail/Detail?PublicationID=P20150820189</v>
      </c>
      <c r="K3537" s="13" t="str">
        <f>HYPERLINK("https://ntsu.idm.oclc.org/login?url=https://www.airitibooks.com/Detail/Detail?PublicationID=P20150820189", "https://ntsu.idm.oclc.org/login?url=https://www.airitibooks.com/Detail/Detail?PublicationID=P20150820189")</f>
        <v>https://ntsu.idm.oclc.org/login?url=https://www.airitibooks.com/Detail/Detail?PublicationID=P20150820189</v>
      </c>
    </row>
    <row r="3538" spans="1:11" ht="51" x14ac:dyDescent="0.4">
      <c r="A3538" s="10" t="s">
        <v>3252</v>
      </c>
      <c r="B3538" s="10" t="s">
        <v>3253</v>
      </c>
      <c r="C3538" s="10" t="s">
        <v>938</v>
      </c>
      <c r="D3538" s="10" t="s">
        <v>3254</v>
      </c>
      <c r="E3538" s="10" t="s">
        <v>30</v>
      </c>
      <c r="F3538" s="10" t="s">
        <v>3255</v>
      </c>
      <c r="G3538" s="10" t="s">
        <v>76</v>
      </c>
      <c r="H3538" s="7" t="s">
        <v>24</v>
      </c>
      <c r="I3538" s="7" t="s">
        <v>25</v>
      </c>
      <c r="J3538" s="13" t="str">
        <f>HYPERLINK("https://www.airitibooks.com/Detail/Detail?PublicationID=P20150821059", "https://www.airitibooks.com/Detail/Detail?PublicationID=P20150821059")</f>
        <v>https://www.airitibooks.com/Detail/Detail?PublicationID=P20150821059</v>
      </c>
      <c r="K3538" s="13" t="str">
        <f>HYPERLINK("https://ntsu.idm.oclc.org/login?url=https://www.airitibooks.com/Detail/Detail?PublicationID=P20150821059", "https://ntsu.idm.oclc.org/login?url=https://www.airitibooks.com/Detail/Detail?PublicationID=P20150821059")</f>
        <v>https://ntsu.idm.oclc.org/login?url=https://www.airitibooks.com/Detail/Detail?PublicationID=P20150821059</v>
      </c>
    </row>
    <row r="3539" spans="1:11" ht="51" x14ac:dyDescent="0.4">
      <c r="A3539" s="10" t="s">
        <v>3256</v>
      </c>
      <c r="B3539" s="10" t="s">
        <v>3257</v>
      </c>
      <c r="C3539" s="10" t="s">
        <v>938</v>
      </c>
      <c r="D3539" s="10" t="s">
        <v>3254</v>
      </c>
      <c r="E3539" s="10" t="s">
        <v>30</v>
      </c>
      <c r="F3539" s="10" t="s">
        <v>3255</v>
      </c>
      <c r="G3539" s="10" t="s">
        <v>76</v>
      </c>
      <c r="H3539" s="7" t="s">
        <v>24</v>
      </c>
      <c r="I3539" s="7" t="s">
        <v>25</v>
      </c>
      <c r="J3539" s="13" t="str">
        <f>HYPERLINK("https://www.airitibooks.com/Detail/Detail?PublicationID=P20150821060", "https://www.airitibooks.com/Detail/Detail?PublicationID=P20150821060")</f>
        <v>https://www.airitibooks.com/Detail/Detail?PublicationID=P20150821060</v>
      </c>
      <c r="K3539" s="13" t="str">
        <f>HYPERLINK("https://ntsu.idm.oclc.org/login?url=https://www.airitibooks.com/Detail/Detail?PublicationID=P20150821060", "https://ntsu.idm.oclc.org/login?url=https://www.airitibooks.com/Detail/Detail?PublicationID=P20150821060")</f>
        <v>https://ntsu.idm.oclc.org/login?url=https://www.airitibooks.com/Detail/Detail?PublicationID=P20150821060</v>
      </c>
    </row>
    <row r="3540" spans="1:11" ht="51" x14ac:dyDescent="0.4">
      <c r="A3540" s="10" t="s">
        <v>3289</v>
      </c>
      <c r="B3540" s="10" t="s">
        <v>3290</v>
      </c>
      <c r="C3540" s="10" t="s">
        <v>812</v>
      </c>
      <c r="D3540" s="10" t="s">
        <v>816</v>
      </c>
      <c r="E3540" s="10" t="s">
        <v>30</v>
      </c>
      <c r="F3540" s="10" t="s">
        <v>538</v>
      </c>
      <c r="G3540" s="10" t="s">
        <v>76</v>
      </c>
      <c r="H3540" s="7" t="s">
        <v>24</v>
      </c>
      <c r="I3540" s="7" t="s">
        <v>25</v>
      </c>
      <c r="J3540" s="13" t="str">
        <f>HYPERLINK("https://www.airitibooks.com/Detail/Detail?PublicationID=P20150821141", "https://www.airitibooks.com/Detail/Detail?PublicationID=P20150821141")</f>
        <v>https://www.airitibooks.com/Detail/Detail?PublicationID=P20150821141</v>
      </c>
      <c r="K3540" s="13" t="str">
        <f>HYPERLINK("https://ntsu.idm.oclc.org/login?url=https://www.airitibooks.com/Detail/Detail?PublicationID=P20150821141", "https://ntsu.idm.oclc.org/login?url=https://www.airitibooks.com/Detail/Detail?PublicationID=P20150821141")</f>
        <v>https://ntsu.idm.oclc.org/login?url=https://www.airitibooks.com/Detail/Detail?PublicationID=P20150821141</v>
      </c>
    </row>
    <row r="3541" spans="1:11" ht="51" x14ac:dyDescent="0.4">
      <c r="A3541" s="10" t="s">
        <v>3321</v>
      </c>
      <c r="B3541" s="10" t="s">
        <v>3322</v>
      </c>
      <c r="C3541" s="10" t="s">
        <v>1982</v>
      </c>
      <c r="D3541" s="10" t="s">
        <v>3323</v>
      </c>
      <c r="E3541" s="10" t="s">
        <v>30</v>
      </c>
      <c r="F3541" s="10" t="s">
        <v>3324</v>
      </c>
      <c r="G3541" s="10" t="s">
        <v>76</v>
      </c>
      <c r="H3541" s="7" t="s">
        <v>24</v>
      </c>
      <c r="I3541" s="7" t="s">
        <v>25</v>
      </c>
      <c r="J3541" s="13" t="str">
        <f>HYPERLINK("https://www.airitibooks.com/Detail/Detail?PublicationID=P20150821183", "https://www.airitibooks.com/Detail/Detail?PublicationID=P20150821183")</f>
        <v>https://www.airitibooks.com/Detail/Detail?PublicationID=P20150821183</v>
      </c>
      <c r="K3541" s="13" t="str">
        <f>HYPERLINK("https://ntsu.idm.oclc.org/login?url=https://www.airitibooks.com/Detail/Detail?PublicationID=P20150821183", "https://ntsu.idm.oclc.org/login?url=https://www.airitibooks.com/Detail/Detail?PublicationID=P20150821183")</f>
        <v>https://ntsu.idm.oclc.org/login?url=https://www.airitibooks.com/Detail/Detail?PublicationID=P20150821183</v>
      </c>
    </row>
    <row r="3542" spans="1:11" ht="51" x14ac:dyDescent="0.4">
      <c r="A3542" s="10" t="s">
        <v>3338</v>
      </c>
      <c r="B3542" s="10" t="s">
        <v>3339</v>
      </c>
      <c r="C3542" s="10" t="s">
        <v>292</v>
      </c>
      <c r="D3542" s="10" t="s">
        <v>3340</v>
      </c>
      <c r="E3542" s="10" t="s">
        <v>30</v>
      </c>
      <c r="F3542" s="10" t="s">
        <v>294</v>
      </c>
      <c r="G3542" s="10" t="s">
        <v>76</v>
      </c>
      <c r="H3542" s="7" t="s">
        <v>24</v>
      </c>
      <c r="I3542" s="7" t="s">
        <v>25</v>
      </c>
      <c r="J3542" s="13" t="str">
        <f>HYPERLINK("https://www.airitibooks.com/Detail/Detail?PublicationID=P20150909067", "https://www.airitibooks.com/Detail/Detail?PublicationID=P20150909067")</f>
        <v>https://www.airitibooks.com/Detail/Detail?PublicationID=P20150909067</v>
      </c>
      <c r="K3542" s="13" t="str">
        <f>HYPERLINK("https://ntsu.idm.oclc.org/login?url=https://www.airitibooks.com/Detail/Detail?PublicationID=P20150909067", "https://ntsu.idm.oclc.org/login?url=https://www.airitibooks.com/Detail/Detail?PublicationID=P20150909067")</f>
        <v>https://ntsu.idm.oclc.org/login?url=https://www.airitibooks.com/Detail/Detail?PublicationID=P20150909067</v>
      </c>
    </row>
    <row r="3543" spans="1:11" ht="51" x14ac:dyDescent="0.4">
      <c r="A3543" s="10" t="s">
        <v>3517</v>
      </c>
      <c r="B3543" s="10" t="s">
        <v>3518</v>
      </c>
      <c r="C3543" s="10" t="s">
        <v>3519</v>
      </c>
      <c r="D3543" s="10" t="s">
        <v>3520</v>
      </c>
      <c r="E3543" s="10" t="s">
        <v>30</v>
      </c>
      <c r="F3543" s="10" t="s">
        <v>3521</v>
      </c>
      <c r="G3543" s="10" t="s">
        <v>76</v>
      </c>
      <c r="H3543" s="7" t="s">
        <v>24</v>
      </c>
      <c r="I3543" s="7" t="s">
        <v>25</v>
      </c>
      <c r="J3543" s="13" t="str">
        <f>HYPERLINK("https://www.airitibooks.com/Detail/Detail?PublicationID=P20150918094", "https://www.airitibooks.com/Detail/Detail?PublicationID=P20150918094")</f>
        <v>https://www.airitibooks.com/Detail/Detail?PublicationID=P20150918094</v>
      </c>
      <c r="K3543" s="13" t="str">
        <f>HYPERLINK("https://ntsu.idm.oclc.org/login?url=https://www.airitibooks.com/Detail/Detail?PublicationID=P20150918094", "https://ntsu.idm.oclc.org/login?url=https://www.airitibooks.com/Detail/Detail?PublicationID=P20150918094")</f>
        <v>https://ntsu.idm.oclc.org/login?url=https://www.airitibooks.com/Detail/Detail?PublicationID=P20150918094</v>
      </c>
    </row>
    <row r="3544" spans="1:11" ht="51" x14ac:dyDescent="0.4">
      <c r="A3544" s="10" t="s">
        <v>3594</v>
      </c>
      <c r="B3544" s="10" t="s">
        <v>3595</v>
      </c>
      <c r="C3544" s="10" t="s">
        <v>2367</v>
      </c>
      <c r="D3544" s="10" t="s">
        <v>3596</v>
      </c>
      <c r="E3544" s="10" t="s">
        <v>30</v>
      </c>
      <c r="F3544" s="10" t="s">
        <v>3597</v>
      </c>
      <c r="G3544" s="10" t="s">
        <v>76</v>
      </c>
      <c r="H3544" s="7" t="s">
        <v>24</v>
      </c>
      <c r="I3544" s="7" t="s">
        <v>25</v>
      </c>
      <c r="J3544" s="13" t="str">
        <f>HYPERLINK("https://www.airitibooks.com/Detail/Detail?PublicationID=P20150922004", "https://www.airitibooks.com/Detail/Detail?PublicationID=P20150922004")</f>
        <v>https://www.airitibooks.com/Detail/Detail?PublicationID=P20150922004</v>
      </c>
      <c r="K3544" s="13" t="str">
        <f>HYPERLINK("https://ntsu.idm.oclc.org/login?url=https://www.airitibooks.com/Detail/Detail?PublicationID=P20150922004", "https://ntsu.idm.oclc.org/login?url=https://www.airitibooks.com/Detail/Detail?PublicationID=P20150922004")</f>
        <v>https://ntsu.idm.oclc.org/login?url=https://www.airitibooks.com/Detail/Detail?PublicationID=P20150922004</v>
      </c>
    </row>
    <row r="3545" spans="1:11" ht="51" x14ac:dyDescent="0.4">
      <c r="A3545" s="10" t="s">
        <v>3644</v>
      </c>
      <c r="B3545" s="10" t="s">
        <v>3645</v>
      </c>
      <c r="C3545" s="10" t="s">
        <v>2367</v>
      </c>
      <c r="D3545" s="10" t="s">
        <v>3646</v>
      </c>
      <c r="E3545" s="10" t="s">
        <v>30</v>
      </c>
      <c r="F3545" s="10" t="s">
        <v>3647</v>
      </c>
      <c r="G3545" s="10" t="s">
        <v>76</v>
      </c>
      <c r="H3545" s="7" t="s">
        <v>24</v>
      </c>
      <c r="I3545" s="7" t="s">
        <v>25</v>
      </c>
      <c r="J3545" s="13" t="str">
        <f>HYPERLINK("https://www.airitibooks.com/Detail/Detail?PublicationID=P20150922034", "https://www.airitibooks.com/Detail/Detail?PublicationID=P20150922034")</f>
        <v>https://www.airitibooks.com/Detail/Detail?PublicationID=P20150922034</v>
      </c>
      <c r="K3545" s="13" t="str">
        <f>HYPERLINK("https://ntsu.idm.oclc.org/login?url=https://www.airitibooks.com/Detail/Detail?PublicationID=P20150922034", "https://ntsu.idm.oclc.org/login?url=https://www.airitibooks.com/Detail/Detail?PublicationID=P20150922034")</f>
        <v>https://ntsu.idm.oclc.org/login?url=https://www.airitibooks.com/Detail/Detail?PublicationID=P20150922034</v>
      </c>
    </row>
    <row r="3546" spans="1:11" ht="51" x14ac:dyDescent="0.4">
      <c r="A3546" s="10" t="s">
        <v>3677</v>
      </c>
      <c r="B3546" s="10" t="s">
        <v>3678</v>
      </c>
      <c r="C3546" s="10" t="s">
        <v>613</v>
      </c>
      <c r="D3546" s="10" t="s">
        <v>3679</v>
      </c>
      <c r="E3546" s="10" t="s">
        <v>30</v>
      </c>
      <c r="F3546" s="10" t="s">
        <v>3680</v>
      </c>
      <c r="G3546" s="10" t="s">
        <v>76</v>
      </c>
      <c r="H3546" s="7" t="s">
        <v>24</v>
      </c>
      <c r="I3546" s="7" t="s">
        <v>25</v>
      </c>
      <c r="J3546" s="13" t="str">
        <f>HYPERLINK("https://www.airitibooks.com/Detail/Detail?PublicationID=P20150923006", "https://www.airitibooks.com/Detail/Detail?PublicationID=P20150923006")</f>
        <v>https://www.airitibooks.com/Detail/Detail?PublicationID=P20150923006</v>
      </c>
      <c r="K3546" s="13" t="str">
        <f>HYPERLINK("https://ntsu.idm.oclc.org/login?url=https://www.airitibooks.com/Detail/Detail?PublicationID=P20150923006", "https://ntsu.idm.oclc.org/login?url=https://www.airitibooks.com/Detail/Detail?PublicationID=P20150923006")</f>
        <v>https://ntsu.idm.oclc.org/login?url=https://www.airitibooks.com/Detail/Detail?PublicationID=P20150923006</v>
      </c>
    </row>
    <row r="3547" spans="1:11" ht="51" x14ac:dyDescent="0.4">
      <c r="A3547" s="10" t="s">
        <v>3720</v>
      </c>
      <c r="B3547" s="10" t="s">
        <v>3721</v>
      </c>
      <c r="C3547" s="10" t="s">
        <v>3705</v>
      </c>
      <c r="D3547" s="10" t="s">
        <v>3722</v>
      </c>
      <c r="E3547" s="10" t="s">
        <v>30</v>
      </c>
      <c r="F3547" s="10" t="s">
        <v>3723</v>
      </c>
      <c r="G3547" s="10" t="s">
        <v>76</v>
      </c>
      <c r="H3547" s="7" t="s">
        <v>24</v>
      </c>
      <c r="I3547" s="7" t="s">
        <v>25</v>
      </c>
      <c r="J3547" s="13" t="str">
        <f>HYPERLINK("https://www.airitibooks.com/Detail/Detail?PublicationID=P20151013042", "https://www.airitibooks.com/Detail/Detail?PublicationID=P20151013042")</f>
        <v>https://www.airitibooks.com/Detail/Detail?PublicationID=P20151013042</v>
      </c>
      <c r="K3547" s="13" t="str">
        <f>HYPERLINK("https://ntsu.idm.oclc.org/login?url=https://www.airitibooks.com/Detail/Detail?PublicationID=P20151013042", "https://ntsu.idm.oclc.org/login?url=https://www.airitibooks.com/Detail/Detail?PublicationID=P20151013042")</f>
        <v>https://ntsu.idm.oclc.org/login?url=https://www.airitibooks.com/Detail/Detail?PublicationID=P20151013042</v>
      </c>
    </row>
    <row r="3548" spans="1:11" ht="51" x14ac:dyDescent="0.4">
      <c r="A3548" s="10" t="s">
        <v>3790</v>
      </c>
      <c r="B3548" s="10" t="s">
        <v>3791</v>
      </c>
      <c r="C3548" s="10" t="s">
        <v>3705</v>
      </c>
      <c r="D3548" s="10" t="s">
        <v>3792</v>
      </c>
      <c r="E3548" s="10" t="s">
        <v>30</v>
      </c>
      <c r="F3548" s="10" t="s">
        <v>3793</v>
      </c>
      <c r="G3548" s="10" t="s">
        <v>76</v>
      </c>
      <c r="H3548" s="7" t="s">
        <v>24</v>
      </c>
      <c r="I3548" s="7" t="s">
        <v>25</v>
      </c>
      <c r="J3548" s="13" t="str">
        <f>HYPERLINK("https://www.airitibooks.com/Detail/Detail?PublicationID=P20151021188", "https://www.airitibooks.com/Detail/Detail?PublicationID=P20151021188")</f>
        <v>https://www.airitibooks.com/Detail/Detail?PublicationID=P20151021188</v>
      </c>
      <c r="K3548" s="13" t="str">
        <f>HYPERLINK("https://ntsu.idm.oclc.org/login?url=https://www.airitibooks.com/Detail/Detail?PublicationID=P20151021188", "https://ntsu.idm.oclc.org/login?url=https://www.airitibooks.com/Detail/Detail?PublicationID=P20151021188")</f>
        <v>https://ntsu.idm.oclc.org/login?url=https://www.airitibooks.com/Detail/Detail?PublicationID=P20151021188</v>
      </c>
    </row>
    <row r="3549" spans="1:11" ht="51" x14ac:dyDescent="0.4">
      <c r="A3549" s="10" t="s">
        <v>3794</v>
      </c>
      <c r="B3549" s="10" t="s">
        <v>3795</v>
      </c>
      <c r="C3549" s="10" t="s">
        <v>3705</v>
      </c>
      <c r="D3549" s="10" t="s">
        <v>3792</v>
      </c>
      <c r="E3549" s="10" t="s">
        <v>30</v>
      </c>
      <c r="F3549" s="10" t="s">
        <v>3793</v>
      </c>
      <c r="G3549" s="10" t="s">
        <v>76</v>
      </c>
      <c r="H3549" s="7" t="s">
        <v>24</v>
      </c>
      <c r="I3549" s="7" t="s">
        <v>25</v>
      </c>
      <c r="J3549" s="13" t="str">
        <f>HYPERLINK("https://www.airitibooks.com/Detail/Detail?PublicationID=P20151021189", "https://www.airitibooks.com/Detail/Detail?PublicationID=P20151021189")</f>
        <v>https://www.airitibooks.com/Detail/Detail?PublicationID=P20151021189</v>
      </c>
      <c r="K3549" s="13" t="str">
        <f>HYPERLINK("https://ntsu.idm.oclc.org/login?url=https://www.airitibooks.com/Detail/Detail?PublicationID=P20151021189", "https://ntsu.idm.oclc.org/login?url=https://www.airitibooks.com/Detail/Detail?PublicationID=P20151021189")</f>
        <v>https://ntsu.idm.oclc.org/login?url=https://www.airitibooks.com/Detail/Detail?PublicationID=P20151021189</v>
      </c>
    </row>
    <row r="3550" spans="1:11" ht="51" x14ac:dyDescent="0.4">
      <c r="A3550" s="10" t="s">
        <v>3824</v>
      </c>
      <c r="B3550" s="10" t="s">
        <v>3825</v>
      </c>
      <c r="C3550" s="10" t="s">
        <v>292</v>
      </c>
      <c r="D3550" s="10" t="s">
        <v>2802</v>
      </c>
      <c r="E3550" s="10" t="s">
        <v>30</v>
      </c>
      <c r="F3550" s="10" t="s">
        <v>294</v>
      </c>
      <c r="G3550" s="10" t="s">
        <v>76</v>
      </c>
      <c r="H3550" s="7" t="s">
        <v>24</v>
      </c>
      <c r="I3550" s="7" t="s">
        <v>25</v>
      </c>
      <c r="J3550" s="13" t="str">
        <f>HYPERLINK("https://www.airitibooks.com/Detail/Detail?PublicationID=P20151022018", "https://www.airitibooks.com/Detail/Detail?PublicationID=P20151022018")</f>
        <v>https://www.airitibooks.com/Detail/Detail?PublicationID=P20151022018</v>
      </c>
      <c r="K3550" s="13" t="str">
        <f>HYPERLINK("https://ntsu.idm.oclc.org/login?url=https://www.airitibooks.com/Detail/Detail?PublicationID=P20151022018", "https://ntsu.idm.oclc.org/login?url=https://www.airitibooks.com/Detail/Detail?PublicationID=P20151022018")</f>
        <v>https://ntsu.idm.oclc.org/login?url=https://www.airitibooks.com/Detail/Detail?PublicationID=P20151022018</v>
      </c>
    </row>
    <row r="3551" spans="1:11" ht="51" x14ac:dyDescent="0.4">
      <c r="A3551" s="10" t="s">
        <v>3908</v>
      </c>
      <c r="B3551" s="10" t="s">
        <v>3909</v>
      </c>
      <c r="C3551" s="10" t="s">
        <v>938</v>
      </c>
      <c r="D3551" s="10" t="s">
        <v>2487</v>
      </c>
      <c r="E3551" s="10" t="s">
        <v>30</v>
      </c>
      <c r="F3551" s="10" t="s">
        <v>1078</v>
      </c>
      <c r="G3551" s="10" t="s">
        <v>76</v>
      </c>
      <c r="H3551" s="7" t="s">
        <v>24</v>
      </c>
      <c r="I3551" s="7" t="s">
        <v>25</v>
      </c>
      <c r="J3551" s="13" t="str">
        <f>HYPERLINK("https://www.airitibooks.com/Detail/Detail?PublicationID=P20151111058", "https://www.airitibooks.com/Detail/Detail?PublicationID=P20151111058")</f>
        <v>https://www.airitibooks.com/Detail/Detail?PublicationID=P20151111058</v>
      </c>
      <c r="K3551" s="13" t="str">
        <f>HYPERLINK("https://ntsu.idm.oclc.org/login?url=https://www.airitibooks.com/Detail/Detail?PublicationID=P20151111058", "https://ntsu.idm.oclc.org/login?url=https://www.airitibooks.com/Detail/Detail?PublicationID=P20151111058")</f>
        <v>https://ntsu.idm.oclc.org/login?url=https://www.airitibooks.com/Detail/Detail?PublicationID=P20151111058</v>
      </c>
    </row>
    <row r="3552" spans="1:11" ht="51" x14ac:dyDescent="0.4">
      <c r="A3552" s="10" t="s">
        <v>3928</v>
      </c>
      <c r="B3552" s="10" t="s">
        <v>3929</v>
      </c>
      <c r="C3552" s="10" t="s">
        <v>2020</v>
      </c>
      <c r="D3552" s="10" t="s">
        <v>3930</v>
      </c>
      <c r="E3552" s="10" t="s">
        <v>30</v>
      </c>
      <c r="F3552" s="10" t="s">
        <v>79</v>
      </c>
      <c r="G3552" s="10" t="s">
        <v>76</v>
      </c>
      <c r="H3552" s="7" t="s">
        <v>24</v>
      </c>
      <c r="I3552" s="7" t="s">
        <v>25</v>
      </c>
      <c r="J3552" s="13" t="str">
        <f>HYPERLINK("https://www.airitibooks.com/Detail/Detail?PublicationID=P20151111082", "https://www.airitibooks.com/Detail/Detail?PublicationID=P20151111082")</f>
        <v>https://www.airitibooks.com/Detail/Detail?PublicationID=P20151111082</v>
      </c>
      <c r="K3552" s="13" t="str">
        <f>HYPERLINK("https://ntsu.idm.oclc.org/login?url=https://www.airitibooks.com/Detail/Detail?PublicationID=P20151111082", "https://ntsu.idm.oclc.org/login?url=https://www.airitibooks.com/Detail/Detail?PublicationID=P20151111082")</f>
        <v>https://ntsu.idm.oclc.org/login?url=https://www.airitibooks.com/Detail/Detail?PublicationID=P20151111082</v>
      </c>
    </row>
    <row r="3553" spans="1:11" ht="51" x14ac:dyDescent="0.4">
      <c r="A3553" s="10" t="s">
        <v>4023</v>
      </c>
      <c r="B3553" s="10" t="s">
        <v>4024</v>
      </c>
      <c r="C3553" s="10" t="s">
        <v>938</v>
      </c>
      <c r="D3553" s="10" t="s">
        <v>4025</v>
      </c>
      <c r="E3553" s="10" t="s">
        <v>30</v>
      </c>
      <c r="F3553" s="10" t="s">
        <v>4026</v>
      </c>
      <c r="G3553" s="10" t="s">
        <v>76</v>
      </c>
      <c r="H3553" s="7" t="s">
        <v>24</v>
      </c>
      <c r="I3553" s="7" t="s">
        <v>25</v>
      </c>
      <c r="J3553" s="13" t="str">
        <f>HYPERLINK("https://www.airitibooks.com/Detail/Detail?PublicationID=P20151204015", "https://www.airitibooks.com/Detail/Detail?PublicationID=P20151204015")</f>
        <v>https://www.airitibooks.com/Detail/Detail?PublicationID=P20151204015</v>
      </c>
      <c r="K3553" s="13" t="str">
        <f>HYPERLINK("https://ntsu.idm.oclc.org/login?url=https://www.airitibooks.com/Detail/Detail?PublicationID=P20151204015", "https://ntsu.idm.oclc.org/login?url=https://www.airitibooks.com/Detail/Detail?PublicationID=P20151204015")</f>
        <v>https://ntsu.idm.oclc.org/login?url=https://www.airitibooks.com/Detail/Detail?PublicationID=P20151204015</v>
      </c>
    </row>
    <row r="3554" spans="1:11" ht="51" x14ac:dyDescent="0.4">
      <c r="A3554" s="10" t="s">
        <v>4027</v>
      </c>
      <c r="B3554" s="10" t="s">
        <v>4028</v>
      </c>
      <c r="C3554" s="10" t="s">
        <v>938</v>
      </c>
      <c r="D3554" s="10" t="s">
        <v>4025</v>
      </c>
      <c r="E3554" s="10" t="s">
        <v>30</v>
      </c>
      <c r="F3554" s="10" t="s">
        <v>4030</v>
      </c>
      <c r="G3554" s="10" t="s">
        <v>76</v>
      </c>
      <c r="H3554" s="7" t="s">
        <v>24</v>
      </c>
      <c r="I3554" s="7" t="s">
        <v>25</v>
      </c>
      <c r="J3554" s="13" t="str">
        <f>HYPERLINK("https://www.airitibooks.com/Detail/Detail?PublicationID=P20151204021", "https://www.airitibooks.com/Detail/Detail?PublicationID=P20151204021")</f>
        <v>https://www.airitibooks.com/Detail/Detail?PublicationID=P20151204021</v>
      </c>
      <c r="K3554" s="13" t="str">
        <f>HYPERLINK("https://ntsu.idm.oclc.org/login?url=https://www.airitibooks.com/Detail/Detail?PublicationID=P20151204021", "https://ntsu.idm.oclc.org/login?url=https://www.airitibooks.com/Detail/Detail?PublicationID=P20151204021")</f>
        <v>https://ntsu.idm.oclc.org/login?url=https://www.airitibooks.com/Detail/Detail?PublicationID=P20151204021</v>
      </c>
    </row>
    <row r="3555" spans="1:11" ht="51" x14ac:dyDescent="0.4">
      <c r="A3555" s="10" t="s">
        <v>4031</v>
      </c>
      <c r="B3555" s="10" t="s">
        <v>4032</v>
      </c>
      <c r="C3555" s="10" t="s">
        <v>938</v>
      </c>
      <c r="D3555" s="10" t="s">
        <v>4033</v>
      </c>
      <c r="E3555" s="10" t="s">
        <v>30</v>
      </c>
      <c r="F3555" s="10" t="s">
        <v>4034</v>
      </c>
      <c r="G3555" s="10" t="s">
        <v>76</v>
      </c>
      <c r="H3555" s="7" t="s">
        <v>24</v>
      </c>
      <c r="I3555" s="7" t="s">
        <v>25</v>
      </c>
      <c r="J3555" s="13" t="str">
        <f>HYPERLINK("https://www.airitibooks.com/Detail/Detail?PublicationID=P20151204023", "https://www.airitibooks.com/Detail/Detail?PublicationID=P20151204023")</f>
        <v>https://www.airitibooks.com/Detail/Detail?PublicationID=P20151204023</v>
      </c>
      <c r="K3555" s="13" t="str">
        <f>HYPERLINK("https://ntsu.idm.oclc.org/login?url=https://www.airitibooks.com/Detail/Detail?PublicationID=P20151204023", "https://ntsu.idm.oclc.org/login?url=https://www.airitibooks.com/Detail/Detail?PublicationID=P20151204023")</f>
        <v>https://ntsu.idm.oclc.org/login?url=https://www.airitibooks.com/Detail/Detail?PublicationID=P20151204023</v>
      </c>
    </row>
    <row r="3556" spans="1:11" ht="51" x14ac:dyDescent="0.4">
      <c r="A3556" s="10" t="s">
        <v>4086</v>
      </c>
      <c r="B3556" s="10" t="s">
        <v>4087</v>
      </c>
      <c r="C3556" s="10" t="s">
        <v>28</v>
      </c>
      <c r="D3556" s="10" t="s">
        <v>4088</v>
      </c>
      <c r="E3556" s="10" t="s">
        <v>30</v>
      </c>
      <c r="F3556" s="10" t="s">
        <v>79</v>
      </c>
      <c r="G3556" s="10" t="s">
        <v>76</v>
      </c>
      <c r="H3556" s="7" t="s">
        <v>24</v>
      </c>
      <c r="I3556" s="7" t="s">
        <v>25</v>
      </c>
      <c r="J3556" s="13" t="str">
        <f>HYPERLINK("https://www.airitibooks.com/Detail/Detail?PublicationID=P20151204072", "https://www.airitibooks.com/Detail/Detail?PublicationID=P20151204072")</f>
        <v>https://www.airitibooks.com/Detail/Detail?PublicationID=P20151204072</v>
      </c>
      <c r="K3556" s="13" t="str">
        <f>HYPERLINK("https://ntsu.idm.oclc.org/login?url=https://www.airitibooks.com/Detail/Detail?PublicationID=P20151204072", "https://ntsu.idm.oclc.org/login?url=https://www.airitibooks.com/Detail/Detail?PublicationID=P20151204072")</f>
        <v>https://ntsu.idm.oclc.org/login?url=https://www.airitibooks.com/Detail/Detail?PublicationID=P20151204072</v>
      </c>
    </row>
    <row r="3557" spans="1:11" ht="51" x14ac:dyDescent="0.4">
      <c r="A3557" s="10" t="s">
        <v>4089</v>
      </c>
      <c r="B3557" s="10" t="s">
        <v>4090</v>
      </c>
      <c r="C3557" s="10" t="s">
        <v>28</v>
      </c>
      <c r="D3557" s="10" t="s">
        <v>4091</v>
      </c>
      <c r="E3557" s="10" t="s">
        <v>30</v>
      </c>
      <c r="F3557" s="10" t="s">
        <v>79</v>
      </c>
      <c r="G3557" s="10" t="s">
        <v>76</v>
      </c>
      <c r="H3557" s="7" t="s">
        <v>24</v>
      </c>
      <c r="I3557" s="7" t="s">
        <v>25</v>
      </c>
      <c r="J3557" s="13" t="str">
        <f>HYPERLINK("https://www.airitibooks.com/Detail/Detail?PublicationID=P20151204073", "https://www.airitibooks.com/Detail/Detail?PublicationID=P20151204073")</f>
        <v>https://www.airitibooks.com/Detail/Detail?PublicationID=P20151204073</v>
      </c>
      <c r="K3557" s="13" t="str">
        <f>HYPERLINK("https://ntsu.idm.oclc.org/login?url=https://www.airitibooks.com/Detail/Detail?PublicationID=P20151204073", "https://ntsu.idm.oclc.org/login?url=https://www.airitibooks.com/Detail/Detail?PublicationID=P20151204073")</f>
        <v>https://ntsu.idm.oclc.org/login?url=https://www.airitibooks.com/Detail/Detail?PublicationID=P20151204073</v>
      </c>
    </row>
    <row r="3558" spans="1:11" ht="51" x14ac:dyDescent="0.4">
      <c r="A3558" s="10" t="s">
        <v>4110</v>
      </c>
      <c r="B3558" s="10" t="s">
        <v>4111</v>
      </c>
      <c r="C3558" s="10" t="s">
        <v>28</v>
      </c>
      <c r="D3558" s="10" t="s">
        <v>4112</v>
      </c>
      <c r="E3558" s="10" t="s">
        <v>30</v>
      </c>
      <c r="F3558" s="10" t="s">
        <v>75</v>
      </c>
      <c r="G3558" s="10" t="s">
        <v>76</v>
      </c>
      <c r="H3558" s="7" t="s">
        <v>24</v>
      </c>
      <c r="I3558" s="7" t="s">
        <v>25</v>
      </c>
      <c r="J3558" s="13" t="str">
        <f>HYPERLINK("https://www.airitibooks.com/Detail/Detail?PublicationID=P20151204085", "https://www.airitibooks.com/Detail/Detail?PublicationID=P20151204085")</f>
        <v>https://www.airitibooks.com/Detail/Detail?PublicationID=P20151204085</v>
      </c>
      <c r="K3558" s="13" t="str">
        <f>HYPERLINK("https://ntsu.idm.oclc.org/login?url=https://www.airitibooks.com/Detail/Detail?PublicationID=P20151204085", "https://ntsu.idm.oclc.org/login?url=https://www.airitibooks.com/Detail/Detail?PublicationID=P20151204085")</f>
        <v>https://ntsu.idm.oclc.org/login?url=https://www.airitibooks.com/Detail/Detail?PublicationID=P20151204085</v>
      </c>
    </row>
    <row r="3559" spans="1:11" ht="51" x14ac:dyDescent="0.4">
      <c r="A3559" s="10" t="s">
        <v>4113</v>
      </c>
      <c r="B3559" s="10" t="s">
        <v>4114</v>
      </c>
      <c r="C3559" s="10" t="s">
        <v>28</v>
      </c>
      <c r="D3559" s="10" t="s">
        <v>4115</v>
      </c>
      <c r="E3559" s="10" t="s">
        <v>30</v>
      </c>
      <c r="F3559" s="10" t="s">
        <v>79</v>
      </c>
      <c r="G3559" s="10" t="s">
        <v>76</v>
      </c>
      <c r="H3559" s="7" t="s">
        <v>24</v>
      </c>
      <c r="I3559" s="7" t="s">
        <v>25</v>
      </c>
      <c r="J3559" s="13" t="str">
        <f>HYPERLINK("https://www.airitibooks.com/Detail/Detail?PublicationID=P20151204086", "https://www.airitibooks.com/Detail/Detail?PublicationID=P20151204086")</f>
        <v>https://www.airitibooks.com/Detail/Detail?PublicationID=P20151204086</v>
      </c>
      <c r="K3559" s="13" t="str">
        <f>HYPERLINK("https://ntsu.idm.oclc.org/login?url=https://www.airitibooks.com/Detail/Detail?PublicationID=P20151204086", "https://ntsu.idm.oclc.org/login?url=https://www.airitibooks.com/Detail/Detail?PublicationID=P20151204086")</f>
        <v>https://ntsu.idm.oclc.org/login?url=https://www.airitibooks.com/Detail/Detail?PublicationID=P20151204086</v>
      </c>
    </row>
    <row r="3560" spans="1:11" ht="51" x14ac:dyDescent="0.4">
      <c r="A3560" s="10" t="s">
        <v>4135</v>
      </c>
      <c r="B3560" s="10" t="s">
        <v>4136</v>
      </c>
      <c r="C3560" s="10" t="s">
        <v>130</v>
      </c>
      <c r="D3560" s="10" t="s">
        <v>2788</v>
      </c>
      <c r="E3560" s="10" t="s">
        <v>30</v>
      </c>
      <c r="F3560" s="10" t="s">
        <v>104</v>
      </c>
      <c r="G3560" s="10" t="s">
        <v>76</v>
      </c>
      <c r="H3560" s="7" t="s">
        <v>24</v>
      </c>
      <c r="I3560" s="7" t="s">
        <v>25</v>
      </c>
      <c r="J3560" s="13" t="str">
        <f>HYPERLINK("https://www.airitibooks.com/Detail/Detail?PublicationID=P20160224034", "https://www.airitibooks.com/Detail/Detail?PublicationID=P20160224034")</f>
        <v>https://www.airitibooks.com/Detail/Detail?PublicationID=P20160224034</v>
      </c>
      <c r="K3560" s="13" t="str">
        <f>HYPERLINK("https://ntsu.idm.oclc.org/login?url=https://www.airitibooks.com/Detail/Detail?PublicationID=P20160224034", "https://ntsu.idm.oclc.org/login?url=https://www.airitibooks.com/Detail/Detail?PublicationID=P20160224034")</f>
        <v>https://ntsu.idm.oclc.org/login?url=https://www.airitibooks.com/Detail/Detail?PublicationID=P20160224034</v>
      </c>
    </row>
    <row r="3561" spans="1:11" ht="51" x14ac:dyDescent="0.4">
      <c r="A3561" s="10" t="s">
        <v>4144</v>
      </c>
      <c r="B3561" s="10" t="s">
        <v>4145</v>
      </c>
      <c r="C3561" s="10" t="s">
        <v>130</v>
      </c>
      <c r="D3561" s="10" t="s">
        <v>4146</v>
      </c>
      <c r="E3561" s="10" t="s">
        <v>30</v>
      </c>
      <c r="F3561" s="10" t="s">
        <v>4147</v>
      </c>
      <c r="G3561" s="10" t="s">
        <v>76</v>
      </c>
      <c r="H3561" s="7" t="s">
        <v>24</v>
      </c>
      <c r="I3561" s="7" t="s">
        <v>25</v>
      </c>
      <c r="J3561" s="13" t="str">
        <f>HYPERLINK("https://www.airitibooks.com/Detail/Detail?PublicationID=P20160224039", "https://www.airitibooks.com/Detail/Detail?PublicationID=P20160224039")</f>
        <v>https://www.airitibooks.com/Detail/Detail?PublicationID=P20160224039</v>
      </c>
      <c r="K3561" s="13" t="str">
        <f>HYPERLINK("https://ntsu.idm.oclc.org/login?url=https://www.airitibooks.com/Detail/Detail?PublicationID=P20160224039", "https://ntsu.idm.oclc.org/login?url=https://www.airitibooks.com/Detail/Detail?PublicationID=P20160224039")</f>
        <v>https://ntsu.idm.oclc.org/login?url=https://www.airitibooks.com/Detail/Detail?PublicationID=P20160224039</v>
      </c>
    </row>
    <row r="3562" spans="1:11" ht="51" x14ac:dyDescent="0.4">
      <c r="A3562" s="10" t="s">
        <v>4208</v>
      </c>
      <c r="B3562" s="10" t="s">
        <v>4209</v>
      </c>
      <c r="C3562" s="10" t="s">
        <v>568</v>
      </c>
      <c r="D3562" s="10" t="s">
        <v>4210</v>
      </c>
      <c r="E3562" s="10" t="s">
        <v>30</v>
      </c>
      <c r="F3562" s="10" t="s">
        <v>294</v>
      </c>
      <c r="G3562" s="10" t="s">
        <v>76</v>
      </c>
      <c r="H3562" s="7" t="s">
        <v>24</v>
      </c>
      <c r="I3562" s="7" t="s">
        <v>25</v>
      </c>
      <c r="J3562" s="13" t="str">
        <f>HYPERLINK("https://www.airitibooks.com/Detail/Detail?PublicationID=P20160226130", "https://www.airitibooks.com/Detail/Detail?PublicationID=P20160226130")</f>
        <v>https://www.airitibooks.com/Detail/Detail?PublicationID=P20160226130</v>
      </c>
      <c r="K3562" s="13" t="str">
        <f>HYPERLINK("https://ntsu.idm.oclc.org/login?url=https://www.airitibooks.com/Detail/Detail?PublicationID=P20160226130", "https://ntsu.idm.oclc.org/login?url=https://www.airitibooks.com/Detail/Detail?PublicationID=P20160226130")</f>
        <v>https://ntsu.idm.oclc.org/login?url=https://www.airitibooks.com/Detail/Detail?PublicationID=P20160226130</v>
      </c>
    </row>
    <row r="3563" spans="1:11" ht="51" x14ac:dyDescent="0.4">
      <c r="A3563" s="10" t="s">
        <v>4452</v>
      </c>
      <c r="B3563" s="10" t="s">
        <v>4453</v>
      </c>
      <c r="C3563" s="10" t="s">
        <v>1262</v>
      </c>
      <c r="D3563" s="10" t="s">
        <v>4454</v>
      </c>
      <c r="E3563" s="10" t="s">
        <v>30</v>
      </c>
      <c r="F3563" s="10" t="s">
        <v>3731</v>
      </c>
      <c r="G3563" s="10" t="s">
        <v>76</v>
      </c>
      <c r="H3563" s="7" t="s">
        <v>24</v>
      </c>
      <c r="I3563" s="7" t="s">
        <v>25</v>
      </c>
      <c r="J3563" s="13" t="str">
        <f>HYPERLINK("https://www.airitibooks.com/Detail/Detail?PublicationID=P20160413004", "https://www.airitibooks.com/Detail/Detail?PublicationID=P20160413004")</f>
        <v>https://www.airitibooks.com/Detail/Detail?PublicationID=P20160413004</v>
      </c>
      <c r="K3563" s="13" t="str">
        <f>HYPERLINK("https://ntsu.idm.oclc.org/login?url=https://www.airitibooks.com/Detail/Detail?PublicationID=P20160413004", "https://ntsu.idm.oclc.org/login?url=https://www.airitibooks.com/Detail/Detail?PublicationID=P20160413004")</f>
        <v>https://ntsu.idm.oclc.org/login?url=https://www.airitibooks.com/Detail/Detail?PublicationID=P20160413004</v>
      </c>
    </row>
    <row r="3564" spans="1:11" ht="51" x14ac:dyDescent="0.4">
      <c r="A3564" s="10" t="s">
        <v>4455</v>
      </c>
      <c r="B3564" s="10" t="s">
        <v>4456</v>
      </c>
      <c r="C3564" s="10" t="s">
        <v>938</v>
      </c>
      <c r="D3564" s="10" t="s">
        <v>4457</v>
      </c>
      <c r="E3564" s="10" t="s">
        <v>30</v>
      </c>
      <c r="F3564" s="10" t="s">
        <v>632</v>
      </c>
      <c r="G3564" s="10" t="s">
        <v>76</v>
      </c>
      <c r="H3564" s="7" t="s">
        <v>24</v>
      </c>
      <c r="I3564" s="7" t="s">
        <v>25</v>
      </c>
      <c r="J3564" s="13" t="str">
        <f>HYPERLINK("https://www.airitibooks.com/Detail/Detail?PublicationID=P20160413006", "https://www.airitibooks.com/Detail/Detail?PublicationID=P20160413006")</f>
        <v>https://www.airitibooks.com/Detail/Detail?PublicationID=P20160413006</v>
      </c>
      <c r="K3564" s="13" t="str">
        <f>HYPERLINK("https://ntsu.idm.oclc.org/login?url=https://www.airitibooks.com/Detail/Detail?PublicationID=P20160413006", "https://ntsu.idm.oclc.org/login?url=https://www.airitibooks.com/Detail/Detail?PublicationID=P20160413006")</f>
        <v>https://ntsu.idm.oclc.org/login?url=https://www.airitibooks.com/Detail/Detail?PublicationID=P20160413006</v>
      </c>
    </row>
    <row r="3565" spans="1:11" ht="51" x14ac:dyDescent="0.4">
      <c r="A3565" s="10" t="s">
        <v>4458</v>
      </c>
      <c r="B3565" s="10" t="s">
        <v>4459</v>
      </c>
      <c r="C3565" s="10" t="s">
        <v>938</v>
      </c>
      <c r="D3565" s="10" t="s">
        <v>4460</v>
      </c>
      <c r="E3565" s="10" t="s">
        <v>30</v>
      </c>
      <c r="F3565" s="10" t="s">
        <v>105</v>
      </c>
      <c r="G3565" s="10" t="s">
        <v>76</v>
      </c>
      <c r="H3565" s="7" t="s">
        <v>24</v>
      </c>
      <c r="I3565" s="7" t="s">
        <v>25</v>
      </c>
      <c r="J3565" s="13" t="str">
        <f>HYPERLINK("https://www.airitibooks.com/Detail/Detail?PublicationID=P20160413018", "https://www.airitibooks.com/Detail/Detail?PublicationID=P20160413018")</f>
        <v>https://www.airitibooks.com/Detail/Detail?PublicationID=P20160413018</v>
      </c>
      <c r="K3565" s="13" t="str">
        <f>HYPERLINK("https://ntsu.idm.oclc.org/login?url=https://www.airitibooks.com/Detail/Detail?PublicationID=P20160413018", "https://ntsu.idm.oclc.org/login?url=https://www.airitibooks.com/Detail/Detail?PublicationID=P20160413018")</f>
        <v>https://ntsu.idm.oclc.org/login?url=https://www.airitibooks.com/Detail/Detail?PublicationID=P20160413018</v>
      </c>
    </row>
    <row r="3566" spans="1:11" ht="51" x14ac:dyDescent="0.4">
      <c r="A3566" s="10" t="s">
        <v>4464</v>
      </c>
      <c r="B3566" s="10" t="s">
        <v>4465</v>
      </c>
      <c r="C3566" s="10" t="s">
        <v>938</v>
      </c>
      <c r="D3566" s="10" t="s">
        <v>4466</v>
      </c>
      <c r="E3566" s="10" t="s">
        <v>30</v>
      </c>
      <c r="F3566" s="10" t="s">
        <v>4467</v>
      </c>
      <c r="G3566" s="10" t="s">
        <v>76</v>
      </c>
      <c r="H3566" s="7" t="s">
        <v>24</v>
      </c>
      <c r="I3566" s="7" t="s">
        <v>25</v>
      </c>
      <c r="J3566" s="13" t="str">
        <f>HYPERLINK("https://www.airitibooks.com/Detail/Detail?PublicationID=P20160413052", "https://www.airitibooks.com/Detail/Detail?PublicationID=P20160413052")</f>
        <v>https://www.airitibooks.com/Detail/Detail?PublicationID=P20160413052</v>
      </c>
      <c r="K3566" s="13" t="str">
        <f>HYPERLINK("https://ntsu.idm.oclc.org/login?url=https://www.airitibooks.com/Detail/Detail?PublicationID=P20160413052", "https://ntsu.idm.oclc.org/login?url=https://www.airitibooks.com/Detail/Detail?PublicationID=P20160413052")</f>
        <v>https://ntsu.idm.oclc.org/login?url=https://www.airitibooks.com/Detail/Detail?PublicationID=P20160413052</v>
      </c>
    </row>
    <row r="3567" spans="1:11" ht="51" x14ac:dyDescent="0.4">
      <c r="A3567" s="10" t="s">
        <v>4561</v>
      </c>
      <c r="B3567" s="10" t="s">
        <v>4562</v>
      </c>
      <c r="C3567" s="10" t="s">
        <v>938</v>
      </c>
      <c r="D3567" s="10" t="s">
        <v>4563</v>
      </c>
      <c r="E3567" s="10" t="s">
        <v>30</v>
      </c>
      <c r="F3567" s="10" t="s">
        <v>4564</v>
      </c>
      <c r="G3567" s="10" t="s">
        <v>76</v>
      </c>
      <c r="H3567" s="7" t="s">
        <v>24</v>
      </c>
      <c r="I3567" s="7" t="s">
        <v>25</v>
      </c>
      <c r="J3567" s="13" t="str">
        <f>HYPERLINK("https://www.airitibooks.com/Detail/Detail?PublicationID=P20160422058", "https://www.airitibooks.com/Detail/Detail?PublicationID=P20160422058")</f>
        <v>https://www.airitibooks.com/Detail/Detail?PublicationID=P20160422058</v>
      </c>
      <c r="K3567" s="13" t="str">
        <f>HYPERLINK("https://ntsu.idm.oclc.org/login?url=https://www.airitibooks.com/Detail/Detail?PublicationID=P20160422058", "https://ntsu.idm.oclc.org/login?url=https://www.airitibooks.com/Detail/Detail?PublicationID=P20160422058")</f>
        <v>https://ntsu.idm.oclc.org/login?url=https://www.airitibooks.com/Detail/Detail?PublicationID=P20160422058</v>
      </c>
    </row>
    <row r="3568" spans="1:11" ht="51" x14ac:dyDescent="0.4">
      <c r="A3568" s="10" t="s">
        <v>4568</v>
      </c>
      <c r="B3568" s="10" t="s">
        <v>4569</v>
      </c>
      <c r="C3568" s="10" t="s">
        <v>4570</v>
      </c>
      <c r="D3568" s="10" t="s">
        <v>4571</v>
      </c>
      <c r="E3568" s="10" t="s">
        <v>30</v>
      </c>
      <c r="F3568" s="10" t="s">
        <v>4572</v>
      </c>
      <c r="G3568" s="10" t="s">
        <v>76</v>
      </c>
      <c r="H3568" s="7" t="s">
        <v>24</v>
      </c>
      <c r="I3568" s="7" t="s">
        <v>25</v>
      </c>
      <c r="J3568" s="13" t="str">
        <f>HYPERLINK("https://www.airitibooks.com/Detail/Detail?PublicationID=P20160517242", "https://www.airitibooks.com/Detail/Detail?PublicationID=P20160517242")</f>
        <v>https://www.airitibooks.com/Detail/Detail?PublicationID=P20160517242</v>
      </c>
      <c r="K3568" s="13" t="str">
        <f>HYPERLINK("https://ntsu.idm.oclc.org/login?url=https://www.airitibooks.com/Detail/Detail?PublicationID=P20160517242", "https://ntsu.idm.oclc.org/login?url=https://www.airitibooks.com/Detail/Detail?PublicationID=P20160517242")</f>
        <v>https://ntsu.idm.oclc.org/login?url=https://www.airitibooks.com/Detail/Detail?PublicationID=P20160517242</v>
      </c>
    </row>
    <row r="3569" spans="1:11" ht="51" x14ac:dyDescent="0.4">
      <c r="A3569" s="10" t="s">
        <v>4573</v>
      </c>
      <c r="B3569" s="10" t="s">
        <v>4574</v>
      </c>
      <c r="C3569" s="10" t="s">
        <v>4570</v>
      </c>
      <c r="D3569" s="10" t="s">
        <v>4571</v>
      </c>
      <c r="E3569" s="10" t="s">
        <v>30</v>
      </c>
      <c r="F3569" s="10" t="s">
        <v>4572</v>
      </c>
      <c r="G3569" s="10" t="s">
        <v>76</v>
      </c>
      <c r="H3569" s="7" t="s">
        <v>24</v>
      </c>
      <c r="I3569" s="7" t="s">
        <v>25</v>
      </c>
      <c r="J3569" s="13" t="str">
        <f>HYPERLINK("https://www.airitibooks.com/Detail/Detail?PublicationID=P20160517243", "https://www.airitibooks.com/Detail/Detail?PublicationID=P20160517243")</f>
        <v>https://www.airitibooks.com/Detail/Detail?PublicationID=P20160517243</v>
      </c>
      <c r="K3569" s="13" t="str">
        <f>HYPERLINK("https://ntsu.idm.oclc.org/login?url=https://www.airitibooks.com/Detail/Detail?PublicationID=P20160517243", "https://ntsu.idm.oclc.org/login?url=https://www.airitibooks.com/Detail/Detail?PublicationID=P20160517243")</f>
        <v>https://ntsu.idm.oclc.org/login?url=https://www.airitibooks.com/Detail/Detail?PublicationID=P20160517243</v>
      </c>
    </row>
    <row r="3570" spans="1:11" ht="51" x14ac:dyDescent="0.4">
      <c r="A3570" s="10" t="s">
        <v>4575</v>
      </c>
      <c r="B3570" s="10" t="s">
        <v>4576</v>
      </c>
      <c r="C3570" s="10" t="s">
        <v>4570</v>
      </c>
      <c r="D3570" s="10" t="s">
        <v>4571</v>
      </c>
      <c r="E3570" s="10" t="s">
        <v>30</v>
      </c>
      <c r="F3570" s="10" t="s">
        <v>4577</v>
      </c>
      <c r="G3570" s="10" t="s">
        <v>76</v>
      </c>
      <c r="H3570" s="7" t="s">
        <v>24</v>
      </c>
      <c r="I3570" s="7" t="s">
        <v>25</v>
      </c>
      <c r="J3570" s="13" t="str">
        <f>HYPERLINK("https://www.airitibooks.com/Detail/Detail?PublicationID=P20160517244", "https://www.airitibooks.com/Detail/Detail?PublicationID=P20160517244")</f>
        <v>https://www.airitibooks.com/Detail/Detail?PublicationID=P20160517244</v>
      </c>
      <c r="K3570" s="13" t="str">
        <f>HYPERLINK("https://ntsu.idm.oclc.org/login?url=https://www.airitibooks.com/Detail/Detail?PublicationID=P20160517244", "https://ntsu.idm.oclc.org/login?url=https://www.airitibooks.com/Detail/Detail?PublicationID=P20160517244")</f>
        <v>https://ntsu.idm.oclc.org/login?url=https://www.airitibooks.com/Detail/Detail?PublicationID=P20160517244</v>
      </c>
    </row>
    <row r="3571" spans="1:11" ht="51" x14ac:dyDescent="0.4">
      <c r="A3571" s="10" t="s">
        <v>4578</v>
      </c>
      <c r="B3571" s="10" t="s">
        <v>4579</v>
      </c>
      <c r="C3571" s="10" t="s">
        <v>4570</v>
      </c>
      <c r="D3571" s="10" t="s">
        <v>4571</v>
      </c>
      <c r="E3571" s="10" t="s">
        <v>30</v>
      </c>
      <c r="F3571" s="10" t="s">
        <v>4577</v>
      </c>
      <c r="G3571" s="10" t="s">
        <v>76</v>
      </c>
      <c r="H3571" s="7" t="s">
        <v>24</v>
      </c>
      <c r="I3571" s="7" t="s">
        <v>25</v>
      </c>
      <c r="J3571" s="13" t="str">
        <f>HYPERLINK("https://www.airitibooks.com/Detail/Detail?PublicationID=P20160517245", "https://www.airitibooks.com/Detail/Detail?PublicationID=P20160517245")</f>
        <v>https://www.airitibooks.com/Detail/Detail?PublicationID=P20160517245</v>
      </c>
      <c r="K3571" s="13" t="str">
        <f>HYPERLINK("https://ntsu.idm.oclc.org/login?url=https://www.airitibooks.com/Detail/Detail?PublicationID=P20160517245", "https://ntsu.idm.oclc.org/login?url=https://www.airitibooks.com/Detail/Detail?PublicationID=P20160517245")</f>
        <v>https://ntsu.idm.oclc.org/login?url=https://www.airitibooks.com/Detail/Detail?PublicationID=P20160517245</v>
      </c>
    </row>
    <row r="3572" spans="1:11" ht="51" x14ac:dyDescent="0.4">
      <c r="A3572" s="10" t="s">
        <v>4580</v>
      </c>
      <c r="B3572" s="10" t="s">
        <v>4581</v>
      </c>
      <c r="C3572" s="10" t="s">
        <v>4570</v>
      </c>
      <c r="D3572" s="10" t="s">
        <v>4571</v>
      </c>
      <c r="E3572" s="10" t="s">
        <v>30</v>
      </c>
      <c r="F3572" s="10" t="s">
        <v>4577</v>
      </c>
      <c r="G3572" s="10" t="s">
        <v>76</v>
      </c>
      <c r="H3572" s="7" t="s">
        <v>24</v>
      </c>
      <c r="I3572" s="7" t="s">
        <v>25</v>
      </c>
      <c r="J3572" s="13" t="str">
        <f>HYPERLINK("https://www.airitibooks.com/Detail/Detail?PublicationID=P20160517246", "https://www.airitibooks.com/Detail/Detail?PublicationID=P20160517246")</f>
        <v>https://www.airitibooks.com/Detail/Detail?PublicationID=P20160517246</v>
      </c>
      <c r="K3572" s="13" t="str">
        <f>HYPERLINK("https://ntsu.idm.oclc.org/login?url=https://www.airitibooks.com/Detail/Detail?PublicationID=P20160517246", "https://ntsu.idm.oclc.org/login?url=https://www.airitibooks.com/Detail/Detail?PublicationID=P20160517246")</f>
        <v>https://ntsu.idm.oclc.org/login?url=https://www.airitibooks.com/Detail/Detail?PublicationID=P20160517246</v>
      </c>
    </row>
    <row r="3573" spans="1:11" ht="51" x14ac:dyDescent="0.4">
      <c r="A3573" s="10" t="s">
        <v>4582</v>
      </c>
      <c r="B3573" s="10" t="s">
        <v>4583</v>
      </c>
      <c r="C3573" s="10" t="s">
        <v>4570</v>
      </c>
      <c r="D3573" s="10" t="s">
        <v>4571</v>
      </c>
      <c r="E3573" s="10" t="s">
        <v>30</v>
      </c>
      <c r="F3573" s="10" t="s">
        <v>4577</v>
      </c>
      <c r="G3573" s="10" t="s">
        <v>76</v>
      </c>
      <c r="H3573" s="7" t="s">
        <v>24</v>
      </c>
      <c r="I3573" s="7" t="s">
        <v>25</v>
      </c>
      <c r="J3573" s="13" t="str">
        <f>HYPERLINK("https://www.airitibooks.com/Detail/Detail?PublicationID=P20160517248", "https://www.airitibooks.com/Detail/Detail?PublicationID=P20160517248")</f>
        <v>https://www.airitibooks.com/Detail/Detail?PublicationID=P20160517248</v>
      </c>
      <c r="K3573" s="13" t="str">
        <f>HYPERLINK("https://ntsu.idm.oclc.org/login?url=https://www.airitibooks.com/Detail/Detail?PublicationID=P20160517248", "https://ntsu.idm.oclc.org/login?url=https://www.airitibooks.com/Detail/Detail?PublicationID=P20160517248")</f>
        <v>https://ntsu.idm.oclc.org/login?url=https://www.airitibooks.com/Detail/Detail?PublicationID=P20160517248</v>
      </c>
    </row>
    <row r="3574" spans="1:11" ht="51" x14ac:dyDescent="0.4">
      <c r="A3574" s="10" t="s">
        <v>4584</v>
      </c>
      <c r="B3574" s="10" t="s">
        <v>4585</v>
      </c>
      <c r="C3574" s="10" t="s">
        <v>4570</v>
      </c>
      <c r="D3574" s="10" t="s">
        <v>4571</v>
      </c>
      <c r="E3574" s="10" t="s">
        <v>30</v>
      </c>
      <c r="F3574" s="10" t="s">
        <v>4572</v>
      </c>
      <c r="G3574" s="10" t="s">
        <v>76</v>
      </c>
      <c r="H3574" s="7" t="s">
        <v>24</v>
      </c>
      <c r="I3574" s="7" t="s">
        <v>25</v>
      </c>
      <c r="J3574" s="13" t="str">
        <f>HYPERLINK("https://www.airitibooks.com/Detail/Detail?PublicationID=P20160517249", "https://www.airitibooks.com/Detail/Detail?PublicationID=P20160517249")</f>
        <v>https://www.airitibooks.com/Detail/Detail?PublicationID=P20160517249</v>
      </c>
      <c r="K3574" s="13" t="str">
        <f>HYPERLINK("https://ntsu.idm.oclc.org/login?url=https://www.airitibooks.com/Detail/Detail?PublicationID=P20160517249", "https://ntsu.idm.oclc.org/login?url=https://www.airitibooks.com/Detail/Detail?PublicationID=P20160517249")</f>
        <v>https://ntsu.idm.oclc.org/login?url=https://www.airitibooks.com/Detail/Detail?PublicationID=P20160517249</v>
      </c>
    </row>
    <row r="3575" spans="1:11" ht="51" x14ac:dyDescent="0.4">
      <c r="A3575" s="10" t="s">
        <v>4586</v>
      </c>
      <c r="B3575" s="10" t="s">
        <v>4587</v>
      </c>
      <c r="C3575" s="10" t="s">
        <v>4570</v>
      </c>
      <c r="D3575" s="10" t="s">
        <v>4571</v>
      </c>
      <c r="E3575" s="10" t="s">
        <v>30</v>
      </c>
      <c r="F3575" s="10" t="s">
        <v>4572</v>
      </c>
      <c r="G3575" s="10" t="s">
        <v>76</v>
      </c>
      <c r="H3575" s="7" t="s">
        <v>24</v>
      </c>
      <c r="I3575" s="7" t="s">
        <v>25</v>
      </c>
      <c r="J3575" s="13" t="str">
        <f>HYPERLINK("https://www.airitibooks.com/Detail/Detail?PublicationID=P20160517251", "https://www.airitibooks.com/Detail/Detail?PublicationID=P20160517251")</f>
        <v>https://www.airitibooks.com/Detail/Detail?PublicationID=P20160517251</v>
      </c>
      <c r="K3575" s="13" t="str">
        <f>HYPERLINK("https://ntsu.idm.oclc.org/login?url=https://www.airitibooks.com/Detail/Detail?PublicationID=P20160517251", "https://ntsu.idm.oclc.org/login?url=https://www.airitibooks.com/Detail/Detail?PublicationID=P20160517251")</f>
        <v>https://ntsu.idm.oclc.org/login?url=https://www.airitibooks.com/Detail/Detail?PublicationID=P20160517251</v>
      </c>
    </row>
    <row r="3576" spans="1:11" ht="51" x14ac:dyDescent="0.4">
      <c r="A3576" s="10" t="s">
        <v>4588</v>
      </c>
      <c r="B3576" s="10" t="s">
        <v>4589</v>
      </c>
      <c r="C3576" s="10" t="s">
        <v>4570</v>
      </c>
      <c r="D3576" s="10" t="s">
        <v>4571</v>
      </c>
      <c r="E3576" s="10" t="s">
        <v>30</v>
      </c>
      <c r="F3576" s="10" t="s">
        <v>4577</v>
      </c>
      <c r="G3576" s="10" t="s">
        <v>76</v>
      </c>
      <c r="H3576" s="7" t="s">
        <v>24</v>
      </c>
      <c r="I3576" s="7" t="s">
        <v>25</v>
      </c>
      <c r="J3576" s="13" t="str">
        <f>HYPERLINK("https://www.airitibooks.com/Detail/Detail?PublicationID=P20160517253", "https://www.airitibooks.com/Detail/Detail?PublicationID=P20160517253")</f>
        <v>https://www.airitibooks.com/Detail/Detail?PublicationID=P20160517253</v>
      </c>
      <c r="K3576" s="13" t="str">
        <f>HYPERLINK("https://ntsu.idm.oclc.org/login?url=https://www.airitibooks.com/Detail/Detail?PublicationID=P20160517253", "https://ntsu.idm.oclc.org/login?url=https://www.airitibooks.com/Detail/Detail?PublicationID=P20160517253")</f>
        <v>https://ntsu.idm.oclc.org/login?url=https://www.airitibooks.com/Detail/Detail?PublicationID=P20160517253</v>
      </c>
    </row>
    <row r="3577" spans="1:11" ht="51" x14ac:dyDescent="0.4">
      <c r="A3577" s="10" t="s">
        <v>4590</v>
      </c>
      <c r="B3577" s="10" t="s">
        <v>4591</v>
      </c>
      <c r="C3577" s="10" t="s">
        <v>4570</v>
      </c>
      <c r="D3577" s="10" t="s">
        <v>4571</v>
      </c>
      <c r="E3577" s="10" t="s">
        <v>30</v>
      </c>
      <c r="F3577" s="10" t="s">
        <v>3148</v>
      </c>
      <c r="G3577" s="10" t="s">
        <v>76</v>
      </c>
      <c r="H3577" s="7" t="s">
        <v>24</v>
      </c>
      <c r="I3577" s="7" t="s">
        <v>25</v>
      </c>
      <c r="J3577" s="13" t="str">
        <f>HYPERLINK("https://www.airitibooks.com/Detail/Detail?PublicationID=P20160517255", "https://www.airitibooks.com/Detail/Detail?PublicationID=P20160517255")</f>
        <v>https://www.airitibooks.com/Detail/Detail?PublicationID=P20160517255</v>
      </c>
      <c r="K3577" s="13" t="str">
        <f>HYPERLINK("https://ntsu.idm.oclc.org/login?url=https://www.airitibooks.com/Detail/Detail?PublicationID=P20160517255", "https://ntsu.idm.oclc.org/login?url=https://www.airitibooks.com/Detail/Detail?PublicationID=P20160517255")</f>
        <v>https://ntsu.idm.oclc.org/login?url=https://www.airitibooks.com/Detail/Detail?PublicationID=P20160517255</v>
      </c>
    </row>
    <row r="3578" spans="1:11" ht="51" x14ac:dyDescent="0.4">
      <c r="A3578" s="10" t="s">
        <v>4713</v>
      </c>
      <c r="B3578" s="10" t="s">
        <v>4714</v>
      </c>
      <c r="C3578" s="10" t="s">
        <v>2515</v>
      </c>
      <c r="D3578" s="10" t="s">
        <v>4715</v>
      </c>
      <c r="E3578" s="10" t="s">
        <v>30</v>
      </c>
      <c r="F3578" s="10" t="s">
        <v>4716</v>
      </c>
      <c r="G3578" s="10" t="s">
        <v>76</v>
      </c>
      <c r="H3578" s="7" t="s">
        <v>24</v>
      </c>
      <c r="I3578" s="7" t="s">
        <v>25</v>
      </c>
      <c r="J3578" s="13" t="str">
        <f>HYPERLINK("https://www.airitibooks.com/Detail/Detail?PublicationID=P20160603023", "https://www.airitibooks.com/Detail/Detail?PublicationID=P20160603023")</f>
        <v>https://www.airitibooks.com/Detail/Detail?PublicationID=P20160603023</v>
      </c>
      <c r="K3578" s="13" t="str">
        <f>HYPERLINK("https://ntsu.idm.oclc.org/login?url=https://www.airitibooks.com/Detail/Detail?PublicationID=P20160603023", "https://ntsu.idm.oclc.org/login?url=https://www.airitibooks.com/Detail/Detail?PublicationID=P20160603023")</f>
        <v>https://ntsu.idm.oclc.org/login?url=https://www.airitibooks.com/Detail/Detail?PublicationID=P20160603023</v>
      </c>
    </row>
    <row r="3579" spans="1:11" ht="51" x14ac:dyDescent="0.4">
      <c r="A3579" s="10" t="s">
        <v>4910</v>
      </c>
      <c r="B3579" s="10" t="s">
        <v>4911</v>
      </c>
      <c r="C3579" s="10" t="s">
        <v>1034</v>
      </c>
      <c r="D3579" s="10" t="s">
        <v>4912</v>
      </c>
      <c r="E3579" s="10" t="s">
        <v>30</v>
      </c>
      <c r="F3579" s="10" t="s">
        <v>4913</v>
      </c>
      <c r="G3579" s="10" t="s">
        <v>76</v>
      </c>
      <c r="H3579" s="7" t="s">
        <v>24</v>
      </c>
      <c r="I3579" s="7" t="s">
        <v>25</v>
      </c>
      <c r="J3579" s="13" t="str">
        <f>HYPERLINK("https://www.airitibooks.com/Detail/Detail?PublicationID=P20160715231", "https://www.airitibooks.com/Detail/Detail?PublicationID=P20160715231")</f>
        <v>https://www.airitibooks.com/Detail/Detail?PublicationID=P20160715231</v>
      </c>
      <c r="K3579" s="13" t="str">
        <f>HYPERLINK("https://ntsu.idm.oclc.org/login?url=https://www.airitibooks.com/Detail/Detail?PublicationID=P20160715231", "https://ntsu.idm.oclc.org/login?url=https://www.airitibooks.com/Detail/Detail?PublicationID=P20160715231")</f>
        <v>https://ntsu.idm.oclc.org/login?url=https://www.airitibooks.com/Detail/Detail?PublicationID=P20160715231</v>
      </c>
    </row>
    <row r="3580" spans="1:11" ht="51" x14ac:dyDescent="0.4">
      <c r="A3580" s="10" t="s">
        <v>5089</v>
      </c>
      <c r="B3580" s="10" t="s">
        <v>5090</v>
      </c>
      <c r="C3580" s="10" t="s">
        <v>990</v>
      </c>
      <c r="D3580" s="10" t="s">
        <v>5091</v>
      </c>
      <c r="E3580" s="10" t="s">
        <v>30</v>
      </c>
      <c r="F3580" s="10" t="s">
        <v>5092</v>
      </c>
      <c r="G3580" s="10" t="s">
        <v>76</v>
      </c>
      <c r="H3580" s="7" t="s">
        <v>24</v>
      </c>
      <c r="I3580" s="7" t="s">
        <v>25</v>
      </c>
      <c r="J3580" s="13" t="str">
        <f>HYPERLINK("https://www.airitibooks.com/Detail/Detail?PublicationID=P20160806139", "https://www.airitibooks.com/Detail/Detail?PublicationID=P20160806139")</f>
        <v>https://www.airitibooks.com/Detail/Detail?PublicationID=P20160806139</v>
      </c>
      <c r="K3580" s="13" t="str">
        <f>HYPERLINK("https://ntsu.idm.oclc.org/login?url=https://www.airitibooks.com/Detail/Detail?PublicationID=P20160806139", "https://ntsu.idm.oclc.org/login?url=https://www.airitibooks.com/Detail/Detail?PublicationID=P20160806139")</f>
        <v>https://ntsu.idm.oclc.org/login?url=https://www.airitibooks.com/Detail/Detail?PublicationID=P20160806139</v>
      </c>
    </row>
    <row r="3581" spans="1:11" ht="51" x14ac:dyDescent="0.4">
      <c r="A3581" s="10" t="s">
        <v>5093</v>
      </c>
      <c r="B3581" s="10" t="s">
        <v>5094</v>
      </c>
      <c r="C3581" s="10" t="s">
        <v>5095</v>
      </c>
      <c r="D3581" s="10" t="s">
        <v>5096</v>
      </c>
      <c r="E3581" s="10" t="s">
        <v>30</v>
      </c>
      <c r="F3581" s="10" t="s">
        <v>5097</v>
      </c>
      <c r="G3581" s="10" t="s">
        <v>76</v>
      </c>
      <c r="H3581" s="7" t="s">
        <v>24</v>
      </c>
      <c r="I3581" s="7" t="s">
        <v>25</v>
      </c>
      <c r="J3581" s="13" t="str">
        <f>HYPERLINK("https://www.airitibooks.com/Detail/Detail?PublicationID=P20160806141", "https://www.airitibooks.com/Detail/Detail?PublicationID=P20160806141")</f>
        <v>https://www.airitibooks.com/Detail/Detail?PublicationID=P20160806141</v>
      </c>
      <c r="K3581" s="13" t="str">
        <f>HYPERLINK("https://ntsu.idm.oclc.org/login?url=https://www.airitibooks.com/Detail/Detail?PublicationID=P20160806141", "https://ntsu.idm.oclc.org/login?url=https://www.airitibooks.com/Detail/Detail?PublicationID=P20160806141")</f>
        <v>https://ntsu.idm.oclc.org/login?url=https://www.airitibooks.com/Detail/Detail?PublicationID=P20160806141</v>
      </c>
    </row>
    <row r="3582" spans="1:11" ht="51" x14ac:dyDescent="0.4">
      <c r="A3582" s="10" t="s">
        <v>5544</v>
      </c>
      <c r="B3582" s="10" t="s">
        <v>5545</v>
      </c>
      <c r="C3582" s="10" t="s">
        <v>2013</v>
      </c>
      <c r="D3582" s="10" t="s">
        <v>102</v>
      </c>
      <c r="E3582" s="10" t="s">
        <v>30</v>
      </c>
      <c r="F3582" s="10" t="s">
        <v>5546</v>
      </c>
      <c r="G3582" s="10" t="s">
        <v>76</v>
      </c>
      <c r="H3582" s="7" t="s">
        <v>24</v>
      </c>
      <c r="I3582" s="7" t="s">
        <v>25</v>
      </c>
      <c r="J3582" s="13" t="str">
        <f>HYPERLINK("https://www.airitibooks.com/Detail/Detail?PublicationID=P20160913103", "https://www.airitibooks.com/Detail/Detail?PublicationID=P20160913103")</f>
        <v>https://www.airitibooks.com/Detail/Detail?PublicationID=P20160913103</v>
      </c>
      <c r="K3582" s="13" t="str">
        <f>HYPERLINK("https://ntsu.idm.oclc.org/login?url=https://www.airitibooks.com/Detail/Detail?PublicationID=P20160913103", "https://ntsu.idm.oclc.org/login?url=https://www.airitibooks.com/Detail/Detail?PublicationID=P20160913103")</f>
        <v>https://ntsu.idm.oclc.org/login?url=https://www.airitibooks.com/Detail/Detail?PublicationID=P20160913103</v>
      </c>
    </row>
    <row r="3583" spans="1:11" ht="51" x14ac:dyDescent="0.4">
      <c r="A3583" s="10" t="s">
        <v>5899</v>
      </c>
      <c r="B3583" s="10" t="s">
        <v>5900</v>
      </c>
      <c r="C3583" s="10" t="s">
        <v>5901</v>
      </c>
      <c r="D3583" s="10" t="s">
        <v>5902</v>
      </c>
      <c r="E3583" s="10" t="s">
        <v>30</v>
      </c>
      <c r="F3583" s="10" t="s">
        <v>5903</v>
      </c>
      <c r="G3583" s="10" t="s">
        <v>76</v>
      </c>
      <c r="H3583" s="7" t="s">
        <v>24</v>
      </c>
      <c r="I3583" s="7" t="s">
        <v>25</v>
      </c>
      <c r="J3583" s="13" t="str">
        <f>HYPERLINK("https://www.airitibooks.com/Detail/Detail?PublicationID=P20170112093", "https://www.airitibooks.com/Detail/Detail?PublicationID=P20170112093")</f>
        <v>https://www.airitibooks.com/Detail/Detail?PublicationID=P20170112093</v>
      </c>
      <c r="K3583" s="13" t="str">
        <f>HYPERLINK("https://ntsu.idm.oclc.org/login?url=https://www.airitibooks.com/Detail/Detail?PublicationID=P20170112093", "https://ntsu.idm.oclc.org/login?url=https://www.airitibooks.com/Detail/Detail?PublicationID=P20170112093")</f>
        <v>https://ntsu.idm.oclc.org/login?url=https://www.airitibooks.com/Detail/Detail?PublicationID=P20170112093</v>
      </c>
    </row>
    <row r="3584" spans="1:11" ht="51" x14ac:dyDescent="0.4">
      <c r="A3584" s="10" t="s">
        <v>6168</v>
      </c>
      <c r="B3584" s="10" t="s">
        <v>6169</v>
      </c>
      <c r="C3584" s="10" t="s">
        <v>5582</v>
      </c>
      <c r="D3584" s="10" t="s">
        <v>6170</v>
      </c>
      <c r="E3584" s="10" t="s">
        <v>30</v>
      </c>
      <c r="F3584" s="10" t="s">
        <v>6171</v>
      </c>
      <c r="G3584" s="10" t="s">
        <v>76</v>
      </c>
      <c r="H3584" s="7" t="s">
        <v>24</v>
      </c>
      <c r="I3584" s="7" t="s">
        <v>25</v>
      </c>
      <c r="J3584" s="13" t="str">
        <f>HYPERLINK("https://www.airitibooks.com/Detail/Detail?PublicationID=P20170203323", "https://www.airitibooks.com/Detail/Detail?PublicationID=P20170203323")</f>
        <v>https://www.airitibooks.com/Detail/Detail?PublicationID=P20170203323</v>
      </c>
      <c r="K3584" s="13" t="str">
        <f>HYPERLINK("https://ntsu.idm.oclc.org/login?url=https://www.airitibooks.com/Detail/Detail?PublicationID=P20170203323", "https://ntsu.idm.oclc.org/login?url=https://www.airitibooks.com/Detail/Detail?PublicationID=P20170203323")</f>
        <v>https://ntsu.idm.oclc.org/login?url=https://www.airitibooks.com/Detail/Detail?PublicationID=P20170203323</v>
      </c>
    </row>
    <row r="3585" spans="1:11" ht="51" x14ac:dyDescent="0.4">
      <c r="A3585" s="10" t="s">
        <v>6829</v>
      </c>
      <c r="B3585" s="10" t="s">
        <v>6830</v>
      </c>
      <c r="C3585" s="10" t="s">
        <v>1504</v>
      </c>
      <c r="D3585" s="10" t="s">
        <v>6831</v>
      </c>
      <c r="E3585" s="10" t="s">
        <v>30</v>
      </c>
      <c r="F3585" s="10" t="s">
        <v>6832</v>
      </c>
      <c r="G3585" s="10" t="s">
        <v>76</v>
      </c>
      <c r="H3585" s="7" t="s">
        <v>24</v>
      </c>
      <c r="I3585" s="7" t="s">
        <v>25</v>
      </c>
      <c r="J3585" s="13" t="str">
        <f>HYPERLINK("https://www.airitibooks.com/Detail/Detail?PublicationID=P20170706013", "https://www.airitibooks.com/Detail/Detail?PublicationID=P20170706013")</f>
        <v>https://www.airitibooks.com/Detail/Detail?PublicationID=P20170706013</v>
      </c>
      <c r="K3585" s="13" t="str">
        <f>HYPERLINK("https://ntsu.idm.oclc.org/login?url=https://www.airitibooks.com/Detail/Detail?PublicationID=P20170706013", "https://ntsu.idm.oclc.org/login?url=https://www.airitibooks.com/Detail/Detail?PublicationID=P20170706013")</f>
        <v>https://ntsu.idm.oclc.org/login?url=https://www.airitibooks.com/Detail/Detail?PublicationID=P20170706013</v>
      </c>
    </row>
    <row r="3586" spans="1:11" ht="51" x14ac:dyDescent="0.4">
      <c r="A3586" s="10" t="s">
        <v>6973</v>
      </c>
      <c r="B3586" s="10" t="s">
        <v>6974</v>
      </c>
      <c r="C3586" s="10" t="s">
        <v>1504</v>
      </c>
      <c r="D3586" s="10" t="s">
        <v>6975</v>
      </c>
      <c r="E3586" s="10" t="s">
        <v>30</v>
      </c>
      <c r="F3586" s="10" t="s">
        <v>6976</v>
      </c>
      <c r="G3586" s="10" t="s">
        <v>76</v>
      </c>
      <c r="H3586" s="7" t="s">
        <v>24</v>
      </c>
      <c r="I3586" s="7" t="s">
        <v>25</v>
      </c>
      <c r="J3586" s="13" t="str">
        <f>HYPERLINK("https://www.airitibooks.com/Detail/Detail?PublicationID=P20170706107", "https://www.airitibooks.com/Detail/Detail?PublicationID=P20170706107")</f>
        <v>https://www.airitibooks.com/Detail/Detail?PublicationID=P20170706107</v>
      </c>
      <c r="K3586" s="13" t="str">
        <f>HYPERLINK("https://ntsu.idm.oclc.org/login?url=https://www.airitibooks.com/Detail/Detail?PublicationID=P20170706107", "https://ntsu.idm.oclc.org/login?url=https://www.airitibooks.com/Detail/Detail?PublicationID=P20170706107")</f>
        <v>https://ntsu.idm.oclc.org/login?url=https://www.airitibooks.com/Detail/Detail?PublicationID=P20170706107</v>
      </c>
    </row>
    <row r="3587" spans="1:11" ht="68" x14ac:dyDescent="0.4">
      <c r="A3587" s="10" t="s">
        <v>7748</v>
      </c>
      <c r="B3587" s="10" t="s">
        <v>7749</v>
      </c>
      <c r="C3587" s="10" t="s">
        <v>7750</v>
      </c>
      <c r="D3587" s="10" t="s">
        <v>7751</v>
      </c>
      <c r="E3587" s="10" t="s">
        <v>30</v>
      </c>
      <c r="F3587" s="10" t="s">
        <v>7752</v>
      </c>
      <c r="G3587" s="10" t="s">
        <v>76</v>
      </c>
      <c r="H3587" s="7" t="s">
        <v>24</v>
      </c>
      <c r="I3587" s="7" t="s">
        <v>25</v>
      </c>
      <c r="J3587" s="13" t="str">
        <f>HYPERLINK("https://www.airitibooks.com/Detail/Detail?PublicationID=P20171118276", "https://www.airitibooks.com/Detail/Detail?PublicationID=P20171118276")</f>
        <v>https://www.airitibooks.com/Detail/Detail?PublicationID=P20171118276</v>
      </c>
      <c r="K3587" s="13" t="str">
        <f>HYPERLINK("https://ntsu.idm.oclc.org/login?url=https://www.airitibooks.com/Detail/Detail?PublicationID=P20171118276", "https://ntsu.idm.oclc.org/login?url=https://www.airitibooks.com/Detail/Detail?PublicationID=P20171118276")</f>
        <v>https://ntsu.idm.oclc.org/login?url=https://www.airitibooks.com/Detail/Detail?PublicationID=P20171118276</v>
      </c>
    </row>
    <row r="3588" spans="1:11" ht="51" x14ac:dyDescent="0.4">
      <c r="A3588" s="10" t="s">
        <v>9455</v>
      </c>
      <c r="B3588" s="10" t="s">
        <v>9456</v>
      </c>
      <c r="C3588" s="10" t="s">
        <v>990</v>
      </c>
      <c r="D3588" s="10" t="s">
        <v>9457</v>
      </c>
      <c r="E3588" s="10" t="s">
        <v>30</v>
      </c>
      <c r="F3588" s="10" t="s">
        <v>8794</v>
      </c>
      <c r="G3588" s="10" t="s">
        <v>76</v>
      </c>
      <c r="H3588" s="7" t="s">
        <v>24</v>
      </c>
      <c r="I3588" s="7" t="s">
        <v>25</v>
      </c>
      <c r="J3588" s="13" t="str">
        <f>HYPERLINK("https://www.airitibooks.com/Detail/Detail?PublicationID=P20180622001", "https://www.airitibooks.com/Detail/Detail?PublicationID=P20180622001")</f>
        <v>https://www.airitibooks.com/Detail/Detail?PublicationID=P20180622001</v>
      </c>
      <c r="K3588" s="13" t="str">
        <f>HYPERLINK("https://ntsu.idm.oclc.org/login?url=https://www.airitibooks.com/Detail/Detail?PublicationID=P20180622001", "https://ntsu.idm.oclc.org/login?url=https://www.airitibooks.com/Detail/Detail?PublicationID=P20180622001")</f>
        <v>https://ntsu.idm.oclc.org/login?url=https://www.airitibooks.com/Detail/Detail?PublicationID=P20180622001</v>
      </c>
    </row>
    <row r="3589" spans="1:11" ht="51" x14ac:dyDescent="0.4">
      <c r="A3589" s="10" t="s">
        <v>10066</v>
      </c>
      <c r="B3589" s="10" t="s">
        <v>10067</v>
      </c>
      <c r="C3589" s="10" t="s">
        <v>9828</v>
      </c>
      <c r="D3589" s="10" t="s">
        <v>10068</v>
      </c>
      <c r="E3589" s="10" t="s">
        <v>30</v>
      </c>
      <c r="F3589" s="10" t="s">
        <v>7446</v>
      </c>
      <c r="G3589" s="10" t="s">
        <v>76</v>
      </c>
      <c r="H3589" s="7" t="s">
        <v>1031</v>
      </c>
      <c r="I3589" s="7" t="s">
        <v>25</v>
      </c>
      <c r="J3589" s="13" t="str">
        <f>HYPERLINK("https://www.airitibooks.com/Detail/Detail?PublicationID=P20181114048", "https://www.airitibooks.com/Detail/Detail?PublicationID=P20181114048")</f>
        <v>https://www.airitibooks.com/Detail/Detail?PublicationID=P20181114048</v>
      </c>
      <c r="K3589" s="13" t="str">
        <f>HYPERLINK("https://ntsu.idm.oclc.org/login?url=https://www.airitibooks.com/Detail/Detail?PublicationID=P20181114048", "https://ntsu.idm.oclc.org/login?url=https://www.airitibooks.com/Detail/Detail?PublicationID=P20181114048")</f>
        <v>https://ntsu.idm.oclc.org/login?url=https://www.airitibooks.com/Detail/Detail?PublicationID=P20181114048</v>
      </c>
    </row>
    <row r="3590" spans="1:11" ht="51" x14ac:dyDescent="0.4">
      <c r="A3590" s="10" t="s">
        <v>10120</v>
      </c>
      <c r="B3590" s="10" t="s">
        <v>10121</v>
      </c>
      <c r="C3590" s="10" t="s">
        <v>9828</v>
      </c>
      <c r="D3590" s="10" t="s">
        <v>10122</v>
      </c>
      <c r="E3590" s="10" t="s">
        <v>30</v>
      </c>
      <c r="F3590" s="10" t="s">
        <v>9821</v>
      </c>
      <c r="G3590" s="10" t="s">
        <v>76</v>
      </c>
      <c r="H3590" s="7" t="s">
        <v>1031</v>
      </c>
      <c r="I3590" s="7" t="s">
        <v>25</v>
      </c>
      <c r="J3590" s="13" t="str">
        <f>HYPERLINK("https://www.airitibooks.com/Detail/Detail?PublicationID=P20181116111", "https://www.airitibooks.com/Detail/Detail?PublicationID=P20181116111")</f>
        <v>https://www.airitibooks.com/Detail/Detail?PublicationID=P20181116111</v>
      </c>
      <c r="K3590" s="13" t="str">
        <f>HYPERLINK("https://ntsu.idm.oclc.org/login?url=https://www.airitibooks.com/Detail/Detail?PublicationID=P20181116111", "https://ntsu.idm.oclc.org/login?url=https://www.airitibooks.com/Detail/Detail?PublicationID=P20181116111")</f>
        <v>https://ntsu.idm.oclc.org/login?url=https://www.airitibooks.com/Detail/Detail?PublicationID=P20181116111</v>
      </c>
    </row>
    <row r="3591" spans="1:11" ht="51" x14ac:dyDescent="0.4">
      <c r="A3591" s="10" t="s">
        <v>10123</v>
      </c>
      <c r="B3591" s="10" t="s">
        <v>10124</v>
      </c>
      <c r="C3591" s="10" t="s">
        <v>9828</v>
      </c>
      <c r="D3591" s="10" t="s">
        <v>10122</v>
      </c>
      <c r="E3591" s="10" t="s">
        <v>30</v>
      </c>
      <c r="F3591" s="10" t="s">
        <v>9821</v>
      </c>
      <c r="G3591" s="10" t="s">
        <v>76</v>
      </c>
      <c r="H3591" s="7" t="s">
        <v>1031</v>
      </c>
      <c r="I3591" s="7" t="s">
        <v>25</v>
      </c>
      <c r="J3591" s="13" t="str">
        <f>HYPERLINK("https://www.airitibooks.com/Detail/Detail?PublicationID=P20181116118", "https://www.airitibooks.com/Detail/Detail?PublicationID=P20181116118")</f>
        <v>https://www.airitibooks.com/Detail/Detail?PublicationID=P20181116118</v>
      </c>
      <c r="K3591" s="13" t="str">
        <f>HYPERLINK("https://ntsu.idm.oclc.org/login?url=https://www.airitibooks.com/Detail/Detail?PublicationID=P20181116118", "https://ntsu.idm.oclc.org/login?url=https://www.airitibooks.com/Detail/Detail?PublicationID=P20181116118")</f>
        <v>https://ntsu.idm.oclc.org/login?url=https://www.airitibooks.com/Detail/Detail?PublicationID=P20181116118</v>
      </c>
    </row>
    <row r="3592" spans="1:11" ht="51" x14ac:dyDescent="0.4">
      <c r="A3592" s="10" t="s">
        <v>10125</v>
      </c>
      <c r="B3592" s="10" t="s">
        <v>10126</v>
      </c>
      <c r="C3592" s="10" t="s">
        <v>9828</v>
      </c>
      <c r="D3592" s="10" t="s">
        <v>10122</v>
      </c>
      <c r="E3592" s="10" t="s">
        <v>30</v>
      </c>
      <c r="F3592" s="10" t="s">
        <v>2871</v>
      </c>
      <c r="G3592" s="10" t="s">
        <v>76</v>
      </c>
      <c r="H3592" s="7" t="s">
        <v>1031</v>
      </c>
      <c r="I3592" s="7" t="s">
        <v>25</v>
      </c>
      <c r="J3592" s="13" t="str">
        <f>HYPERLINK("https://www.airitibooks.com/Detail/Detail?PublicationID=P20181116119", "https://www.airitibooks.com/Detail/Detail?PublicationID=P20181116119")</f>
        <v>https://www.airitibooks.com/Detail/Detail?PublicationID=P20181116119</v>
      </c>
      <c r="K3592" s="13" t="str">
        <f>HYPERLINK("https://ntsu.idm.oclc.org/login?url=https://www.airitibooks.com/Detail/Detail?PublicationID=P20181116119", "https://ntsu.idm.oclc.org/login?url=https://www.airitibooks.com/Detail/Detail?PublicationID=P20181116119")</f>
        <v>https://ntsu.idm.oclc.org/login?url=https://www.airitibooks.com/Detail/Detail?PublicationID=P20181116119</v>
      </c>
    </row>
    <row r="3593" spans="1:11" ht="51" x14ac:dyDescent="0.4">
      <c r="A3593" s="10" t="s">
        <v>10130</v>
      </c>
      <c r="B3593" s="10" t="s">
        <v>10131</v>
      </c>
      <c r="C3593" s="10" t="s">
        <v>9828</v>
      </c>
      <c r="D3593" s="10" t="s">
        <v>10122</v>
      </c>
      <c r="E3593" s="10" t="s">
        <v>30</v>
      </c>
      <c r="F3593" s="10" t="s">
        <v>9821</v>
      </c>
      <c r="G3593" s="10" t="s">
        <v>76</v>
      </c>
      <c r="H3593" s="7" t="s">
        <v>1031</v>
      </c>
      <c r="I3593" s="7" t="s">
        <v>25</v>
      </c>
      <c r="J3593" s="13" t="str">
        <f>HYPERLINK("https://www.airitibooks.com/Detail/Detail?PublicationID=P20181116131", "https://www.airitibooks.com/Detail/Detail?PublicationID=P20181116131")</f>
        <v>https://www.airitibooks.com/Detail/Detail?PublicationID=P20181116131</v>
      </c>
      <c r="K3593" s="13" t="str">
        <f>HYPERLINK("https://ntsu.idm.oclc.org/login?url=https://www.airitibooks.com/Detail/Detail?PublicationID=P20181116131", "https://ntsu.idm.oclc.org/login?url=https://www.airitibooks.com/Detail/Detail?PublicationID=P20181116131")</f>
        <v>https://ntsu.idm.oclc.org/login?url=https://www.airitibooks.com/Detail/Detail?PublicationID=P20181116131</v>
      </c>
    </row>
    <row r="3594" spans="1:11" ht="51" x14ac:dyDescent="0.4">
      <c r="A3594" s="10" t="s">
        <v>11236</v>
      </c>
      <c r="B3594" s="10" t="s">
        <v>11237</v>
      </c>
      <c r="C3594" s="10" t="s">
        <v>11228</v>
      </c>
      <c r="D3594" s="10" t="s">
        <v>11238</v>
      </c>
      <c r="E3594" s="10" t="s">
        <v>30</v>
      </c>
      <c r="F3594" s="10" t="s">
        <v>7835</v>
      </c>
      <c r="G3594" s="10" t="s">
        <v>76</v>
      </c>
      <c r="H3594" s="7" t="s">
        <v>24</v>
      </c>
      <c r="I3594" s="7" t="s">
        <v>25</v>
      </c>
      <c r="J3594" s="13" t="str">
        <f>HYPERLINK("https://www.airitibooks.com/Detail/Detail?PublicationID=P20190503023", "https://www.airitibooks.com/Detail/Detail?PublicationID=P20190503023")</f>
        <v>https://www.airitibooks.com/Detail/Detail?PublicationID=P20190503023</v>
      </c>
      <c r="K3594" s="13" t="str">
        <f>HYPERLINK("https://ntsu.idm.oclc.org/login?url=https://www.airitibooks.com/Detail/Detail?PublicationID=P20190503023", "https://ntsu.idm.oclc.org/login?url=https://www.airitibooks.com/Detail/Detail?PublicationID=P20190503023")</f>
        <v>https://ntsu.idm.oclc.org/login?url=https://www.airitibooks.com/Detail/Detail?PublicationID=P20190503023</v>
      </c>
    </row>
    <row r="3595" spans="1:11" ht="51" x14ac:dyDescent="0.4">
      <c r="A3595" s="10" t="s">
        <v>11245</v>
      </c>
      <c r="B3595" s="10" t="s">
        <v>11246</v>
      </c>
      <c r="C3595" s="10" t="s">
        <v>11228</v>
      </c>
      <c r="D3595" s="10" t="s">
        <v>11247</v>
      </c>
      <c r="E3595" s="10" t="s">
        <v>30</v>
      </c>
      <c r="F3595" s="10" t="s">
        <v>105</v>
      </c>
      <c r="G3595" s="10" t="s">
        <v>76</v>
      </c>
      <c r="H3595" s="7" t="s">
        <v>24</v>
      </c>
      <c r="I3595" s="7" t="s">
        <v>25</v>
      </c>
      <c r="J3595" s="13" t="str">
        <f>HYPERLINK("https://www.airitibooks.com/Detail/Detail?PublicationID=P20190503029", "https://www.airitibooks.com/Detail/Detail?PublicationID=P20190503029")</f>
        <v>https://www.airitibooks.com/Detail/Detail?PublicationID=P20190503029</v>
      </c>
      <c r="K3595" s="13" t="str">
        <f>HYPERLINK("https://ntsu.idm.oclc.org/login?url=https://www.airitibooks.com/Detail/Detail?PublicationID=P20190503029", "https://ntsu.idm.oclc.org/login?url=https://www.airitibooks.com/Detail/Detail?PublicationID=P20190503029")</f>
        <v>https://ntsu.idm.oclc.org/login?url=https://www.airitibooks.com/Detail/Detail?PublicationID=P20190503029</v>
      </c>
    </row>
    <row r="3596" spans="1:11" ht="68" x14ac:dyDescent="0.4">
      <c r="A3596" s="10" t="s">
        <v>11248</v>
      </c>
      <c r="B3596" s="10" t="s">
        <v>11249</v>
      </c>
      <c r="C3596" s="10" t="s">
        <v>11228</v>
      </c>
      <c r="D3596" s="10" t="s">
        <v>11250</v>
      </c>
      <c r="E3596" s="10" t="s">
        <v>30</v>
      </c>
      <c r="F3596" s="10" t="s">
        <v>105</v>
      </c>
      <c r="G3596" s="10" t="s">
        <v>76</v>
      </c>
      <c r="H3596" s="7" t="s">
        <v>24</v>
      </c>
      <c r="I3596" s="7" t="s">
        <v>25</v>
      </c>
      <c r="J3596" s="13" t="str">
        <f>HYPERLINK("https://www.airitibooks.com/Detail/Detail?PublicationID=P20190503030", "https://www.airitibooks.com/Detail/Detail?PublicationID=P20190503030")</f>
        <v>https://www.airitibooks.com/Detail/Detail?PublicationID=P20190503030</v>
      </c>
      <c r="K3596" s="13" t="str">
        <f>HYPERLINK("https://ntsu.idm.oclc.org/login?url=https://www.airitibooks.com/Detail/Detail?PublicationID=P20190503030", "https://ntsu.idm.oclc.org/login?url=https://www.airitibooks.com/Detail/Detail?PublicationID=P20190503030")</f>
        <v>https://ntsu.idm.oclc.org/login?url=https://www.airitibooks.com/Detail/Detail?PublicationID=P20190503030</v>
      </c>
    </row>
    <row r="3597" spans="1:11" ht="51" x14ac:dyDescent="0.4">
      <c r="A3597" s="10" t="s">
        <v>51</v>
      </c>
      <c r="B3597" s="10" t="s">
        <v>52</v>
      </c>
      <c r="C3597" s="10" t="s">
        <v>28</v>
      </c>
      <c r="D3597" s="10" t="s">
        <v>53</v>
      </c>
      <c r="E3597" s="10" t="s">
        <v>30</v>
      </c>
      <c r="F3597" s="10" t="s">
        <v>54</v>
      </c>
      <c r="G3597" s="10" t="s">
        <v>55</v>
      </c>
      <c r="H3597" s="7" t="s">
        <v>24</v>
      </c>
      <c r="I3597" s="7" t="s">
        <v>25</v>
      </c>
      <c r="J3597" s="13" t="str">
        <f>HYPERLINK("https://www.airitibooks.com/Detail/Detail?PublicationID=P20090620380", "https://www.airitibooks.com/Detail/Detail?PublicationID=P20090620380")</f>
        <v>https://www.airitibooks.com/Detail/Detail?PublicationID=P20090620380</v>
      </c>
      <c r="K3597" s="13" t="str">
        <f>HYPERLINK("https://ntsu.idm.oclc.org/login?url=https://www.airitibooks.com/Detail/Detail?PublicationID=P20090620380", "https://ntsu.idm.oclc.org/login?url=https://www.airitibooks.com/Detail/Detail?PublicationID=P20090620380")</f>
        <v>https://ntsu.idm.oclc.org/login?url=https://www.airitibooks.com/Detail/Detail?PublicationID=P20090620380</v>
      </c>
    </row>
    <row r="3598" spans="1:11" ht="51" x14ac:dyDescent="0.4">
      <c r="A3598" s="10" t="s">
        <v>2077</v>
      </c>
      <c r="B3598" s="10" t="s">
        <v>2078</v>
      </c>
      <c r="C3598" s="10" t="s">
        <v>1203</v>
      </c>
      <c r="D3598" s="10" t="s">
        <v>2079</v>
      </c>
      <c r="E3598" s="10" t="s">
        <v>30</v>
      </c>
      <c r="F3598" s="10" t="s">
        <v>41</v>
      </c>
      <c r="G3598" s="10" t="s">
        <v>55</v>
      </c>
      <c r="H3598" s="7" t="s">
        <v>24</v>
      </c>
      <c r="I3598" s="7" t="s">
        <v>25</v>
      </c>
      <c r="J3598" s="13" t="str">
        <f>HYPERLINK("https://www.airitibooks.com/Detail/Detail?PublicationID=P20150309013", "https://www.airitibooks.com/Detail/Detail?PublicationID=P20150309013")</f>
        <v>https://www.airitibooks.com/Detail/Detail?PublicationID=P20150309013</v>
      </c>
      <c r="K3598" s="13" t="str">
        <f>HYPERLINK("https://ntsu.idm.oclc.org/login?url=https://www.airitibooks.com/Detail/Detail?PublicationID=P20150309013", "https://ntsu.idm.oclc.org/login?url=https://www.airitibooks.com/Detail/Detail?PublicationID=P20150309013")</f>
        <v>https://ntsu.idm.oclc.org/login?url=https://www.airitibooks.com/Detail/Detail?PublicationID=P20150309013</v>
      </c>
    </row>
    <row r="3599" spans="1:11" ht="51" x14ac:dyDescent="0.4">
      <c r="A3599" s="10" t="s">
        <v>2083</v>
      </c>
      <c r="B3599" s="10" t="s">
        <v>2084</v>
      </c>
      <c r="C3599" s="10" t="s">
        <v>1203</v>
      </c>
      <c r="D3599" s="10" t="s">
        <v>2085</v>
      </c>
      <c r="E3599" s="10" t="s">
        <v>30</v>
      </c>
      <c r="F3599" s="10" t="s">
        <v>946</v>
      </c>
      <c r="G3599" s="10" t="s">
        <v>55</v>
      </c>
      <c r="H3599" s="7" t="s">
        <v>24</v>
      </c>
      <c r="I3599" s="7" t="s">
        <v>25</v>
      </c>
      <c r="J3599" s="13" t="str">
        <f>HYPERLINK("https://www.airitibooks.com/Detail/Detail?PublicationID=P20150309016", "https://www.airitibooks.com/Detail/Detail?PublicationID=P20150309016")</f>
        <v>https://www.airitibooks.com/Detail/Detail?PublicationID=P20150309016</v>
      </c>
      <c r="K3599" s="13" t="str">
        <f>HYPERLINK("https://ntsu.idm.oclc.org/login?url=https://www.airitibooks.com/Detail/Detail?PublicationID=P20150309016", "https://ntsu.idm.oclc.org/login?url=https://www.airitibooks.com/Detail/Detail?PublicationID=P20150309016")</f>
        <v>https://ntsu.idm.oclc.org/login?url=https://www.airitibooks.com/Detail/Detail?PublicationID=P20150309016</v>
      </c>
    </row>
    <row r="3600" spans="1:11" ht="51" x14ac:dyDescent="0.4">
      <c r="A3600" s="10" t="s">
        <v>2086</v>
      </c>
      <c r="B3600" s="10" t="s">
        <v>2087</v>
      </c>
      <c r="C3600" s="10" t="s">
        <v>439</v>
      </c>
      <c r="D3600" s="10" t="s">
        <v>2088</v>
      </c>
      <c r="E3600" s="10" t="s">
        <v>30</v>
      </c>
      <c r="F3600" s="10" t="s">
        <v>59</v>
      </c>
      <c r="G3600" s="10" t="s">
        <v>55</v>
      </c>
      <c r="H3600" s="7" t="s">
        <v>24</v>
      </c>
      <c r="I3600" s="7" t="s">
        <v>25</v>
      </c>
      <c r="J3600" s="13" t="str">
        <f>HYPERLINK("https://www.airitibooks.com/Detail/Detail?PublicationID=P20150309018", "https://www.airitibooks.com/Detail/Detail?PublicationID=P20150309018")</f>
        <v>https://www.airitibooks.com/Detail/Detail?PublicationID=P20150309018</v>
      </c>
      <c r="K3600" s="13" t="str">
        <f>HYPERLINK("https://ntsu.idm.oclc.org/login?url=https://www.airitibooks.com/Detail/Detail?PublicationID=P20150309018", "https://ntsu.idm.oclc.org/login?url=https://www.airitibooks.com/Detail/Detail?PublicationID=P20150309018")</f>
        <v>https://ntsu.idm.oclc.org/login?url=https://www.airitibooks.com/Detail/Detail?PublicationID=P20150309018</v>
      </c>
    </row>
    <row r="3601" spans="1:11" ht="51" x14ac:dyDescent="0.4">
      <c r="A3601" s="10" t="s">
        <v>2134</v>
      </c>
      <c r="B3601" s="10" t="s">
        <v>2135</v>
      </c>
      <c r="C3601" s="10" t="s">
        <v>938</v>
      </c>
      <c r="D3601" s="10" t="s">
        <v>2136</v>
      </c>
      <c r="E3601" s="10" t="s">
        <v>30</v>
      </c>
      <c r="F3601" s="10" t="s">
        <v>2137</v>
      </c>
      <c r="G3601" s="10" t="s">
        <v>55</v>
      </c>
      <c r="H3601" s="7" t="s">
        <v>24</v>
      </c>
      <c r="I3601" s="7" t="s">
        <v>25</v>
      </c>
      <c r="J3601" s="13" t="str">
        <f>HYPERLINK("https://www.airitibooks.com/Detail/Detail?PublicationID=P20150310014", "https://www.airitibooks.com/Detail/Detail?PublicationID=P20150310014")</f>
        <v>https://www.airitibooks.com/Detail/Detail?PublicationID=P20150310014</v>
      </c>
      <c r="K3601" s="13" t="str">
        <f>HYPERLINK("https://ntsu.idm.oclc.org/login?url=https://www.airitibooks.com/Detail/Detail?PublicationID=P20150310014", "https://ntsu.idm.oclc.org/login?url=https://www.airitibooks.com/Detail/Detail?PublicationID=P20150310014")</f>
        <v>https://ntsu.idm.oclc.org/login?url=https://www.airitibooks.com/Detail/Detail?PublicationID=P20150310014</v>
      </c>
    </row>
    <row r="3602" spans="1:11" ht="51" x14ac:dyDescent="0.4">
      <c r="A3602" s="10" t="s">
        <v>2248</v>
      </c>
      <c r="B3602" s="10" t="s">
        <v>2249</v>
      </c>
      <c r="C3602" s="10" t="s">
        <v>1504</v>
      </c>
      <c r="D3602" s="10" t="s">
        <v>2250</v>
      </c>
      <c r="E3602" s="10" t="s">
        <v>30</v>
      </c>
      <c r="F3602" s="10" t="s">
        <v>2180</v>
      </c>
      <c r="G3602" s="10" t="s">
        <v>55</v>
      </c>
      <c r="H3602" s="7" t="s">
        <v>24</v>
      </c>
      <c r="I3602" s="7" t="s">
        <v>25</v>
      </c>
      <c r="J3602" s="13" t="str">
        <f>HYPERLINK("https://www.airitibooks.com/Detail/Detail?PublicationID=P20150318068", "https://www.airitibooks.com/Detail/Detail?PublicationID=P20150318068")</f>
        <v>https://www.airitibooks.com/Detail/Detail?PublicationID=P20150318068</v>
      </c>
      <c r="K3602" s="13" t="str">
        <f>HYPERLINK("https://ntsu.idm.oclc.org/login?url=https://www.airitibooks.com/Detail/Detail?PublicationID=P20150318068", "https://ntsu.idm.oclc.org/login?url=https://www.airitibooks.com/Detail/Detail?PublicationID=P20150318068")</f>
        <v>https://ntsu.idm.oclc.org/login?url=https://www.airitibooks.com/Detail/Detail?PublicationID=P20150318068</v>
      </c>
    </row>
    <row r="3603" spans="1:11" ht="51" x14ac:dyDescent="0.4">
      <c r="A3603" s="10" t="s">
        <v>2541</v>
      </c>
      <c r="B3603" s="10" t="s">
        <v>2542</v>
      </c>
      <c r="C3603" s="10" t="s">
        <v>1484</v>
      </c>
      <c r="D3603" s="10" t="s">
        <v>2543</v>
      </c>
      <c r="E3603" s="10" t="s">
        <v>30</v>
      </c>
      <c r="F3603" s="10" t="s">
        <v>41</v>
      </c>
      <c r="G3603" s="10" t="s">
        <v>55</v>
      </c>
      <c r="H3603" s="7" t="s">
        <v>24</v>
      </c>
      <c r="I3603" s="7" t="s">
        <v>25</v>
      </c>
      <c r="J3603" s="13" t="str">
        <f>HYPERLINK("https://www.airitibooks.com/Detail/Detail?PublicationID=P20150511001", "https://www.airitibooks.com/Detail/Detail?PublicationID=P20150511001")</f>
        <v>https://www.airitibooks.com/Detail/Detail?PublicationID=P20150511001</v>
      </c>
      <c r="K3603" s="13" t="str">
        <f>HYPERLINK("https://ntsu.idm.oclc.org/login?url=https://www.airitibooks.com/Detail/Detail?PublicationID=P20150511001", "https://ntsu.idm.oclc.org/login?url=https://www.airitibooks.com/Detail/Detail?PublicationID=P20150511001")</f>
        <v>https://ntsu.idm.oclc.org/login?url=https://www.airitibooks.com/Detail/Detail?PublicationID=P20150511001</v>
      </c>
    </row>
    <row r="3604" spans="1:11" ht="51" x14ac:dyDescent="0.4">
      <c r="A3604" s="10" t="s">
        <v>2702</v>
      </c>
      <c r="B3604" s="10" t="s">
        <v>2703</v>
      </c>
      <c r="C3604" s="10" t="s">
        <v>1203</v>
      </c>
      <c r="D3604" s="10" t="s">
        <v>2085</v>
      </c>
      <c r="E3604" s="10" t="s">
        <v>30</v>
      </c>
      <c r="F3604" s="10" t="s">
        <v>1439</v>
      </c>
      <c r="G3604" s="10" t="s">
        <v>55</v>
      </c>
      <c r="H3604" s="7" t="s">
        <v>24</v>
      </c>
      <c r="I3604" s="7" t="s">
        <v>25</v>
      </c>
      <c r="J3604" s="13" t="str">
        <f>HYPERLINK("https://www.airitibooks.com/Detail/Detail?PublicationID=P20150624012", "https://www.airitibooks.com/Detail/Detail?PublicationID=P20150624012")</f>
        <v>https://www.airitibooks.com/Detail/Detail?PublicationID=P20150624012</v>
      </c>
      <c r="K3604" s="13" t="str">
        <f>HYPERLINK("https://ntsu.idm.oclc.org/login?url=https://www.airitibooks.com/Detail/Detail?PublicationID=P20150624012", "https://ntsu.idm.oclc.org/login?url=https://www.airitibooks.com/Detail/Detail?PublicationID=P20150624012")</f>
        <v>https://ntsu.idm.oclc.org/login?url=https://www.airitibooks.com/Detail/Detail?PublicationID=P20150624012</v>
      </c>
    </row>
    <row r="3605" spans="1:11" ht="51" x14ac:dyDescent="0.4">
      <c r="A3605" s="10" t="s">
        <v>2704</v>
      </c>
      <c r="B3605" s="10" t="s">
        <v>2705</v>
      </c>
      <c r="C3605" s="10" t="s">
        <v>439</v>
      </c>
      <c r="D3605" s="10" t="s">
        <v>2697</v>
      </c>
      <c r="E3605" s="10" t="s">
        <v>30</v>
      </c>
      <c r="F3605" s="10" t="s">
        <v>21</v>
      </c>
      <c r="G3605" s="10" t="s">
        <v>55</v>
      </c>
      <c r="H3605" s="7" t="s">
        <v>24</v>
      </c>
      <c r="I3605" s="7" t="s">
        <v>25</v>
      </c>
      <c r="J3605" s="13" t="str">
        <f>HYPERLINK("https://www.airitibooks.com/Detail/Detail?PublicationID=P20150624013", "https://www.airitibooks.com/Detail/Detail?PublicationID=P20150624013")</f>
        <v>https://www.airitibooks.com/Detail/Detail?PublicationID=P20150624013</v>
      </c>
      <c r="K3605" s="13" t="str">
        <f>HYPERLINK("https://ntsu.idm.oclc.org/login?url=https://www.airitibooks.com/Detail/Detail?PublicationID=P20150624013", "https://ntsu.idm.oclc.org/login?url=https://www.airitibooks.com/Detail/Detail?PublicationID=P20150624013")</f>
        <v>https://ntsu.idm.oclc.org/login?url=https://www.airitibooks.com/Detail/Detail?PublicationID=P20150624013</v>
      </c>
    </row>
    <row r="3606" spans="1:11" ht="51" x14ac:dyDescent="0.4">
      <c r="A3606" s="10" t="s">
        <v>2991</v>
      </c>
      <c r="B3606" s="10" t="s">
        <v>2992</v>
      </c>
      <c r="C3606" s="10" t="s">
        <v>439</v>
      </c>
      <c r="D3606" s="10" t="s">
        <v>2993</v>
      </c>
      <c r="E3606" s="10" t="s">
        <v>30</v>
      </c>
      <c r="F3606" s="10" t="s">
        <v>1439</v>
      </c>
      <c r="G3606" s="10" t="s">
        <v>55</v>
      </c>
      <c r="H3606" s="7" t="s">
        <v>24</v>
      </c>
      <c r="I3606" s="7" t="s">
        <v>25</v>
      </c>
      <c r="J3606" s="13" t="str">
        <f>HYPERLINK("https://www.airitibooks.com/Detail/Detail?PublicationID=P20150807040", "https://www.airitibooks.com/Detail/Detail?PublicationID=P20150807040")</f>
        <v>https://www.airitibooks.com/Detail/Detail?PublicationID=P20150807040</v>
      </c>
      <c r="K3606" s="13" t="str">
        <f>HYPERLINK("https://ntsu.idm.oclc.org/login?url=https://www.airitibooks.com/Detail/Detail?PublicationID=P20150807040", "https://ntsu.idm.oclc.org/login?url=https://www.airitibooks.com/Detail/Detail?PublicationID=P20150807040")</f>
        <v>https://ntsu.idm.oclc.org/login?url=https://www.airitibooks.com/Detail/Detail?PublicationID=P20150807040</v>
      </c>
    </row>
    <row r="3607" spans="1:11" ht="51" x14ac:dyDescent="0.4">
      <c r="A3607" s="10" t="s">
        <v>3001</v>
      </c>
      <c r="B3607" s="10" t="s">
        <v>3002</v>
      </c>
      <c r="C3607" s="10" t="s">
        <v>3003</v>
      </c>
      <c r="D3607" s="10" t="s">
        <v>3004</v>
      </c>
      <c r="E3607" s="10" t="s">
        <v>30</v>
      </c>
      <c r="F3607" s="10" t="s">
        <v>3005</v>
      </c>
      <c r="G3607" s="10" t="s">
        <v>55</v>
      </c>
      <c r="H3607" s="7" t="s">
        <v>24</v>
      </c>
      <c r="I3607" s="7" t="s">
        <v>25</v>
      </c>
      <c r="J3607" s="13" t="str">
        <f>HYPERLINK("https://www.airitibooks.com/Detail/Detail?PublicationID=P20150807047", "https://www.airitibooks.com/Detail/Detail?PublicationID=P20150807047")</f>
        <v>https://www.airitibooks.com/Detail/Detail?PublicationID=P20150807047</v>
      </c>
      <c r="K3607" s="13" t="str">
        <f>HYPERLINK("https://ntsu.idm.oclc.org/login?url=https://www.airitibooks.com/Detail/Detail?PublicationID=P20150807047", "https://ntsu.idm.oclc.org/login?url=https://www.airitibooks.com/Detail/Detail?PublicationID=P20150807047")</f>
        <v>https://ntsu.idm.oclc.org/login?url=https://www.airitibooks.com/Detail/Detail?PublicationID=P20150807047</v>
      </c>
    </row>
    <row r="3608" spans="1:11" ht="51" x14ac:dyDescent="0.4">
      <c r="A3608" s="10" t="s">
        <v>3006</v>
      </c>
      <c r="B3608" s="10" t="s">
        <v>3007</v>
      </c>
      <c r="C3608" s="10" t="s">
        <v>3003</v>
      </c>
      <c r="D3608" s="10" t="s">
        <v>3004</v>
      </c>
      <c r="E3608" s="10" t="s">
        <v>30</v>
      </c>
      <c r="F3608" s="10" t="s">
        <v>3005</v>
      </c>
      <c r="G3608" s="10" t="s">
        <v>55</v>
      </c>
      <c r="H3608" s="7" t="s">
        <v>24</v>
      </c>
      <c r="I3608" s="7" t="s">
        <v>25</v>
      </c>
      <c r="J3608" s="13" t="str">
        <f>HYPERLINK("https://www.airitibooks.com/Detail/Detail?PublicationID=P20150807048", "https://www.airitibooks.com/Detail/Detail?PublicationID=P20150807048")</f>
        <v>https://www.airitibooks.com/Detail/Detail?PublicationID=P20150807048</v>
      </c>
      <c r="K3608" s="13" t="str">
        <f>HYPERLINK("https://ntsu.idm.oclc.org/login?url=https://www.airitibooks.com/Detail/Detail?PublicationID=P20150807048", "https://ntsu.idm.oclc.org/login?url=https://www.airitibooks.com/Detail/Detail?PublicationID=P20150807048")</f>
        <v>https://ntsu.idm.oclc.org/login?url=https://www.airitibooks.com/Detail/Detail?PublicationID=P20150807048</v>
      </c>
    </row>
    <row r="3609" spans="1:11" ht="51" x14ac:dyDescent="0.4">
      <c r="A3609" s="10" t="s">
        <v>3036</v>
      </c>
      <c r="B3609" s="10" t="s">
        <v>3037</v>
      </c>
      <c r="C3609" s="10" t="s">
        <v>3034</v>
      </c>
      <c r="D3609" s="10" t="s">
        <v>3035</v>
      </c>
      <c r="E3609" s="10" t="s">
        <v>30</v>
      </c>
      <c r="F3609" s="10" t="s">
        <v>2191</v>
      </c>
      <c r="G3609" s="10" t="s">
        <v>55</v>
      </c>
      <c r="H3609" s="7" t="s">
        <v>24</v>
      </c>
      <c r="I3609" s="7" t="s">
        <v>25</v>
      </c>
      <c r="J3609" s="13" t="str">
        <f>HYPERLINK("https://www.airitibooks.com/Detail/Detail?PublicationID=P20150820002", "https://www.airitibooks.com/Detail/Detail?PublicationID=P20150820002")</f>
        <v>https://www.airitibooks.com/Detail/Detail?PublicationID=P20150820002</v>
      </c>
      <c r="K3609" s="13" t="str">
        <f>HYPERLINK("https://ntsu.idm.oclc.org/login?url=https://www.airitibooks.com/Detail/Detail?PublicationID=P20150820002", "https://ntsu.idm.oclc.org/login?url=https://www.airitibooks.com/Detail/Detail?PublicationID=P20150820002")</f>
        <v>https://ntsu.idm.oclc.org/login?url=https://www.airitibooks.com/Detail/Detail?PublicationID=P20150820002</v>
      </c>
    </row>
    <row r="3610" spans="1:11" ht="51" x14ac:dyDescent="0.4">
      <c r="A3610" s="10" t="s">
        <v>3040</v>
      </c>
      <c r="B3610" s="10" t="s">
        <v>3041</v>
      </c>
      <c r="C3610" s="10" t="s">
        <v>3034</v>
      </c>
      <c r="D3610" s="10" t="s">
        <v>3035</v>
      </c>
      <c r="E3610" s="10" t="s">
        <v>30</v>
      </c>
      <c r="F3610" s="10" t="s">
        <v>3042</v>
      </c>
      <c r="G3610" s="10" t="s">
        <v>55</v>
      </c>
      <c r="H3610" s="7" t="s">
        <v>24</v>
      </c>
      <c r="I3610" s="7" t="s">
        <v>25</v>
      </c>
      <c r="J3610" s="13" t="str">
        <f>HYPERLINK("https://www.airitibooks.com/Detail/Detail?PublicationID=P20150820005", "https://www.airitibooks.com/Detail/Detail?PublicationID=P20150820005")</f>
        <v>https://www.airitibooks.com/Detail/Detail?PublicationID=P20150820005</v>
      </c>
      <c r="K3610" s="13" t="str">
        <f>HYPERLINK("https://ntsu.idm.oclc.org/login?url=https://www.airitibooks.com/Detail/Detail?PublicationID=P20150820005", "https://ntsu.idm.oclc.org/login?url=https://www.airitibooks.com/Detail/Detail?PublicationID=P20150820005")</f>
        <v>https://ntsu.idm.oclc.org/login?url=https://www.airitibooks.com/Detail/Detail?PublicationID=P20150820005</v>
      </c>
    </row>
    <row r="3611" spans="1:11" ht="51" x14ac:dyDescent="0.4">
      <c r="A3611" s="10" t="s">
        <v>3053</v>
      </c>
      <c r="B3611" s="10" t="s">
        <v>3054</v>
      </c>
      <c r="C3611" s="10" t="s">
        <v>3034</v>
      </c>
      <c r="D3611" s="10" t="s">
        <v>3035</v>
      </c>
      <c r="E3611" s="10" t="s">
        <v>30</v>
      </c>
      <c r="F3611" s="10" t="s">
        <v>2236</v>
      </c>
      <c r="G3611" s="10" t="s">
        <v>55</v>
      </c>
      <c r="H3611" s="7" t="s">
        <v>24</v>
      </c>
      <c r="I3611" s="7" t="s">
        <v>25</v>
      </c>
      <c r="J3611" s="13" t="str">
        <f>HYPERLINK("https://www.airitibooks.com/Detail/Detail?PublicationID=P20150820038", "https://www.airitibooks.com/Detail/Detail?PublicationID=P20150820038")</f>
        <v>https://www.airitibooks.com/Detail/Detail?PublicationID=P20150820038</v>
      </c>
      <c r="K3611" s="13" t="str">
        <f>HYPERLINK("https://ntsu.idm.oclc.org/login?url=https://www.airitibooks.com/Detail/Detail?PublicationID=P20150820038", "https://ntsu.idm.oclc.org/login?url=https://www.airitibooks.com/Detail/Detail?PublicationID=P20150820038")</f>
        <v>https://ntsu.idm.oclc.org/login?url=https://www.airitibooks.com/Detail/Detail?PublicationID=P20150820038</v>
      </c>
    </row>
    <row r="3612" spans="1:11" ht="51" x14ac:dyDescent="0.4">
      <c r="A3612" s="10" t="s">
        <v>3310</v>
      </c>
      <c r="B3612" s="10" t="s">
        <v>3311</v>
      </c>
      <c r="C3612" s="10" t="s">
        <v>3034</v>
      </c>
      <c r="D3612" s="10" t="s">
        <v>3306</v>
      </c>
      <c r="E3612" s="10" t="s">
        <v>30</v>
      </c>
      <c r="F3612" s="10" t="s">
        <v>2205</v>
      </c>
      <c r="G3612" s="10" t="s">
        <v>55</v>
      </c>
      <c r="H3612" s="7" t="s">
        <v>24</v>
      </c>
      <c r="I3612" s="7" t="s">
        <v>25</v>
      </c>
      <c r="J3612" s="13" t="str">
        <f>HYPERLINK("https://www.airitibooks.com/Detail/Detail?PublicationID=P20150821150", "https://www.airitibooks.com/Detail/Detail?PublicationID=P20150821150")</f>
        <v>https://www.airitibooks.com/Detail/Detail?PublicationID=P20150821150</v>
      </c>
      <c r="K3612" s="13" t="str">
        <f>HYPERLINK("https://ntsu.idm.oclc.org/login?url=https://www.airitibooks.com/Detail/Detail?PublicationID=P20150821150", "https://ntsu.idm.oclc.org/login?url=https://www.airitibooks.com/Detail/Detail?PublicationID=P20150821150")</f>
        <v>https://ntsu.idm.oclc.org/login?url=https://www.airitibooks.com/Detail/Detail?PublicationID=P20150821150</v>
      </c>
    </row>
    <row r="3613" spans="1:11" ht="51" x14ac:dyDescent="0.4">
      <c r="A3613" s="10" t="s">
        <v>3317</v>
      </c>
      <c r="B3613" s="10" t="s">
        <v>3318</v>
      </c>
      <c r="C3613" s="10" t="s">
        <v>3034</v>
      </c>
      <c r="D3613" s="10" t="s">
        <v>3306</v>
      </c>
      <c r="E3613" s="10" t="s">
        <v>30</v>
      </c>
      <c r="F3613" s="10" t="s">
        <v>2205</v>
      </c>
      <c r="G3613" s="10" t="s">
        <v>55</v>
      </c>
      <c r="H3613" s="7" t="s">
        <v>24</v>
      </c>
      <c r="I3613" s="7" t="s">
        <v>25</v>
      </c>
      <c r="J3613" s="13" t="str">
        <f>HYPERLINK("https://www.airitibooks.com/Detail/Detail?PublicationID=P20150821166", "https://www.airitibooks.com/Detail/Detail?PublicationID=P20150821166")</f>
        <v>https://www.airitibooks.com/Detail/Detail?PublicationID=P20150821166</v>
      </c>
      <c r="K3613" s="13" t="str">
        <f>HYPERLINK("https://ntsu.idm.oclc.org/login?url=https://www.airitibooks.com/Detail/Detail?PublicationID=P20150821166", "https://ntsu.idm.oclc.org/login?url=https://www.airitibooks.com/Detail/Detail?PublicationID=P20150821166")</f>
        <v>https://ntsu.idm.oclc.org/login?url=https://www.airitibooks.com/Detail/Detail?PublicationID=P20150821166</v>
      </c>
    </row>
    <row r="3614" spans="1:11" ht="51" x14ac:dyDescent="0.4">
      <c r="A3614" s="10" t="s">
        <v>3561</v>
      </c>
      <c r="B3614" s="10" t="s">
        <v>3562</v>
      </c>
      <c r="C3614" s="10" t="s">
        <v>1203</v>
      </c>
      <c r="D3614" s="10" t="s">
        <v>2085</v>
      </c>
      <c r="E3614" s="10" t="s">
        <v>30</v>
      </c>
      <c r="F3614" s="10" t="s">
        <v>512</v>
      </c>
      <c r="G3614" s="10" t="s">
        <v>55</v>
      </c>
      <c r="H3614" s="7" t="s">
        <v>24</v>
      </c>
      <c r="I3614" s="7" t="s">
        <v>25</v>
      </c>
      <c r="J3614" s="13" t="str">
        <f>HYPERLINK("https://www.airitibooks.com/Detail/Detail?PublicationID=P20150921018", "https://www.airitibooks.com/Detail/Detail?PublicationID=P20150921018")</f>
        <v>https://www.airitibooks.com/Detail/Detail?PublicationID=P20150921018</v>
      </c>
      <c r="K3614" s="13" t="str">
        <f>HYPERLINK("https://ntsu.idm.oclc.org/login?url=https://www.airitibooks.com/Detail/Detail?PublicationID=P20150921018", "https://ntsu.idm.oclc.org/login?url=https://www.airitibooks.com/Detail/Detail?PublicationID=P20150921018")</f>
        <v>https://ntsu.idm.oclc.org/login?url=https://www.airitibooks.com/Detail/Detail?PublicationID=P20150921018</v>
      </c>
    </row>
    <row r="3615" spans="1:11" ht="51" x14ac:dyDescent="0.4">
      <c r="A3615" s="10" t="s">
        <v>3753</v>
      </c>
      <c r="B3615" s="10" t="s">
        <v>3754</v>
      </c>
      <c r="C3615" s="10" t="s">
        <v>3705</v>
      </c>
      <c r="D3615" s="10" t="s">
        <v>3755</v>
      </c>
      <c r="E3615" s="10" t="s">
        <v>30</v>
      </c>
      <c r="F3615" s="10" t="s">
        <v>946</v>
      </c>
      <c r="G3615" s="10" t="s">
        <v>55</v>
      </c>
      <c r="H3615" s="7" t="s">
        <v>24</v>
      </c>
      <c r="I3615" s="7" t="s">
        <v>25</v>
      </c>
      <c r="J3615" s="13" t="str">
        <f>HYPERLINK("https://www.airitibooks.com/Detail/Detail?PublicationID=P20151020396", "https://www.airitibooks.com/Detail/Detail?PublicationID=P20151020396")</f>
        <v>https://www.airitibooks.com/Detail/Detail?PublicationID=P20151020396</v>
      </c>
      <c r="K3615" s="13" t="str">
        <f>HYPERLINK("https://ntsu.idm.oclc.org/login?url=https://www.airitibooks.com/Detail/Detail?PublicationID=P20151020396", "https://ntsu.idm.oclc.org/login?url=https://www.airitibooks.com/Detail/Detail?PublicationID=P20151020396")</f>
        <v>https://ntsu.idm.oclc.org/login?url=https://www.airitibooks.com/Detail/Detail?PublicationID=P20151020396</v>
      </c>
    </row>
    <row r="3616" spans="1:11" ht="68" x14ac:dyDescent="0.4">
      <c r="A3616" s="10" t="s">
        <v>3756</v>
      </c>
      <c r="B3616" s="10" t="s">
        <v>3757</v>
      </c>
      <c r="C3616" s="10" t="s">
        <v>3705</v>
      </c>
      <c r="D3616" s="10" t="s">
        <v>3758</v>
      </c>
      <c r="E3616" s="10" t="s">
        <v>30</v>
      </c>
      <c r="F3616" s="10" t="s">
        <v>3759</v>
      </c>
      <c r="G3616" s="10" t="s">
        <v>55</v>
      </c>
      <c r="H3616" s="7" t="s">
        <v>24</v>
      </c>
      <c r="I3616" s="7" t="s">
        <v>25</v>
      </c>
      <c r="J3616" s="13" t="str">
        <f>HYPERLINK("https://www.airitibooks.com/Detail/Detail?PublicationID=P20151020399", "https://www.airitibooks.com/Detail/Detail?PublicationID=P20151020399")</f>
        <v>https://www.airitibooks.com/Detail/Detail?PublicationID=P20151020399</v>
      </c>
      <c r="K3616" s="13" t="str">
        <f>HYPERLINK("https://ntsu.idm.oclc.org/login?url=https://www.airitibooks.com/Detail/Detail?PublicationID=P20151020399", "https://ntsu.idm.oclc.org/login?url=https://www.airitibooks.com/Detail/Detail?PublicationID=P20151020399")</f>
        <v>https://ntsu.idm.oclc.org/login?url=https://www.airitibooks.com/Detail/Detail?PublicationID=P20151020399</v>
      </c>
    </row>
    <row r="3617" spans="1:11" ht="51" x14ac:dyDescent="0.4">
      <c r="A3617" s="10" t="s">
        <v>3931</v>
      </c>
      <c r="B3617" s="10" t="s">
        <v>3932</v>
      </c>
      <c r="C3617" s="10" t="s">
        <v>613</v>
      </c>
      <c r="D3617" s="10" t="s">
        <v>1430</v>
      </c>
      <c r="E3617" s="10" t="s">
        <v>30</v>
      </c>
      <c r="F3617" s="10" t="s">
        <v>1431</v>
      </c>
      <c r="G3617" s="10" t="s">
        <v>55</v>
      </c>
      <c r="H3617" s="7" t="s">
        <v>24</v>
      </c>
      <c r="I3617" s="7" t="s">
        <v>25</v>
      </c>
      <c r="J3617" s="13" t="str">
        <f>HYPERLINK("https://www.airitibooks.com/Detail/Detail?PublicationID=P20151111087", "https://www.airitibooks.com/Detail/Detail?PublicationID=P20151111087")</f>
        <v>https://www.airitibooks.com/Detail/Detail?PublicationID=P20151111087</v>
      </c>
      <c r="K3617" s="13" t="str">
        <f>HYPERLINK("https://ntsu.idm.oclc.org/login?url=https://www.airitibooks.com/Detail/Detail?PublicationID=P20151111087", "https://ntsu.idm.oclc.org/login?url=https://www.airitibooks.com/Detail/Detail?PublicationID=P20151111087")</f>
        <v>https://ntsu.idm.oclc.org/login?url=https://www.airitibooks.com/Detail/Detail?PublicationID=P20151111087</v>
      </c>
    </row>
    <row r="3618" spans="1:11" ht="51" x14ac:dyDescent="0.4">
      <c r="A3618" s="10" t="s">
        <v>4084</v>
      </c>
      <c r="B3618" s="10" t="s">
        <v>4085</v>
      </c>
      <c r="C3618" s="10" t="s">
        <v>1203</v>
      </c>
      <c r="D3618" s="10" t="s">
        <v>2079</v>
      </c>
      <c r="E3618" s="10" t="s">
        <v>30</v>
      </c>
      <c r="F3618" s="10" t="s">
        <v>41</v>
      </c>
      <c r="G3618" s="10" t="s">
        <v>55</v>
      </c>
      <c r="H3618" s="7" t="s">
        <v>24</v>
      </c>
      <c r="I3618" s="7" t="s">
        <v>25</v>
      </c>
      <c r="J3618" s="13" t="str">
        <f>HYPERLINK("https://www.airitibooks.com/Detail/Detail?PublicationID=P20151204062", "https://www.airitibooks.com/Detail/Detail?PublicationID=P20151204062")</f>
        <v>https://www.airitibooks.com/Detail/Detail?PublicationID=P20151204062</v>
      </c>
      <c r="K3618" s="13" t="str">
        <f>HYPERLINK("https://ntsu.idm.oclc.org/login?url=https://www.airitibooks.com/Detail/Detail?PublicationID=P20151204062", "https://ntsu.idm.oclc.org/login?url=https://www.airitibooks.com/Detail/Detail?PublicationID=P20151204062")</f>
        <v>https://ntsu.idm.oclc.org/login?url=https://www.airitibooks.com/Detail/Detail?PublicationID=P20151204062</v>
      </c>
    </row>
    <row r="3619" spans="1:11" ht="51" x14ac:dyDescent="0.4">
      <c r="A3619" s="10" t="s">
        <v>4556</v>
      </c>
      <c r="B3619" s="10" t="s">
        <v>4557</v>
      </c>
      <c r="C3619" s="10" t="s">
        <v>938</v>
      </c>
      <c r="D3619" s="10" t="s">
        <v>4558</v>
      </c>
      <c r="E3619" s="10" t="s">
        <v>30</v>
      </c>
      <c r="F3619" s="10" t="s">
        <v>1462</v>
      </c>
      <c r="G3619" s="10" t="s">
        <v>55</v>
      </c>
      <c r="H3619" s="7" t="s">
        <v>24</v>
      </c>
      <c r="I3619" s="7" t="s">
        <v>25</v>
      </c>
      <c r="J3619" s="13" t="str">
        <f>HYPERLINK("https://www.airitibooks.com/Detail/Detail?PublicationID=P20160422031", "https://www.airitibooks.com/Detail/Detail?PublicationID=P20160422031")</f>
        <v>https://www.airitibooks.com/Detail/Detail?PublicationID=P20160422031</v>
      </c>
      <c r="K3619" s="13" t="str">
        <f>HYPERLINK("https://ntsu.idm.oclc.org/login?url=https://www.airitibooks.com/Detail/Detail?PublicationID=P20160422031", "https://ntsu.idm.oclc.org/login?url=https://www.airitibooks.com/Detail/Detail?PublicationID=P20160422031")</f>
        <v>https://ntsu.idm.oclc.org/login?url=https://www.airitibooks.com/Detail/Detail?PublicationID=P20160422031</v>
      </c>
    </row>
    <row r="3620" spans="1:11" ht="51" x14ac:dyDescent="0.4">
      <c r="A3620" s="10" t="s">
        <v>4834</v>
      </c>
      <c r="B3620" s="10" t="s">
        <v>4835</v>
      </c>
      <c r="C3620" s="10" t="s">
        <v>2367</v>
      </c>
      <c r="D3620" s="10" t="s">
        <v>4836</v>
      </c>
      <c r="E3620" s="10" t="s">
        <v>30</v>
      </c>
      <c r="F3620" s="10" t="s">
        <v>4837</v>
      </c>
      <c r="G3620" s="10" t="s">
        <v>55</v>
      </c>
      <c r="H3620" s="7" t="s">
        <v>24</v>
      </c>
      <c r="I3620" s="7" t="s">
        <v>25</v>
      </c>
      <c r="J3620" s="13" t="str">
        <f>HYPERLINK("https://www.airitibooks.com/Detail/Detail?PublicationID=P20160715130", "https://www.airitibooks.com/Detail/Detail?PublicationID=P20160715130")</f>
        <v>https://www.airitibooks.com/Detail/Detail?PublicationID=P20160715130</v>
      </c>
      <c r="K3620" s="13" t="str">
        <f>HYPERLINK("https://ntsu.idm.oclc.org/login?url=https://www.airitibooks.com/Detail/Detail?PublicationID=P20160715130", "https://ntsu.idm.oclc.org/login?url=https://www.airitibooks.com/Detail/Detail?PublicationID=P20160715130")</f>
        <v>https://ntsu.idm.oclc.org/login?url=https://www.airitibooks.com/Detail/Detail?PublicationID=P20160715130</v>
      </c>
    </row>
    <row r="3621" spans="1:11" ht="51" x14ac:dyDescent="0.4">
      <c r="A3621" s="10" t="s">
        <v>5387</v>
      </c>
      <c r="B3621" s="10" t="s">
        <v>5388</v>
      </c>
      <c r="C3621" s="10" t="s">
        <v>5389</v>
      </c>
      <c r="D3621" s="10" t="s">
        <v>5390</v>
      </c>
      <c r="E3621" s="10" t="s">
        <v>30</v>
      </c>
      <c r="F3621" s="10" t="s">
        <v>97</v>
      </c>
      <c r="G3621" s="10" t="s">
        <v>55</v>
      </c>
      <c r="H3621" s="7" t="s">
        <v>24</v>
      </c>
      <c r="I3621" s="7" t="s">
        <v>25</v>
      </c>
      <c r="J3621" s="13" t="str">
        <f>HYPERLINK("https://www.airitibooks.com/Detail/Detail?PublicationID=P20160907285", "https://www.airitibooks.com/Detail/Detail?PublicationID=P20160907285")</f>
        <v>https://www.airitibooks.com/Detail/Detail?PublicationID=P20160907285</v>
      </c>
      <c r="K3621" s="13" t="str">
        <f>HYPERLINK("https://ntsu.idm.oclc.org/login?url=https://www.airitibooks.com/Detail/Detail?PublicationID=P20160907285", "https://ntsu.idm.oclc.org/login?url=https://www.airitibooks.com/Detail/Detail?PublicationID=P20160907285")</f>
        <v>https://ntsu.idm.oclc.org/login?url=https://www.airitibooks.com/Detail/Detail?PublicationID=P20160907285</v>
      </c>
    </row>
    <row r="3622" spans="1:11" ht="68" x14ac:dyDescent="0.4">
      <c r="A3622" s="10" t="s">
        <v>5551</v>
      </c>
      <c r="B3622" s="10" t="s">
        <v>5552</v>
      </c>
      <c r="C3622" s="10" t="s">
        <v>3832</v>
      </c>
      <c r="D3622" s="10" t="s">
        <v>5553</v>
      </c>
      <c r="E3622" s="10" t="s">
        <v>30</v>
      </c>
      <c r="F3622" s="10" t="s">
        <v>5554</v>
      </c>
      <c r="G3622" s="10" t="s">
        <v>55</v>
      </c>
      <c r="H3622" s="7" t="s">
        <v>24</v>
      </c>
      <c r="I3622" s="7" t="s">
        <v>25</v>
      </c>
      <c r="J3622" s="13" t="str">
        <f>HYPERLINK("https://www.airitibooks.com/Detail/Detail?PublicationID=P20160913110", "https://www.airitibooks.com/Detail/Detail?PublicationID=P20160913110")</f>
        <v>https://www.airitibooks.com/Detail/Detail?PublicationID=P20160913110</v>
      </c>
      <c r="K3622" s="13" t="str">
        <f>HYPERLINK("https://ntsu.idm.oclc.org/login?url=https://www.airitibooks.com/Detail/Detail?PublicationID=P20160913110", "https://ntsu.idm.oclc.org/login?url=https://www.airitibooks.com/Detail/Detail?PublicationID=P20160913110")</f>
        <v>https://ntsu.idm.oclc.org/login?url=https://www.airitibooks.com/Detail/Detail?PublicationID=P20160913110</v>
      </c>
    </row>
    <row r="3623" spans="1:11" ht="68" x14ac:dyDescent="0.4">
      <c r="A3623" s="10" t="s">
        <v>6545</v>
      </c>
      <c r="B3623" s="10" t="s">
        <v>6546</v>
      </c>
      <c r="C3623" s="10" t="s">
        <v>1504</v>
      </c>
      <c r="D3623" s="10" t="s">
        <v>6547</v>
      </c>
      <c r="E3623" s="10" t="s">
        <v>30</v>
      </c>
      <c r="F3623" s="10" t="s">
        <v>6548</v>
      </c>
      <c r="G3623" s="10" t="s">
        <v>55</v>
      </c>
      <c r="H3623" s="7" t="s">
        <v>24</v>
      </c>
      <c r="I3623" s="7" t="s">
        <v>25</v>
      </c>
      <c r="J3623" s="13" t="str">
        <f>HYPERLINK("https://www.airitibooks.com/Detail/Detail?PublicationID=P20170502119", "https://www.airitibooks.com/Detail/Detail?PublicationID=P20170502119")</f>
        <v>https://www.airitibooks.com/Detail/Detail?PublicationID=P20170502119</v>
      </c>
      <c r="K3623" s="13" t="str">
        <f>HYPERLINK("https://ntsu.idm.oclc.org/login?url=https://www.airitibooks.com/Detail/Detail?PublicationID=P20170502119", "https://ntsu.idm.oclc.org/login?url=https://www.airitibooks.com/Detail/Detail?PublicationID=P20170502119")</f>
        <v>https://ntsu.idm.oclc.org/login?url=https://www.airitibooks.com/Detail/Detail?PublicationID=P20170502119</v>
      </c>
    </row>
    <row r="3624" spans="1:11" ht="51" x14ac:dyDescent="0.4">
      <c r="A3624" s="10" t="s">
        <v>6846</v>
      </c>
      <c r="B3624" s="10" t="s">
        <v>6847</v>
      </c>
      <c r="C3624" s="10" t="s">
        <v>1504</v>
      </c>
      <c r="D3624" s="10" t="s">
        <v>6848</v>
      </c>
      <c r="E3624" s="10" t="s">
        <v>30</v>
      </c>
      <c r="F3624" s="10" t="s">
        <v>3057</v>
      </c>
      <c r="G3624" s="10" t="s">
        <v>55</v>
      </c>
      <c r="H3624" s="7" t="s">
        <v>24</v>
      </c>
      <c r="I3624" s="7" t="s">
        <v>25</v>
      </c>
      <c r="J3624" s="13" t="str">
        <f>HYPERLINK("https://www.airitibooks.com/Detail/Detail?PublicationID=P20170706023", "https://www.airitibooks.com/Detail/Detail?PublicationID=P20170706023")</f>
        <v>https://www.airitibooks.com/Detail/Detail?PublicationID=P20170706023</v>
      </c>
      <c r="K3624" s="13" t="str">
        <f>HYPERLINK("https://ntsu.idm.oclc.org/login?url=https://www.airitibooks.com/Detail/Detail?PublicationID=P20170706023", "https://ntsu.idm.oclc.org/login?url=https://www.airitibooks.com/Detail/Detail?PublicationID=P20170706023")</f>
        <v>https://ntsu.idm.oclc.org/login?url=https://www.airitibooks.com/Detail/Detail?PublicationID=P20170706023</v>
      </c>
    </row>
    <row r="3625" spans="1:11" ht="51" x14ac:dyDescent="0.4">
      <c r="A3625" s="10" t="s">
        <v>6849</v>
      </c>
      <c r="B3625" s="10" t="s">
        <v>6850</v>
      </c>
      <c r="C3625" s="10" t="s">
        <v>1504</v>
      </c>
      <c r="D3625" s="10" t="s">
        <v>6851</v>
      </c>
      <c r="E3625" s="10" t="s">
        <v>30</v>
      </c>
      <c r="F3625" s="10" t="s">
        <v>3057</v>
      </c>
      <c r="G3625" s="10" t="s">
        <v>55</v>
      </c>
      <c r="H3625" s="7" t="s">
        <v>24</v>
      </c>
      <c r="I3625" s="7" t="s">
        <v>25</v>
      </c>
      <c r="J3625" s="13" t="str">
        <f>HYPERLINK("https://www.airitibooks.com/Detail/Detail?PublicationID=P20170706024", "https://www.airitibooks.com/Detail/Detail?PublicationID=P20170706024")</f>
        <v>https://www.airitibooks.com/Detail/Detail?PublicationID=P20170706024</v>
      </c>
      <c r="K3625" s="13" t="str">
        <f>HYPERLINK("https://ntsu.idm.oclc.org/login?url=https://www.airitibooks.com/Detail/Detail?PublicationID=P20170706024", "https://ntsu.idm.oclc.org/login?url=https://www.airitibooks.com/Detail/Detail?PublicationID=P20170706024")</f>
        <v>https://ntsu.idm.oclc.org/login?url=https://www.airitibooks.com/Detail/Detail?PublicationID=P20170706024</v>
      </c>
    </row>
    <row r="3626" spans="1:11" ht="51" x14ac:dyDescent="0.4">
      <c r="A3626" s="10" t="s">
        <v>6879</v>
      </c>
      <c r="B3626" s="10" t="s">
        <v>6880</v>
      </c>
      <c r="C3626" s="10" t="s">
        <v>1504</v>
      </c>
      <c r="D3626" s="10" t="s">
        <v>2204</v>
      </c>
      <c r="E3626" s="10" t="s">
        <v>30</v>
      </c>
      <c r="F3626" s="10" t="s">
        <v>2180</v>
      </c>
      <c r="G3626" s="10" t="s">
        <v>55</v>
      </c>
      <c r="H3626" s="7" t="s">
        <v>24</v>
      </c>
      <c r="I3626" s="7" t="s">
        <v>25</v>
      </c>
      <c r="J3626" s="13" t="str">
        <f>HYPERLINK("https://www.airitibooks.com/Detail/Detail?PublicationID=P20170706040", "https://www.airitibooks.com/Detail/Detail?PublicationID=P20170706040")</f>
        <v>https://www.airitibooks.com/Detail/Detail?PublicationID=P20170706040</v>
      </c>
      <c r="K3626" s="13" t="str">
        <f>HYPERLINK("https://ntsu.idm.oclc.org/login?url=https://www.airitibooks.com/Detail/Detail?PublicationID=P20170706040", "https://ntsu.idm.oclc.org/login?url=https://www.airitibooks.com/Detail/Detail?PublicationID=P20170706040")</f>
        <v>https://ntsu.idm.oclc.org/login?url=https://www.airitibooks.com/Detail/Detail?PublicationID=P20170706040</v>
      </c>
    </row>
    <row r="3627" spans="1:11" ht="68" x14ac:dyDescent="0.4">
      <c r="A3627" s="10" t="s">
        <v>6897</v>
      </c>
      <c r="B3627" s="10" t="s">
        <v>6898</v>
      </c>
      <c r="C3627" s="10" t="s">
        <v>1504</v>
      </c>
      <c r="D3627" s="10" t="s">
        <v>6899</v>
      </c>
      <c r="E3627" s="10" t="s">
        <v>30</v>
      </c>
      <c r="F3627" s="10" t="s">
        <v>2180</v>
      </c>
      <c r="G3627" s="10" t="s">
        <v>55</v>
      </c>
      <c r="H3627" s="7" t="s">
        <v>24</v>
      </c>
      <c r="I3627" s="7" t="s">
        <v>25</v>
      </c>
      <c r="J3627" s="13" t="str">
        <f>HYPERLINK("https://www.airitibooks.com/Detail/Detail?PublicationID=P20170706053", "https://www.airitibooks.com/Detail/Detail?PublicationID=P20170706053")</f>
        <v>https://www.airitibooks.com/Detail/Detail?PublicationID=P20170706053</v>
      </c>
      <c r="K3627" s="13" t="str">
        <f>HYPERLINK("https://ntsu.idm.oclc.org/login?url=https://www.airitibooks.com/Detail/Detail?PublicationID=P20170706053", "https://ntsu.idm.oclc.org/login?url=https://www.airitibooks.com/Detail/Detail?PublicationID=P20170706053")</f>
        <v>https://ntsu.idm.oclc.org/login?url=https://www.airitibooks.com/Detail/Detail?PublicationID=P20170706053</v>
      </c>
    </row>
    <row r="3628" spans="1:11" ht="51" x14ac:dyDescent="0.4">
      <c r="A3628" s="10" t="s">
        <v>6944</v>
      </c>
      <c r="B3628" s="10" t="s">
        <v>6945</v>
      </c>
      <c r="C3628" s="10" t="s">
        <v>1504</v>
      </c>
      <c r="D3628" s="10" t="s">
        <v>6946</v>
      </c>
      <c r="E3628" s="10" t="s">
        <v>30</v>
      </c>
      <c r="F3628" s="10" t="s">
        <v>6931</v>
      </c>
      <c r="G3628" s="10" t="s">
        <v>55</v>
      </c>
      <c r="H3628" s="7" t="s">
        <v>24</v>
      </c>
      <c r="I3628" s="7" t="s">
        <v>25</v>
      </c>
      <c r="J3628" s="13" t="str">
        <f>HYPERLINK("https://www.airitibooks.com/Detail/Detail?PublicationID=P20170706089", "https://www.airitibooks.com/Detail/Detail?PublicationID=P20170706089")</f>
        <v>https://www.airitibooks.com/Detail/Detail?PublicationID=P20170706089</v>
      </c>
      <c r="K3628" s="13" t="str">
        <f>HYPERLINK("https://ntsu.idm.oclc.org/login?url=https://www.airitibooks.com/Detail/Detail?PublicationID=P20170706089", "https://ntsu.idm.oclc.org/login?url=https://www.airitibooks.com/Detail/Detail?PublicationID=P20170706089")</f>
        <v>https://ntsu.idm.oclc.org/login?url=https://www.airitibooks.com/Detail/Detail?PublicationID=P20170706089</v>
      </c>
    </row>
    <row r="3629" spans="1:11" ht="51" x14ac:dyDescent="0.4">
      <c r="A3629" s="10" t="s">
        <v>6951</v>
      </c>
      <c r="B3629" s="10" t="s">
        <v>6952</v>
      </c>
      <c r="C3629" s="10" t="s">
        <v>1504</v>
      </c>
      <c r="D3629" s="10" t="s">
        <v>6953</v>
      </c>
      <c r="E3629" s="10" t="s">
        <v>30</v>
      </c>
      <c r="F3629" s="10" t="s">
        <v>6922</v>
      </c>
      <c r="G3629" s="10" t="s">
        <v>55</v>
      </c>
      <c r="H3629" s="7" t="s">
        <v>24</v>
      </c>
      <c r="I3629" s="7" t="s">
        <v>25</v>
      </c>
      <c r="J3629" s="13" t="str">
        <f>HYPERLINK("https://www.airitibooks.com/Detail/Detail?PublicationID=P20170706091", "https://www.airitibooks.com/Detail/Detail?PublicationID=P20170706091")</f>
        <v>https://www.airitibooks.com/Detail/Detail?PublicationID=P20170706091</v>
      </c>
      <c r="K3629" s="13" t="str">
        <f>HYPERLINK("https://ntsu.idm.oclc.org/login?url=https://www.airitibooks.com/Detail/Detail?PublicationID=P20170706091", "https://ntsu.idm.oclc.org/login?url=https://www.airitibooks.com/Detail/Detail?PublicationID=P20170706091")</f>
        <v>https://ntsu.idm.oclc.org/login?url=https://www.airitibooks.com/Detail/Detail?PublicationID=P20170706091</v>
      </c>
    </row>
    <row r="3630" spans="1:11" ht="51" x14ac:dyDescent="0.4">
      <c r="A3630" s="10" t="s">
        <v>6954</v>
      </c>
      <c r="B3630" s="10" t="s">
        <v>6955</v>
      </c>
      <c r="C3630" s="10" t="s">
        <v>1504</v>
      </c>
      <c r="D3630" s="10" t="s">
        <v>6953</v>
      </c>
      <c r="E3630" s="10" t="s">
        <v>30</v>
      </c>
      <c r="F3630" s="10" t="s">
        <v>2201</v>
      </c>
      <c r="G3630" s="10" t="s">
        <v>55</v>
      </c>
      <c r="H3630" s="7" t="s">
        <v>24</v>
      </c>
      <c r="I3630" s="7" t="s">
        <v>25</v>
      </c>
      <c r="J3630" s="13" t="str">
        <f>HYPERLINK("https://www.airitibooks.com/Detail/Detail?PublicationID=P20170706092", "https://www.airitibooks.com/Detail/Detail?PublicationID=P20170706092")</f>
        <v>https://www.airitibooks.com/Detail/Detail?PublicationID=P20170706092</v>
      </c>
      <c r="K3630" s="13" t="str">
        <f>HYPERLINK("https://ntsu.idm.oclc.org/login?url=https://www.airitibooks.com/Detail/Detail?PublicationID=P20170706092", "https://ntsu.idm.oclc.org/login?url=https://www.airitibooks.com/Detail/Detail?PublicationID=P20170706092")</f>
        <v>https://ntsu.idm.oclc.org/login?url=https://www.airitibooks.com/Detail/Detail?PublicationID=P20170706092</v>
      </c>
    </row>
    <row r="3631" spans="1:11" ht="51" x14ac:dyDescent="0.4">
      <c r="A3631" s="10" t="s">
        <v>6967</v>
      </c>
      <c r="B3631" s="10" t="s">
        <v>6968</v>
      </c>
      <c r="C3631" s="10" t="s">
        <v>1504</v>
      </c>
      <c r="D3631" s="10" t="s">
        <v>6969</v>
      </c>
      <c r="E3631" s="10" t="s">
        <v>30</v>
      </c>
      <c r="F3631" s="10" t="s">
        <v>2201</v>
      </c>
      <c r="G3631" s="10" t="s">
        <v>55</v>
      </c>
      <c r="H3631" s="7" t="s">
        <v>24</v>
      </c>
      <c r="I3631" s="7" t="s">
        <v>25</v>
      </c>
      <c r="J3631" s="13" t="str">
        <f>HYPERLINK("https://www.airitibooks.com/Detail/Detail?PublicationID=P20170706103", "https://www.airitibooks.com/Detail/Detail?PublicationID=P20170706103")</f>
        <v>https://www.airitibooks.com/Detail/Detail?PublicationID=P20170706103</v>
      </c>
      <c r="K3631" s="13" t="str">
        <f>HYPERLINK("https://ntsu.idm.oclc.org/login?url=https://www.airitibooks.com/Detail/Detail?PublicationID=P20170706103", "https://ntsu.idm.oclc.org/login?url=https://www.airitibooks.com/Detail/Detail?PublicationID=P20170706103")</f>
        <v>https://ntsu.idm.oclc.org/login?url=https://www.airitibooks.com/Detail/Detail?PublicationID=P20170706103</v>
      </c>
    </row>
    <row r="3632" spans="1:11" ht="51" x14ac:dyDescent="0.4">
      <c r="A3632" s="10" t="s">
        <v>7228</v>
      </c>
      <c r="B3632" s="10" t="s">
        <v>7229</v>
      </c>
      <c r="C3632" s="10" t="s">
        <v>7230</v>
      </c>
      <c r="D3632" s="10" t="s">
        <v>7231</v>
      </c>
      <c r="E3632" s="10" t="s">
        <v>30</v>
      </c>
      <c r="F3632" s="10" t="s">
        <v>7232</v>
      </c>
      <c r="G3632" s="10" t="s">
        <v>55</v>
      </c>
      <c r="H3632" s="7" t="s">
        <v>24</v>
      </c>
      <c r="I3632" s="7" t="s">
        <v>25</v>
      </c>
      <c r="J3632" s="13" t="str">
        <f>HYPERLINK("https://www.airitibooks.com/Detail/Detail?PublicationID=P20170929285", "https://www.airitibooks.com/Detail/Detail?PublicationID=P20170929285")</f>
        <v>https://www.airitibooks.com/Detail/Detail?PublicationID=P20170929285</v>
      </c>
      <c r="K3632" s="13" t="str">
        <f>HYPERLINK("https://ntsu.idm.oclc.org/login?url=https://www.airitibooks.com/Detail/Detail?PublicationID=P20170929285", "https://ntsu.idm.oclc.org/login?url=https://www.airitibooks.com/Detail/Detail?PublicationID=P20170929285")</f>
        <v>https://ntsu.idm.oclc.org/login?url=https://www.airitibooks.com/Detail/Detail?PublicationID=P20170929285</v>
      </c>
    </row>
    <row r="3633" spans="1:11" ht="51" x14ac:dyDescent="0.4">
      <c r="A3633" s="10" t="s">
        <v>9566</v>
      </c>
      <c r="B3633" s="10" t="s">
        <v>9567</v>
      </c>
      <c r="C3633" s="10" t="s">
        <v>9568</v>
      </c>
      <c r="D3633" s="10" t="s">
        <v>9569</v>
      </c>
      <c r="E3633" s="10" t="s">
        <v>30</v>
      </c>
      <c r="F3633" s="10" t="s">
        <v>9570</v>
      </c>
      <c r="G3633" s="10" t="s">
        <v>55</v>
      </c>
      <c r="H3633" s="7" t="s">
        <v>24</v>
      </c>
      <c r="I3633" s="7" t="s">
        <v>25</v>
      </c>
      <c r="J3633" s="13" t="str">
        <f>HYPERLINK("https://www.airitibooks.com/Detail/Detail?PublicationID=P20180806085", "https://www.airitibooks.com/Detail/Detail?PublicationID=P20180806085")</f>
        <v>https://www.airitibooks.com/Detail/Detail?PublicationID=P20180806085</v>
      </c>
      <c r="K3633" s="13" t="str">
        <f>HYPERLINK("https://ntsu.idm.oclc.org/login?url=https://www.airitibooks.com/Detail/Detail?PublicationID=P20180806085", "https://ntsu.idm.oclc.org/login?url=https://www.airitibooks.com/Detail/Detail?PublicationID=P20180806085")</f>
        <v>https://ntsu.idm.oclc.org/login?url=https://www.airitibooks.com/Detail/Detail?PublicationID=P20180806085</v>
      </c>
    </row>
    <row r="3634" spans="1:11" ht="51" x14ac:dyDescent="0.4">
      <c r="A3634" s="10" t="s">
        <v>11035</v>
      </c>
      <c r="B3634" s="10" t="s">
        <v>11036</v>
      </c>
      <c r="C3634" s="10" t="s">
        <v>11037</v>
      </c>
      <c r="D3634" s="10" t="s">
        <v>11038</v>
      </c>
      <c r="E3634" s="10" t="s">
        <v>30</v>
      </c>
      <c r="F3634" s="10" t="s">
        <v>11039</v>
      </c>
      <c r="G3634" s="10" t="s">
        <v>55</v>
      </c>
      <c r="H3634" s="7" t="s">
        <v>1031</v>
      </c>
      <c r="I3634" s="7" t="s">
        <v>25</v>
      </c>
      <c r="J3634" s="13" t="str">
        <f>HYPERLINK("https://www.airitibooks.com/Detail/Detail?PublicationID=P20190412121", "https://www.airitibooks.com/Detail/Detail?PublicationID=P20190412121")</f>
        <v>https://www.airitibooks.com/Detail/Detail?PublicationID=P20190412121</v>
      </c>
      <c r="K3634" s="13" t="str">
        <f>HYPERLINK("https://ntsu.idm.oclc.org/login?url=https://www.airitibooks.com/Detail/Detail?PublicationID=P20190412121", "https://ntsu.idm.oclc.org/login?url=https://www.airitibooks.com/Detail/Detail?PublicationID=P20190412121")</f>
        <v>https://ntsu.idm.oclc.org/login?url=https://www.airitibooks.com/Detail/Detail?PublicationID=P20190412121</v>
      </c>
    </row>
    <row r="3635" spans="1:11" ht="51" x14ac:dyDescent="0.4">
      <c r="A3635" s="10" t="s">
        <v>11040</v>
      </c>
      <c r="B3635" s="10" t="s">
        <v>11041</v>
      </c>
      <c r="C3635" s="10" t="s">
        <v>11037</v>
      </c>
      <c r="D3635" s="10" t="s">
        <v>11042</v>
      </c>
      <c r="E3635" s="10" t="s">
        <v>30</v>
      </c>
      <c r="F3635" s="10" t="s">
        <v>11039</v>
      </c>
      <c r="G3635" s="10" t="s">
        <v>55</v>
      </c>
      <c r="H3635" s="7" t="s">
        <v>1031</v>
      </c>
      <c r="I3635" s="7" t="s">
        <v>25</v>
      </c>
      <c r="J3635" s="13" t="str">
        <f>HYPERLINK("https://www.airitibooks.com/Detail/Detail?PublicationID=P20190412127", "https://www.airitibooks.com/Detail/Detail?PublicationID=P20190412127")</f>
        <v>https://www.airitibooks.com/Detail/Detail?PublicationID=P20190412127</v>
      </c>
      <c r="K3635" s="13" t="str">
        <f>HYPERLINK("https://ntsu.idm.oclc.org/login?url=https://www.airitibooks.com/Detail/Detail?PublicationID=P20190412127", "https://ntsu.idm.oclc.org/login?url=https://www.airitibooks.com/Detail/Detail?PublicationID=P20190412127")</f>
        <v>https://ntsu.idm.oclc.org/login?url=https://www.airitibooks.com/Detail/Detail?PublicationID=P20190412127</v>
      </c>
    </row>
    <row r="3636" spans="1:11" ht="51" x14ac:dyDescent="0.4">
      <c r="A3636" s="10" t="s">
        <v>11043</v>
      </c>
      <c r="B3636" s="10" t="s">
        <v>11044</v>
      </c>
      <c r="C3636" s="10" t="s">
        <v>11037</v>
      </c>
      <c r="D3636" s="10" t="s">
        <v>11045</v>
      </c>
      <c r="E3636" s="10" t="s">
        <v>30</v>
      </c>
      <c r="F3636" s="10" t="s">
        <v>11039</v>
      </c>
      <c r="G3636" s="10" t="s">
        <v>55</v>
      </c>
      <c r="H3636" s="7" t="s">
        <v>1031</v>
      </c>
      <c r="I3636" s="7" t="s">
        <v>25</v>
      </c>
      <c r="J3636" s="13" t="str">
        <f>HYPERLINK("https://www.airitibooks.com/Detail/Detail?PublicationID=P20190412142", "https://www.airitibooks.com/Detail/Detail?PublicationID=P20190412142")</f>
        <v>https://www.airitibooks.com/Detail/Detail?PublicationID=P20190412142</v>
      </c>
      <c r="K3636" s="13" t="str">
        <f>HYPERLINK("https://ntsu.idm.oclc.org/login?url=https://www.airitibooks.com/Detail/Detail?PublicationID=P20190412142", "https://ntsu.idm.oclc.org/login?url=https://www.airitibooks.com/Detail/Detail?PublicationID=P20190412142")</f>
        <v>https://ntsu.idm.oclc.org/login?url=https://www.airitibooks.com/Detail/Detail?PublicationID=P20190412142</v>
      </c>
    </row>
    <row r="3637" spans="1:11" ht="51" x14ac:dyDescent="0.4">
      <c r="A3637" s="10" t="s">
        <v>83</v>
      </c>
      <c r="B3637" s="10" t="s">
        <v>84</v>
      </c>
      <c r="C3637" s="10" t="s">
        <v>28</v>
      </c>
      <c r="D3637" s="10" t="s">
        <v>85</v>
      </c>
      <c r="E3637" s="10" t="s">
        <v>30</v>
      </c>
      <c r="F3637" s="10" t="s">
        <v>86</v>
      </c>
      <c r="G3637" s="10" t="s">
        <v>87</v>
      </c>
      <c r="H3637" s="7" t="s">
        <v>24</v>
      </c>
      <c r="I3637" s="7" t="s">
        <v>25</v>
      </c>
      <c r="J3637" s="13" t="str">
        <f>HYPERLINK("https://www.airitibooks.com/Detail/Detail?PublicationID=P200911261926", "https://www.airitibooks.com/Detail/Detail?PublicationID=P200911261926")</f>
        <v>https://www.airitibooks.com/Detail/Detail?PublicationID=P200911261926</v>
      </c>
      <c r="K3637" s="13" t="str">
        <f>HYPERLINK("https://ntsu.idm.oclc.org/login?url=https://www.airitibooks.com/Detail/Detail?PublicationID=P200911261926", "https://ntsu.idm.oclc.org/login?url=https://www.airitibooks.com/Detail/Detail?PublicationID=P200911261926")</f>
        <v>https://ntsu.idm.oclc.org/login?url=https://www.airitibooks.com/Detail/Detail?PublicationID=P200911261926</v>
      </c>
    </row>
    <row r="3638" spans="1:11" ht="51" x14ac:dyDescent="0.4">
      <c r="A3638" s="10" t="s">
        <v>2058</v>
      </c>
      <c r="B3638" s="10" t="s">
        <v>2059</v>
      </c>
      <c r="C3638" s="10" t="s">
        <v>212</v>
      </c>
      <c r="D3638" s="10" t="s">
        <v>2060</v>
      </c>
      <c r="E3638" s="10" t="s">
        <v>30</v>
      </c>
      <c r="F3638" s="10" t="s">
        <v>144</v>
      </c>
      <c r="G3638" s="10" t="s">
        <v>87</v>
      </c>
      <c r="H3638" s="7" t="s">
        <v>24</v>
      </c>
      <c r="I3638" s="7" t="s">
        <v>25</v>
      </c>
      <c r="J3638" s="13" t="str">
        <f>HYPERLINK("https://www.airitibooks.com/Detail/Detail?PublicationID=P20150309003", "https://www.airitibooks.com/Detail/Detail?PublicationID=P20150309003")</f>
        <v>https://www.airitibooks.com/Detail/Detail?PublicationID=P20150309003</v>
      </c>
      <c r="K3638" s="13" t="str">
        <f>HYPERLINK("https://ntsu.idm.oclc.org/login?url=https://www.airitibooks.com/Detail/Detail?PublicationID=P20150309003", "https://ntsu.idm.oclc.org/login?url=https://www.airitibooks.com/Detail/Detail?PublicationID=P20150309003")</f>
        <v>https://ntsu.idm.oclc.org/login?url=https://www.airitibooks.com/Detail/Detail?PublicationID=P20150309003</v>
      </c>
    </row>
    <row r="3639" spans="1:11" ht="51" x14ac:dyDescent="0.4">
      <c r="A3639" s="10" t="s">
        <v>2061</v>
      </c>
      <c r="B3639" s="10" t="s">
        <v>2062</v>
      </c>
      <c r="C3639" s="10" t="s">
        <v>212</v>
      </c>
      <c r="D3639" s="10" t="s">
        <v>2060</v>
      </c>
      <c r="E3639" s="10" t="s">
        <v>30</v>
      </c>
      <c r="F3639" s="10" t="s">
        <v>2063</v>
      </c>
      <c r="G3639" s="10" t="s">
        <v>87</v>
      </c>
      <c r="H3639" s="7" t="s">
        <v>24</v>
      </c>
      <c r="I3639" s="7" t="s">
        <v>25</v>
      </c>
      <c r="J3639" s="13" t="str">
        <f>HYPERLINK("https://www.airitibooks.com/Detail/Detail?PublicationID=P20150309006", "https://www.airitibooks.com/Detail/Detail?PublicationID=P20150309006")</f>
        <v>https://www.airitibooks.com/Detail/Detail?PublicationID=P20150309006</v>
      </c>
      <c r="K3639" s="13" t="str">
        <f>HYPERLINK("https://ntsu.idm.oclc.org/login?url=https://www.airitibooks.com/Detail/Detail?PublicationID=P20150309006", "https://ntsu.idm.oclc.org/login?url=https://www.airitibooks.com/Detail/Detail?PublicationID=P20150309006")</f>
        <v>https://ntsu.idm.oclc.org/login?url=https://www.airitibooks.com/Detail/Detail?PublicationID=P20150309006</v>
      </c>
    </row>
    <row r="3640" spans="1:11" ht="51" x14ac:dyDescent="0.4">
      <c r="A3640" s="10" t="s">
        <v>2064</v>
      </c>
      <c r="B3640" s="10" t="s">
        <v>2065</v>
      </c>
      <c r="C3640" s="10" t="s">
        <v>297</v>
      </c>
      <c r="D3640" s="10" t="s">
        <v>2066</v>
      </c>
      <c r="E3640" s="10" t="s">
        <v>30</v>
      </c>
      <c r="F3640" s="10" t="s">
        <v>2063</v>
      </c>
      <c r="G3640" s="10" t="s">
        <v>87</v>
      </c>
      <c r="H3640" s="7" t="s">
        <v>24</v>
      </c>
      <c r="I3640" s="7" t="s">
        <v>25</v>
      </c>
      <c r="J3640" s="13" t="str">
        <f>HYPERLINK("https://www.airitibooks.com/Detail/Detail?PublicationID=P20150309007", "https://www.airitibooks.com/Detail/Detail?PublicationID=P20150309007")</f>
        <v>https://www.airitibooks.com/Detail/Detail?PublicationID=P20150309007</v>
      </c>
      <c r="K3640" s="13" t="str">
        <f>HYPERLINK("https://ntsu.idm.oclc.org/login?url=https://www.airitibooks.com/Detail/Detail?PublicationID=P20150309007", "https://ntsu.idm.oclc.org/login?url=https://www.airitibooks.com/Detail/Detail?PublicationID=P20150309007")</f>
        <v>https://ntsu.idm.oclc.org/login?url=https://www.airitibooks.com/Detail/Detail?PublicationID=P20150309007</v>
      </c>
    </row>
    <row r="3641" spans="1:11" ht="51" x14ac:dyDescent="0.4">
      <c r="A3641" s="10" t="s">
        <v>2074</v>
      </c>
      <c r="B3641" s="10" t="s">
        <v>2075</v>
      </c>
      <c r="C3641" s="10" t="s">
        <v>297</v>
      </c>
      <c r="D3641" s="10" t="s">
        <v>2076</v>
      </c>
      <c r="E3641" s="10" t="s">
        <v>30</v>
      </c>
      <c r="F3641" s="10" t="s">
        <v>138</v>
      </c>
      <c r="G3641" s="10" t="s">
        <v>87</v>
      </c>
      <c r="H3641" s="7" t="s">
        <v>24</v>
      </c>
      <c r="I3641" s="7" t="s">
        <v>25</v>
      </c>
      <c r="J3641" s="13" t="str">
        <f>HYPERLINK("https://www.airitibooks.com/Detail/Detail?PublicationID=P20150309011", "https://www.airitibooks.com/Detail/Detail?PublicationID=P20150309011")</f>
        <v>https://www.airitibooks.com/Detail/Detail?PublicationID=P20150309011</v>
      </c>
      <c r="K3641" s="13" t="str">
        <f>HYPERLINK("https://ntsu.idm.oclc.org/login?url=https://www.airitibooks.com/Detail/Detail?PublicationID=P20150309011", "https://ntsu.idm.oclc.org/login?url=https://www.airitibooks.com/Detail/Detail?PublicationID=P20150309011")</f>
        <v>https://ntsu.idm.oclc.org/login?url=https://www.airitibooks.com/Detail/Detail?PublicationID=P20150309011</v>
      </c>
    </row>
    <row r="3642" spans="1:11" ht="51" x14ac:dyDescent="0.4">
      <c r="A3642" s="10" t="s">
        <v>2089</v>
      </c>
      <c r="B3642" s="10" t="s">
        <v>2090</v>
      </c>
      <c r="C3642" s="10" t="s">
        <v>439</v>
      </c>
      <c r="D3642" s="10" t="s">
        <v>2091</v>
      </c>
      <c r="E3642" s="10" t="s">
        <v>30</v>
      </c>
      <c r="F3642" s="10" t="s">
        <v>399</v>
      </c>
      <c r="G3642" s="10" t="s">
        <v>87</v>
      </c>
      <c r="H3642" s="7" t="s">
        <v>24</v>
      </c>
      <c r="I3642" s="7" t="s">
        <v>25</v>
      </c>
      <c r="J3642" s="13" t="str">
        <f>HYPERLINK("https://www.airitibooks.com/Detail/Detail?PublicationID=P20150309019", "https://www.airitibooks.com/Detail/Detail?PublicationID=P20150309019")</f>
        <v>https://www.airitibooks.com/Detail/Detail?PublicationID=P20150309019</v>
      </c>
      <c r="K3642" s="13" t="str">
        <f>HYPERLINK("https://ntsu.idm.oclc.org/login?url=https://www.airitibooks.com/Detail/Detail?PublicationID=P20150309019", "https://ntsu.idm.oclc.org/login?url=https://www.airitibooks.com/Detail/Detail?PublicationID=P20150309019")</f>
        <v>https://ntsu.idm.oclc.org/login?url=https://www.airitibooks.com/Detail/Detail?PublicationID=P20150309019</v>
      </c>
    </row>
    <row r="3643" spans="1:11" ht="51" x14ac:dyDescent="0.4">
      <c r="A3643" s="10" t="s">
        <v>2092</v>
      </c>
      <c r="B3643" s="10" t="s">
        <v>2093</v>
      </c>
      <c r="C3643" s="10" t="s">
        <v>439</v>
      </c>
      <c r="D3643" s="10" t="s">
        <v>2094</v>
      </c>
      <c r="E3643" s="10" t="s">
        <v>30</v>
      </c>
      <c r="F3643" s="10" t="s">
        <v>399</v>
      </c>
      <c r="G3643" s="10" t="s">
        <v>87</v>
      </c>
      <c r="H3643" s="7" t="s">
        <v>24</v>
      </c>
      <c r="I3643" s="7" t="s">
        <v>25</v>
      </c>
      <c r="J3643" s="13" t="str">
        <f>HYPERLINK("https://www.airitibooks.com/Detail/Detail?PublicationID=P20150309021", "https://www.airitibooks.com/Detail/Detail?PublicationID=P20150309021")</f>
        <v>https://www.airitibooks.com/Detail/Detail?PublicationID=P20150309021</v>
      </c>
      <c r="K3643" s="13" t="str">
        <f>HYPERLINK("https://ntsu.idm.oclc.org/login?url=https://www.airitibooks.com/Detail/Detail?PublicationID=P20150309021", "https://ntsu.idm.oclc.org/login?url=https://www.airitibooks.com/Detail/Detail?PublicationID=P20150309021")</f>
        <v>https://ntsu.idm.oclc.org/login?url=https://www.airitibooks.com/Detail/Detail?PublicationID=P20150309021</v>
      </c>
    </row>
    <row r="3644" spans="1:11" ht="51" x14ac:dyDescent="0.4">
      <c r="A3644" s="10" t="s">
        <v>2101</v>
      </c>
      <c r="B3644" s="10" t="s">
        <v>2102</v>
      </c>
      <c r="C3644" s="10" t="s">
        <v>428</v>
      </c>
      <c r="D3644" s="10" t="s">
        <v>2103</v>
      </c>
      <c r="E3644" s="10" t="s">
        <v>30</v>
      </c>
      <c r="F3644" s="10" t="s">
        <v>138</v>
      </c>
      <c r="G3644" s="10" t="s">
        <v>87</v>
      </c>
      <c r="H3644" s="7" t="s">
        <v>24</v>
      </c>
      <c r="I3644" s="7" t="s">
        <v>25</v>
      </c>
      <c r="J3644" s="13" t="str">
        <f>HYPERLINK("https://www.airitibooks.com/Detail/Detail?PublicationID=P20150309024", "https://www.airitibooks.com/Detail/Detail?PublicationID=P20150309024")</f>
        <v>https://www.airitibooks.com/Detail/Detail?PublicationID=P20150309024</v>
      </c>
      <c r="K3644" s="13" t="str">
        <f>HYPERLINK("https://ntsu.idm.oclc.org/login?url=https://www.airitibooks.com/Detail/Detail?PublicationID=P20150309024", "https://ntsu.idm.oclc.org/login?url=https://www.airitibooks.com/Detail/Detail?PublicationID=P20150309024")</f>
        <v>https://ntsu.idm.oclc.org/login?url=https://www.airitibooks.com/Detail/Detail?PublicationID=P20150309024</v>
      </c>
    </row>
    <row r="3645" spans="1:11" ht="51" x14ac:dyDescent="0.4">
      <c r="A3645" s="10" t="s">
        <v>2104</v>
      </c>
      <c r="B3645" s="10" t="s">
        <v>2105</v>
      </c>
      <c r="C3645" s="10" t="s">
        <v>428</v>
      </c>
      <c r="D3645" s="10" t="s">
        <v>2106</v>
      </c>
      <c r="E3645" s="10" t="s">
        <v>30</v>
      </c>
      <c r="F3645" s="10" t="s">
        <v>1208</v>
      </c>
      <c r="G3645" s="10" t="s">
        <v>87</v>
      </c>
      <c r="H3645" s="7" t="s">
        <v>24</v>
      </c>
      <c r="I3645" s="7" t="s">
        <v>25</v>
      </c>
      <c r="J3645" s="13" t="str">
        <f>HYPERLINK("https://www.airitibooks.com/Detail/Detail?PublicationID=P20150309025", "https://www.airitibooks.com/Detail/Detail?PublicationID=P20150309025")</f>
        <v>https://www.airitibooks.com/Detail/Detail?PublicationID=P20150309025</v>
      </c>
      <c r="K3645" s="13" t="str">
        <f>HYPERLINK("https://ntsu.idm.oclc.org/login?url=https://www.airitibooks.com/Detail/Detail?PublicationID=P20150309025", "https://ntsu.idm.oclc.org/login?url=https://www.airitibooks.com/Detail/Detail?PublicationID=P20150309025")</f>
        <v>https://ntsu.idm.oclc.org/login?url=https://www.airitibooks.com/Detail/Detail?PublicationID=P20150309025</v>
      </c>
    </row>
    <row r="3646" spans="1:11" ht="51" x14ac:dyDescent="0.4">
      <c r="A3646" s="10" t="s">
        <v>2162</v>
      </c>
      <c r="B3646" s="10" t="s">
        <v>2163</v>
      </c>
      <c r="C3646" s="10" t="s">
        <v>135</v>
      </c>
      <c r="D3646" s="10" t="s">
        <v>2164</v>
      </c>
      <c r="E3646" s="10" t="s">
        <v>30</v>
      </c>
      <c r="F3646" s="10" t="s">
        <v>1208</v>
      </c>
      <c r="G3646" s="10" t="s">
        <v>87</v>
      </c>
      <c r="H3646" s="7" t="s">
        <v>24</v>
      </c>
      <c r="I3646" s="7" t="s">
        <v>25</v>
      </c>
      <c r="J3646" s="13" t="str">
        <f>HYPERLINK("https://www.airitibooks.com/Detail/Detail?PublicationID=P20150316006", "https://www.airitibooks.com/Detail/Detail?PublicationID=P20150316006")</f>
        <v>https://www.airitibooks.com/Detail/Detail?PublicationID=P20150316006</v>
      </c>
      <c r="K3646" s="13" t="str">
        <f>HYPERLINK("https://ntsu.idm.oclc.org/login?url=https://www.airitibooks.com/Detail/Detail?PublicationID=P20150316006", "https://ntsu.idm.oclc.org/login?url=https://www.airitibooks.com/Detail/Detail?PublicationID=P20150316006")</f>
        <v>https://ntsu.idm.oclc.org/login?url=https://www.airitibooks.com/Detail/Detail?PublicationID=P20150316006</v>
      </c>
    </row>
    <row r="3647" spans="1:11" ht="51" x14ac:dyDescent="0.4">
      <c r="A3647" s="10" t="s">
        <v>2501</v>
      </c>
      <c r="B3647" s="10" t="s">
        <v>2502</v>
      </c>
      <c r="C3647" s="10" t="s">
        <v>2503</v>
      </c>
      <c r="D3647" s="10" t="s">
        <v>2504</v>
      </c>
      <c r="E3647" s="10" t="s">
        <v>30</v>
      </c>
      <c r="F3647" s="10" t="s">
        <v>1053</v>
      </c>
      <c r="G3647" s="10" t="s">
        <v>87</v>
      </c>
      <c r="H3647" s="7" t="s">
        <v>24</v>
      </c>
      <c r="I3647" s="7" t="s">
        <v>25</v>
      </c>
      <c r="J3647" s="13" t="str">
        <f>HYPERLINK("https://www.airitibooks.com/Detail/Detail?PublicationID=P20150506430", "https://www.airitibooks.com/Detail/Detail?PublicationID=P20150506430")</f>
        <v>https://www.airitibooks.com/Detail/Detail?PublicationID=P20150506430</v>
      </c>
      <c r="K3647" s="13" t="str">
        <f>HYPERLINK("https://ntsu.idm.oclc.org/login?url=https://www.airitibooks.com/Detail/Detail?PublicationID=P20150506430", "https://ntsu.idm.oclc.org/login?url=https://www.airitibooks.com/Detail/Detail?PublicationID=P20150506430")</f>
        <v>https://ntsu.idm.oclc.org/login?url=https://www.airitibooks.com/Detail/Detail?PublicationID=P20150506430</v>
      </c>
    </row>
    <row r="3648" spans="1:11" ht="51" x14ac:dyDescent="0.4">
      <c r="A3648" s="10" t="s">
        <v>2509</v>
      </c>
      <c r="B3648" s="10" t="s">
        <v>2510</v>
      </c>
      <c r="C3648" s="10" t="s">
        <v>2511</v>
      </c>
      <c r="D3648" s="10" t="s">
        <v>2512</v>
      </c>
      <c r="E3648" s="10" t="s">
        <v>30</v>
      </c>
      <c r="F3648" s="10" t="s">
        <v>1208</v>
      </c>
      <c r="G3648" s="10" t="s">
        <v>87</v>
      </c>
      <c r="H3648" s="7" t="s">
        <v>24</v>
      </c>
      <c r="I3648" s="7" t="s">
        <v>25</v>
      </c>
      <c r="J3648" s="13" t="str">
        <f>HYPERLINK("https://www.airitibooks.com/Detail/Detail?PublicationID=P20150506434", "https://www.airitibooks.com/Detail/Detail?PublicationID=P20150506434")</f>
        <v>https://www.airitibooks.com/Detail/Detail?PublicationID=P20150506434</v>
      </c>
      <c r="K3648" s="13" t="str">
        <f>HYPERLINK("https://ntsu.idm.oclc.org/login?url=https://www.airitibooks.com/Detail/Detail?PublicationID=P20150506434", "https://ntsu.idm.oclc.org/login?url=https://www.airitibooks.com/Detail/Detail?PublicationID=P20150506434")</f>
        <v>https://ntsu.idm.oclc.org/login?url=https://www.airitibooks.com/Detail/Detail?PublicationID=P20150506434</v>
      </c>
    </row>
    <row r="3649" spans="1:11" ht="51" x14ac:dyDescent="0.4">
      <c r="A3649" s="10" t="s">
        <v>2679</v>
      </c>
      <c r="B3649" s="10" t="s">
        <v>2680</v>
      </c>
      <c r="C3649" s="10" t="s">
        <v>428</v>
      </c>
      <c r="D3649" s="10" t="s">
        <v>2681</v>
      </c>
      <c r="E3649" s="10" t="s">
        <v>30</v>
      </c>
      <c r="F3649" s="10" t="s">
        <v>1100</v>
      </c>
      <c r="G3649" s="10" t="s">
        <v>87</v>
      </c>
      <c r="H3649" s="7" t="s">
        <v>24</v>
      </c>
      <c r="I3649" s="7" t="s">
        <v>25</v>
      </c>
      <c r="J3649" s="13" t="str">
        <f>HYPERLINK("https://www.airitibooks.com/Detail/Detail?PublicationID=P20150624002", "https://www.airitibooks.com/Detail/Detail?PublicationID=P20150624002")</f>
        <v>https://www.airitibooks.com/Detail/Detail?PublicationID=P20150624002</v>
      </c>
      <c r="K3649" s="13" t="str">
        <f>HYPERLINK("https://ntsu.idm.oclc.org/login?url=https://www.airitibooks.com/Detail/Detail?PublicationID=P20150624002", "https://ntsu.idm.oclc.org/login?url=https://www.airitibooks.com/Detail/Detail?PublicationID=P20150624002")</f>
        <v>https://ntsu.idm.oclc.org/login?url=https://www.airitibooks.com/Detail/Detail?PublicationID=P20150624002</v>
      </c>
    </row>
    <row r="3650" spans="1:11" ht="51" x14ac:dyDescent="0.4">
      <c r="A3650" s="10" t="s">
        <v>2688</v>
      </c>
      <c r="B3650" s="10" t="s">
        <v>2689</v>
      </c>
      <c r="C3650" s="10" t="s">
        <v>297</v>
      </c>
      <c r="D3650" s="10" t="s">
        <v>2076</v>
      </c>
      <c r="E3650" s="10" t="s">
        <v>30</v>
      </c>
      <c r="F3650" s="10" t="s">
        <v>138</v>
      </c>
      <c r="G3650" s="10" t="s">
        <v>87</v>
      </c>
      <c r="H3650" s="7" t="s">
        <v>24</v>
      </c>
      <c r="I3650" s="7" t="s">
        <v>25</v>
      </c>
      <c r="J3650" s="13" t="str">
        <f>HYPERLINK("https://www.airitibooks.com/Detail/Detail?PublicationID=P20150624007", "https://www.airitibooks.com/Detail/Detail?PublicationID=P20150624007")</f>
        <v>https://www.airitibooks.com/Detail/Detail?PublicationID=P20150624007</v>
      </c>
      <c r="K3650" s="13" t="str">
        <f>HYPERLINK("https://ntsu.idm.oclc.org/login?url=https://www.airitibooks.com/Detail/Detail?PublicationID=P20150624007", "https://ntsu.idm.oclc.org/login?url=https://www.airitibooks.com/Detail/Detail?PublicationID=P20150624007")</f>
        <v>https://ntsu.idm.oclc.org/login?url=https://www.airitibooks.com/Detail/Detail?PublicationID=P20150624007</v>
      </c>
    </row>
    <row r="3651" spans="1:11" ht="51" x14ac:dyDescent="0.4">
      <c r="A3651" s="10" t="s">
        <v>2709</v>
      </c>
      <c r="B3651" s="10" t="s">
        <v>2710</v>
      </c>
      <c r="C3651" s="10" t="s">
        <v>439</v>
      </c>
      <c r="D3651" s="10" t="s">
        <v>2091</v>
      </c>
      <c r="E3651" s="10" t="s">
        <v>30</v>
      </c>
      <c r="F3651" s="10" t="s">
        <v>399</v>
      </c>
      <c r="G3651" s="10" t="s">
        <v>87</v>
      </c>
      <c r="H3651" s="7" t="s">
        <v>24</v>
      </c>
      <c r="I3651" s="7" t="s">
        <v>25</v>
      </c>
      <c r="J3651" s="13" t="str">
        <f>HYPERLINK("https://www.airitibooks.com/Detail/Detail?PublicationID=P20150624016", "https://www.airitibooks.com/Detail/Detail?PublicationID=P20150624016")</f>
        <v>https://www.airitibooks.com/Detail/Detail?PublicationID=P20150624016</v>
      </c>
      <c r="K3651" s="13" t="str">
        <f>HYPERLINK("https://ntsu.idm.oclc.org/login?url=https://www.airitibooks.com/Detail/Detail?PublicationID=P20150624016", "https://ntsu.idm.oclc.org/login?url=https://www.airitibooks.com/Detail/Detail?PublicationID=P20150624016")</f>
        <v>https://ntsu.idm.oclc.org/login?url=https://www.airitibooks.com/Detail/Detail?PublicationID=P20150624016</v>
      </c>
    </row>
    <row r="3652" spans="1:11" ht="51" x14ac:dyDescent="0.4">
      <c r="A3652" s="10" t="s">
        <v>2714</v>
      </c>
      <c r="B3652" s="10" t="s">
        <v>2715</v>
      </c>
      <c r="C3652" s="10" t="s">
        <v>297</v>
      </c>
      <c r="D3652" s="10" t="s">
        <v>2716</v>
      </c>
      <c r="E3652" s="10" t="s">
        <v>30</v>
      </c>
      <c r="F3652" s="10" t="s">
        <v>2717</v>
      </c>
      <c r="G3652" s="10" t="s">
        <v>87</v>
      </c>
      <c r="H3652" s="7" t="s">
        <v>24</v>
      </c>
      <c r="I3652" s="7" t="s">
        <v>25</v>
      </c>
      <c r="J3652" s="13" t="str">
        <f>HYPERLINK("https://www.airitibooks.com/Detail/Detail?PublicationID=P20150624019", "https://www.airitibooks.com/Detail/Detail?PublicationID=P20150624019")</f>
        <v>https://www.airitibooks.com/Detail/Detail?PublicationID=P20150624019</v>
      </c>
      <c r="K3652" s="13" t="str">
        <f>HYPERLINK("https://ntsu.idm.oclc.org/login?url=https://www.airitibooks.com/Detail/Detail?PublicationID=P20150624019", "https://ntsu.idm.oclc.org/login?url=https://www.airitibooks.com/Detail/Detail?PublicationID=P20150624019")</f>
        <v>https://ntsu.idm.oclc.org/login?url=https://www.airitibooks.com/Detail/Detail?PublicationID=P20150624019</v>
      </c>
    </row>
    <row r="3653" spans="1:11" ht="51" x14ac:dyDescent="0.4">
      <c r="A3653" s="10" t="s">
        <v>2782</v>
      </c>
      <c r="B3653" s="10" t="s">
        <v>2783</v>
      </c>
      <c r="C3653" s="10" t="s">
        <v>130</v>
      </c>
      <c r="D3653" s="10" t="s">
        <v>2784</v>
      </c>
      <c r="E3653" s="10" t="s">
        <v>30</v>
      </c>
      <c r="F3653" s="10" t="s">
        <v>2785</v>
      </c>
      <c r="G3653" s="10" t="s">
        <v>87</v>
      </c>
      <c r="H3653" s="7" t="s">
        <v>24</v>
      </c>
      <c r="I3653" s="7" t="s">
        <v>25</v>
      </c>
      <c r="J3653" s="13" t="str">
        <f>HYPERLINK("https://www.airitibooks.com/Detail/Detail?PublicationID=P20150624259", "https://www.airitibooks.com/Detail/Detail?PublicationID=P20150624259")</f>
        <v>https://www.airitibooks.com/Detail/Detail?PublicationID=P20150624259</v>
      </c>
      <c r="K3653" s="13" t="str">
        <f>HYPERLINK("https://ntsu.idm.oclc.org/login?url=https://www.airitibooks.com/Detail/Detail?PublicationID=P20150624259", "https://ntsu.idm.oclc.org/login?url=https://www.airitibooks.com/Detail/Detail?PublicationID=P20150624259")</f>
        <v>https://ntsu.idm.oclc.org/login?url=https://www.airitibooks.com/Detail/Detail?PublicationID=P20150624259</v>
      </c>
    </row>
    <row r="3654" spans="1:11" ht="51" x14ac:dyDescent="0.4">
      <c r="A3654" s="10" t="s">
        <v>2786</v>
      </c>
      <c r="B3654" s="10" t="s">
        <v>2787</v>
      </c>
      <c r="C3654" s="10" t="s">
        <v>130</v>
      </c>
      <c r="D3654" s="10" t="s">
        <v>2788</v>
      </c>
      <c r="E3654" s="10" t="s">
        <v>30</v>
      </c>
      <c r="F3654" s="10" t="s">
        <v>132</v>
      </c>
      <c r="G3654" s="10" t="s">
        <v>87</v>
      </c>
      <c r="H3654" s="7" t="s">
        <v>24</v>
      </c>
      <c r="I3654" s="7" t="s">
        <v>25</v>
      </c>
      <c r="J3654" s="13" t="str">
        <f>HYPERLINK("https://www.airitibooks.com/Detail/Detail?PublicationID=P20150624260", "https://www.airitibooks.com/Detail/Detail?PublicationID=P20150624260")</f>
        <v>https://www.airitibooks.com/Detail/Detail?PublicationID=P20150624260</v>
      </c>
      <c r="K3654" s="13" t="str">
        <f>HYPERLINK("https://ntsu.idm.oclc.org/login?url=https://www.airitibooks.com/Detail/Detail?PublicationID=P20150624260", "https://ntsu.idm.oclc.org/login?url=https://www.airitibooks.com/Detail/Detail?PublicationID=P20150624260")</f>
        <v>https://ntsu.idm.oclc.org/login?url=https://www.airitibooks.com/Detail/Detail?PublicationID=P20150624260</v>
      </c>
    </row>
    <row r="3655" spans="1:11" ht="51" x14ac:dyDescent="0.4">
      <c r="A3655" s="10" t="s">
        <v>2789</v>
      </c>
      <c r="B3655" s="10" t="s">
        <v>2790</v>
      </c>
      <c r="C3655" s="10" t="s">
        <v>130</v>
      </c>
      <c r="D3655" s="10" t="s">
        <v>2791</v>
      </c>
      <c r="E3655" s="10" t="s">
        <v>30</v>
      </c>
      <c r="F3655" s="10" t="s">
        <v>2792</v>
      </c>
      <c r="G3655" s="10" t="s">
        <v>87</v>
      </c>
      <c r="H3655" s="7" t="s">
        <v>24</v>
      </c>
      <c r="I3655" s="7" t="s">
        <v>25</v>
      </c>
      <c r="J3655" s="13" t="str">
        <f>HYPERLINK("https://www.airitibooks.com/Detail/Detail?PublicationID=P20150624261", "https://www.airitibooks.com/Detail/Detail?PublicationID=P20150624261")</f>
        <v>https://www.airitibooks.com/Detail/Detail?PublicationID=P20150624261</v>
      </c>
      <c r="K3655" s="13" t="str">
        <f>HYPERLINK("https://ntsu.idm.oclc.org/login?url=https://www.airitibooks.com/Detail/Detail?PublicationID=P20150624261", "https://ntsu.idm.oclc.org/login?url=https://www.airitibooks.com/Detail/Detail?PublicationID=P20150624261")</f>
        <v>https://ntsu.idm.oclc.org/login?url=https://www.airitibooks.com/Detail/Detail?PublicationID=P20150624261</v>
      </c>
    </row>
    <row r="3656" spans="1:11" ht="51" x14ac:dyDescent="0.4">
      <c r="A3656" s="10" t="s">
        <v>2793</v>
      </c>
      <c r="B3656" s="10" t="s">
        <v>2794</v>
      </c>
      <c r="C3656" s="10" t="s">
        <v>130</v>
      </c>
      <c r="D3656" s="10" t="s">
        <v>2788</v>
      </c>
      <c r="E3656" s="10" t="s">
        <v>30</v>
      </c>
      <c r="F3656" s="10" t="s">
        <v>2795</v>
      </c>
      <c r="G3656" s="10" t="s">
        <v>87</v>
      </c>
      <c r="H3656" s="7" t="s">
        <v>24</v>
      </c>
      <c r="I3656" s="7" t="s">
        <v>25</v>
      </c>
      <c r="J3656" s="13" t="str">
        <f>HYPERLINK("https://www.airitibooks.com/Detail/Detail?PublicationID=P20150624262", "https://www.airitibooks.com/Detail/Detail?PublicationID=P20150624262")</f>
        <v>https://www.airitibooks.com/Detail/Detail?PublicationID=P20150624262</v>
      </c>
      <c r="K3656" s="13" t="str">
        <f>HYPERLINK("https://ntsu.idm.oclc.org/login?url=https://www.airitibooks.com/Detail/Detail?PublicationID=P20150624262", "https://ntsu.idm.oclc.org/login?url=https://www.airitibooks.com/Detail/Detail?PublicationID=P20150624262")</f>
        <v>https://ntsu.idm.oclc.org/login?url=https://www.airitibooks.com/Detail/Detail?PublicationID=P20150624262</v>
      </c>
    </row>
    <row r="3657" spans="1:11" ht="51" x14ac:dyDescent="0.4">
      <c r="A3657" s="10" t="s">
        <v>2796</v>
      </c>
      <c r="B3657" s="10" t="s">
        <v>2797</v>
      </c>
      <c r="C3657" s="10" t="s">
        <v>130</v>
      </c>
      <c r="D3657" s="10" t="s">
        <v>2798</v>
      </c>
      <c r="E3657" s="10" t="s">
        <v>30</v>
      </c>
      <c r="F3657" s="10" t="s">
        <v>2799</v>
      </c>
      <c r="G3657" s="10" t="s">
        <v>87</v>
      </c>
      <c r="H3657" s="7" t="s">
        <v>24</v>
      </c>
      <c r="I3657" s="7" t="s">
        <v>25</v>
      </c>
      <c r="J3657" s="13" t="str">
        <f>HYPERLINK("https://www.airitibooks.com/Detail/Detail?PublicationID=P20150624263", "https://www.airitibooks.com/Detail/Detail?PublicationID=P20150624263")</f>
        <v>https://www.airitibooks.com/Detail/Detail?PublicationID=P20150624263</v>
      </c>
      <c r="K3657" s="13" t="str">
        <f>HYPERLINK("https://ntsu.idm.oclc.org/login?url=https://www.airitibooks.com/Detail/Detail?PublicationID=P20150624263", "https://ntsu.idm.oclc.org/login?url=https://www.airitibooks.com/Detail/Detail?PublicationID=P20150624263")</f>
        <v>https://ntsu.idm.oclc.org/login?url=https://www.airitibooks.com/Detail/Detail?PublicationID=P20150624263</v>
      </c>
    </row>
    <row r="3658" spans="1:11" ht="51" x14ac:dyDescent="0.4">
      <c r="A3658" s="10" t="s">
        <v>2813</v>
      </c>
      <c r="B3658" s="10" t="s">
        <v>2814</v>
      </c>
      <c r="C3658" s="10" t="s">
        <v>746</v>
      </c>
      <c r="D3658" s="10" t="s">
        <v>2815</v>
      </c>
      <c r="E3658" s="10" t="s">
        <v>30</v>
      </c>
      <c r="F3658" s="10" t="s">
        <v>144</v>
      </c>
      <c r="G3658" s="10" t="s">
        <v>87</v>
      </c>
      <c r="H3658" s="7" t="s">
        <v>24</v>
      </c>
      <c r="I3658" s="7" t="s">
        <v>25</v>
      </c>
      <c r="J3658" s="13" t="str">
        <f>HYPERLINK("https://www.airitibooks.com/Detail/Detail?PublicationID=P20150626028", "https://www.airitibooks.com/Detail/Detail?PublicationID=P20150626028")</f>
        <v>https://www.airitibooks.com/Detail/Detail?PublicationID=P20150626028</v>
      </c>
      <c r="K3658" s="13" t="str">
        <f>HYPERLINK("https://ntsu.idm.oclc.org/login?url=https://www.airitibooks.com/Detail/Detail?PublicationID=P20150626028", "https://ntsu.idm.oclc.org/login?url=https://www.airitibooks.com/Detail/Detail?PublicationID=P20150626028")</f>
        <v>https://ntsu.idm.oclc.org/login?url=https://www.airitibooks.com/Detail/Detail?PublicationID=P20150626028</v>
      </c>
    </row>
    <row r="3659" spans="1:11" ht="51" x14ac:dyDescent="0.4">
      <c r="A3659" s="10" t="s">
        <v>2816</v>
      </c>
      <c r="B3659" s="10" t="s">
        <v>2817</v>
      </c>
      <c r="C3659" s="10" t="s">
        <v>746</v>
      </c>
      <c r="D3659" s="10" t="s">
        <v>2818</v>
      </c>
      <c r="E3659" s="10" t="s">
        <v>30</v>
      </c>
      <c r="F3659" s="10" t="s">
        <v>1208</v>
      </c>
      <c r="G3659" s="10" t="s">
        <v>87</v>
      </c>
      <c r="H3659" s="7" t="s">
        <v>24</v>
      </c>
      <c r="I3659" s="7" t="s">
        <v>25</v>
      </c>
      <c r="J3659" s="13" t="str">
        <f>HYPERLINK("https://www.airitibooks.com/Detail/Detail?PublicationID=P20150626032", "https://www.airitibooks.com/Detail/Detail?PublicationID=P20150626032")</f>
        <v>https://www.airitibooks.com/Detail/Detail?PublicationID=P20150626032</v>
      </c>
      <c r="K3659" s="13" t="str">
        <f>HYPERLINK("https://ntsu.idm.oclc.org/login?url=https://www.airitibooks.com/Detail/Detail?PublicationID=P20150626032", "https://ntsu.idm.oclc.org/login?url=https://www.airitibooks.com/Detail/Detail?PublicationID=P20150626032")</f>
        <v>https://ntsu.idm.oclc.org/login?url=https://www.airitibooks.com/Detail/Detail?PublicationID=P20150626032</v>
      </c>
    </row>
    <row r="3660" spans="1:11" ht="51" x14ac:dyDescent="0.4">
      <c r="A3660" s="10" t="s">
        <v>2819</v>
      </c>
      <c r="B3660" s="10" t="s">
        <v>2820</v>
      </c>
      <c r="C3660" s="10" t="s">
        <v>746</v>
      </c>
      <c r="D3660" s="10" t="s">
        <v>2821</v>
      </c>
      <c r="E3660" s="10" t="s">
        <v>30</v>
      </c>
      <c r="F3660" s="10" t="s">
        <v>475</v>
      </c>
      <c r="G3660" s="10" t="s">
        <v>87</v>
      </c>
      <c r="H3660" s="7" t="s">
        <v>24</v>
      </c>
      <c r="I3660" s="7" t="s">
        <v>25</v>
      </c>
      <c r="J3660" s="13" t="str">
        <f>HYPERLINK("https://www.airitibooks.com/Detail/Detail?PublicationID=P20150626034", "https://www.airitibooks.com/Detail/Detail?PublicationID=P20150626034")</f>
        <v>https://www.airitibooks.com/Detail/Detail?PublicationID=P20150626034</v>
      </c>
      <c r="K3660" s="13" t="str">
        <f>HYPERLINK("https://ntsu.idm.oclc.org/login?url=https://www.airitibooks.com/Detail/Detail?PublicationID=P20150626034", "https://ntsu.idm.oclc.org/login?url=https://www.airitibooks.com/Detail/Detail?PublicationID=P20150626034")</f>
        <v>https://ntsu.idm.oclc.org/login?url=https://www.airitibooks.com/Detail/Detail?PublicationID=P20150626034</v>
      </c>
    </row>
    <row r="3661" spans="1:11" ht="51" x14ac:dyDescent="0.4">
      <c r="A3661" s="10" t="s">
        <v>2822</v>
      </c>
      <c r="B3661" s="10" t="s">
        <v>2823</v>
      </c>
      <c r="C3661" s="10" t="s">
        <v>746</v>
      </c>
      <c r="D3661" s="10" t="s">
        <v>2821</v>
      </c>
      <c r="E3661" s="10" t="s">
        <v>30</v>
      </c>
      <c r="F3661" s="10" t="s">
        <v>475</v>
      </c>
      <c r="G3661" s="10" t="s">
        <v>87</v>
      </c>
      <c r="H3661" s="7" t="s">
        <v>24</v>
      </c>
      <c r="I3661" s="7" t="s">
        <v>25</v>
      </c>
      <c r="J3661" s="13" t="str">
        <f>HYPERLINK("https://www.airitibooks.com/Detail/Detail?PublicationID=P20150626035", "https://www.airitibooks.com/Detail/Detail?PublicationID=P20150626035")</f>
        <v>https://www.airitibooks.com/Detail/Detail?PublicationID=P20150626035</v>
      </c>
      <c r="K3661" s="13" t="str">
        <f>HYPERLINK("https://ntsu.idm.oclc.org/login?url=https://www.airitibooks.com/Detail/Detail?PublicationID=P20150626035", "https://ntsu.idm.oclc.org/login?url=https://www.airitibooks.com/Detail/Detail?PublicationID=P20150626035")</f>
        <v>https://ntsu.idm.oclc.org/login?url=https://www.airitibooks.com/Detail/Detail?PublicationID=P20150626035</v>
      </c>
    </row>
    <row r="3662" spans="1:11" ht="85" x14ac:dyDescent="0.4">
      <c r="A3662" s="10" t="s">
        <v>2824</v>
      </c>
      <c r="B3662" s="10" t="s">
        <v>2825</v>
      </c>
      <c r="C3662" s="10" t="s">
        <v>1484</v>
      </c>
      <c r="D3662" s="10" t="s">
        <v>2826</v>
      </c>
      <c r="E3662" s="10" t="s">
        <v>30</v>
      </c>
      <c r="F3662" s="10" t="s">
        <v>2827</v>
      </c>
      <c r="G3662" s="10" t="s">
        <v>87</v>
      </c>
      <c r="H3662" s="7" t="s">
        <v>24</v>
      </c>
      <c r="I3662" s="7" t="s">
        <v>25</v>
      </c>
      <c r="J3662" s="13" t="str">
        <f>HYPERLINK("https://www.airitibooks.com/Detail/Detail?PublicationID=P20150626036", "https://www.airitibooks.com/Detail/Detail?PublicationID=P20150626036")</f>
        <v>https://www.airitibooks.com/Detail/Detail?PublicationID=P20150626036</v>
      </c>
      <c r="K3662" s="13" t="str">
        <f>HYPERLINK("https://ntsu.idm.oclc.org/login?url=https://www.airitibooks.com/Detail/Detail?PublicationID=P20150626036", "https://ntsu.idm.oclc.org/login?url=https://www.airitibooks.com/Detail/Detail?PublicationID=P20150626036")</f>
        <v>https://ntsu.idm.oclc.org/login?url=https://www.airitibooks.com/Detail/Detail?PublicationID=P20150626036</v>
      </c>
    </row>
    <row r="3663" spans="1:11" ht="51" x14ac:dyDescent="0.4">
      <c r="A3663" s="10" t="s">
        <v>2953</v>
      </c>
      <c r="B3663" s="10" t="s">
        <v>2954</v>
      </c>
      <c r="C3663" s="10" t="s">
        <v>428</v>
      </c>
      <c r="D3663" s="10" t="s">
        <v>2955</v>
      </c>
      <c r="E3663" s="10" t="s">
        <v>30</v>
      </c>
      <c r="F3663" s="10" t="s">
        <v>144</v>
      </c>
      <c r="G3663" s="10" t="s">
        <v>87</v>
      </c>
      <c r="H3663" s="7" t="s">
        <v>24</v>
      </c>
      <c r="I3663" s="7" t="s">
        <v>25</v>
      </c>
      <c r="J3663" s="13" t="str">
        <f>HYPERLINK("https://www.airitibooks.com/Detail/Detail?PublicationID=P20150807017", "https://www.airitibooks.com/Detail/Detail?PublicationID=P20150807017")</f>
        <v>https://www.airitibooks.com/Detail/Detail?PublicationID=P20150807017</v>
      </c>
      <c r="K3663" s="13" t="str">
        <f>HYPERLINK("https://ntsu.idm.oclc.org/login?url=https://www.airitibooks.com/Detail/Detail?PublicationID=P20150807017", "https://ntsu.idm.oclc.org/login?url=https://www.airitibooks.com/Detail/Detail?PublicationID=P20150807017")</f>
        <v>https://ntsu.idm.oclc.org/login?url=https://www.airitibooks.com/Detail/Detail?PublicationID=P20150807017</v>
      </c>
    </row>
    <row r="3664" spans="1:11" ht="51" x14ac:dyDescent="0.4">
      <c r="A3664" s="10" t="s">
        <v>2960</v>
      </c>
      <c r="B3664" s="10" t="s">
        <v>2961</v>
      </c>
      <c r="C3664" s="10" t="s">
        <v>428</v>
      </c>
      <c r="D3664" s="10" t="s">
        <v>2106</v>
      </c>
      <c r="E3664" s="10" t="s">
        <v>30</v>
      </c>
      <c r="F3664" s="10" t="s">
        <v>1208</v>
      </c>
      <c r="G3664" s="10" t="s">
        <v>87</v>
      </c>
      <c r="H3664" s="7" t="s">
        <v>24</v>
      </c>
      <c r="I3664" s="7" t="s">
        <v>25</v>
      </c>
      <c r="J3664" s="13" t="str">
        <f>HYPERLINK("https://www.airitibooks.com/Detail/Detail?PublicationID=P20150807022", "https://www.airitibooks.com/Detail/Detail?PublicationID=P20150807022")</f>
        <v>https://www.airitibooks.com/Detail/Detail?PublicationID=P20150807022</v>
      </c>
      <c r="K3664" s="13" t="str">
        <f>HYPERLINK("https://ntsu.idm.oclc.org/login?url=https://www.airitibooks.com/Detail/Detail?PublicationID=P20150807022", "https://ntsu.idm.oclc.org/login?url=https://www.airitibooks.com/Detail/Detail?PublicationID=P20150807022")</f>
        <v>https://ntsu.idm.oclc.org/login?url=https://www.airitibooks.com/Detail/Detail?PublicationID=P20150807022</v>
      </c>
    </row>
    <row r="3665" spans="1:11" ht="51" x14ac:dyDescent="0.4">
      <c r="A3665" s="10" t="s">
        <v>2962</v>
      </c>
      <c r="B3665" s="10" t="s">
        <v>2963</v>
      </c>
      <c r="C3665" s="10" t="s">
        <v>428</v>
      </c>
      <c r="D3665" s="10" t="s">
        <v>2964</v>
      </c>
      <c r="E3665" s="10" t="s">
        <v>30</v>
      </c>
      <c r="F3665" s="10" t="s">
        <v>1208</v>
      </c>
      <c r="G3665" s="10" t="s">
        <v>87</v>
      </c>
      <c r="H3665" s="7" t="s">
        <v>24</v>
      </c>
      <c r="I3665" s="7" t="s">
        <v>25</v>
      </c>
      <c r="J3665" s="13" t="str">
        <f>HYPERLINK("https://www.airitibooks.com/Detail/Detail?PublicationID=P20150807023", "https://www.airitibooks.com/Detail/Detail?PublicationID=P20150807023")</f>
        <v>https://www.airitibooks.com/Detail/Detail?PublicationID=P20150807023</v>
      </c>
      <c r="K3665" s="13" t="str">
        <f>HYPERLINK("https://ntsu.idm.oclc.org/login?url=https://www.airitibooks.com/Detail/Detail?PublicationID=P20150807023", "https://ntsu.idm.oclc.org/login?url=https://www.airitibooks.com/Detail/Detail?PublicationID=P20150807023")</f>
        <v>https://ntsu.idm.oclc.org/login?url=https://www.airitibooks.com/Detail/Detail?PublicationID=P20150807023</v>
      </c>
    </row>
    <row r="3666" spans="1:11" ht="51" x14ac:dyDescent="0.4">
      <c r="A3666" s="10" t="s">
        <v>2970</v>
      </c>
      <c r="B3666" s="10" t="s">
        <v>2971</v>
      </c>
      <c r="C3666" s="10" t="s">
        <v>297</v>
      </c>
      <c r="D3666" s="10" t="s">
        <v>2972</v>
      </c>
      <c r="E3666" s="10" t="s">
        <v>30</v>
      </c>
      <c r="F3666" s="10" t="s">
        <v>475</v>
      </c>
      <c r="G3666" s="10" t="s">
        <v>87</v>
      </c>
      <c r="H3666" s="7" t="s">
        <v>24</v>
      </c>
      <c r="I3666" s="7" t="s">
        <v>25</v>
      </c>
      <c r="J3666" s="13" t="str">
        <f>HYPERLINK("https://www.airitibooks.com/Detail/Detail?PublicationID=P20150807029", "https://www.airitibooks.com/Detail/Detail?PublicationID=P20150807029")</f>
        <v>https://www.airitibooks.com/Detail/Detail?PublicationID=P20150807029</v>
      </c>
      <c r="K3666" s="13" t="str">
        <f>HYPERLINK("https://ntsu.idm.oclc.org/login?url=https://www.airitibooks.com/Detail/Detail?PublicationID=P20150807029", "https://ntsu.idm.oclc.org/login?url=https://www.airitibooks.com/Detail/Detail?PublicationID=P20150807029")</f>
        <v>https://ntsu.idm.oclc.org/login?url=https://www.airitibooks.com/Detail/Detail?PublicationID=P20150807029</v>
      </c>
    </row>
    <row r="3667" spans="1:11" ht="51" x14ac:dyDescent="0.4">
      <c r="A3667" s="10" t="s">
        <v>3104</v>
      </c>
      <c r="B3667" s="10" t="s">
        <v>3105</v>
      </c>
      <c r="C3667" s="10" t="s">
        <v>1271</v>
      </c>
      <c r="D3667" s="10" t="s">
        <v>3106</v>
      </c>
      <c r="E3667" s="10" t="s">
        <v>30</v>
      </c>
      <c r="F3667" s="10" t="s">
        <v>3107</v>
      </c>
      <c r="G3667" s="10" t="s">
        <v>87</v>
      </c>
      <c r="H3667" s="7" t="s">
        <v>24</v>
      </c>
      <c r="I3667" s="7" t="s">
        <v>25</v>
      </c>
      <c r="J3667" s="13" t="str">
        <f>HYPERLINK("https://www.airitibooks.com/Detail/Detail?PublicationID=P20150820134", "https://www.airitibooks.com/Detail/Detail?PublicationID=P20150820134")</f>
        <v>https://www.airitibooks.com/Detail/Detail?PublicationID=P20150820134</v>
      </c>
      <c r="K3667" s="13" t="str">
        <f>HYPERLINK("https://ntsu.idm.oclc.org/login?url=https://www.airitibooks.com/Detail/Detail?PublicationID=P20150820134", "https://ntsu.idm.oclc.org/login?url=https://www.airitibooks.com/Detail/Detail?PublicationID=P20150820134")</f>
        <v>https://ntsu.idm.oclc.org/login?url=https://www.airitibooks.com/Detail/Detail?PublicationID=P20150820134</v>
      </c>
    </row>
    <row r="3668" spans="1:11" ht="51" x14ac:dyDescent="0.4">
      <c r="A3668" s="10" t="s">
        <v>3166</v>
      </c>
      <c r="B3668" s="10" t="s">
        <v>3167</v>
      </c>
      <c r="C3668" s="10" t="s">
        <v>1271</v>
      </c>
      <c r="D3668" s="10" t="s">
        <v>3168</v>
      </c>
      <c r="E3668" s="10" t="s">
        <v>30</v>
      </c>
      <c r="F3668" s="10" t="s">
        <v>3169</v>
      </c>
      <c r="G3668" s="10" t="s">
        <v>87</v>
      </c>
      <c r="H3668" s="7" t="s">
        <v>24</v>
      </c>
      <c r="I3668" s="7" t="s">
        <v>25</v>
      </c>
      <c r="J3668" s="13" t="str">
        <f>HYPERLINK("https://www.airitibooks.com/Detail/Detail?PublicationID=P20150820152", "https://www.airitibooks.com/Detail/Detail?PublicationID=P20150820152")</f>
        <v>https://www.airitibooks.com/Detail/Detail?PublicationID=P20150820152</v>
      </c>
      <c r="K3668" s="13" t="str">
        <f>HYPERLINK("https://ntsu.idm.oclc.org/login?url=https://www.airitibooks.com/Detail/Detail?PublicationID=P20150820152", "https://ntsu.idm.oclc.org/login?url=https://www.airitibooks.com/Detail/Detail?PublicationID=P20150820152")</f>
        <v>https://ntsu.idm.oclc.org/login?url=https://www.airitibooks.com/Detail/Detail?PublicationID=P20150820152</v>
      </c>
    </row>
    <row r="3669" spans="1:11" ht="51" x14ac:dyDescent="0.4">
      <c r="A3669" s="10" t="s">
        <v>3170</v>
      </c>
      <c r="B3669" s="10" t="s">
        <v>3171</v>
      </c>
      <c r="C3669" s="10" t="s">
        <v>1271</v>
      </c>
      <c r="D3669" s="10" t="s">
        <v>3172</v>
      </c>
      <c r="E3669" s="10" t="s">
        <v>30</v>
      </c>
      <c r="F3669" s="10" t="s">
        <v>3173</v>
      </c>
      <c r="G3669" s="10" t="s">
        <v>87</v>
      </c>
      <c r="H3669" s="7" t="s">
        <v>24</v>
      </c>
      <c r="I3669" s="7" t="s">
        <v>25</v>
      </c>
      <c r="J3669" s="13" t="str">
        <f>HYPERLINK("https://www.airitibooks.com/Detail/Detail?PublicationID=P20150820153", "https://www.airitibooks.com/Detail/Detail?PublicationID=P20150820153")</f>
        <v>https://www.airitibooks.com/Detail/Detail?PublicationID=P20150820153</v>
      </c>
      <c r="K3669" s="13" t="str">
        <f>HYPERLINK("https://ntsu.idm.oclc.org/login?url=https://www.airitibooks.com/Detail/Detail?PublicationID=P20150820153", "https://ntsu.idm.oclc.org/login?url=https://www.airitibooks.com/Detail/Detail?PublicationID=P20150820153")</f>
        <v>https://ntsu.idm.oclc.org/login?url=https://www.airitibooks.com/Detail/Detail?PublicationID=P20150820153</v>
      </c>
    </row>
    <row r="3670" spans="1:11" ht="85" x14ac:dyDescent="0.4">
      <c r="A3670" s="10" t="s">
        <v>3282</v>
      </c>
      <c r="B3670" s="10" t="s">
        <v>3283</v>
      </c>
      <c r="C3670" s="10" t="s">
        <v>3280</v>
      </c>
      <c r="D3670" s="10" t="s">
        <v>3284</v>
      </c>
      <c r="E3670" s="10" t="s">
        <v>30</v>
      </c>
      <c r="F3670" s="10" t="s">
        <v>1208</v>
      </c>
      <c r="G3670" s="10" t="s">
        <v>87</v>
      </c>
      <c r="H3670" s="7" t="s">
        <v>24</v>
      </c>
      <c r="I3670" s="7" t="s">
        <v>25</v>
      </c>
      <c r="J3670" s="13" t="str">
        <f>HYPERLINK("https://www.airitibooks.com/Detail/Detail?PublicationID=P20150821137", "https://www.airitibooks.com/Detail/Detail?PublicationID=P20150821137")</f>
        <v>https://www.airitibooks.com/Detail/Detail?PublicationID=P20150821137</v>
      </c>
      <c r="K3670" s="13" t="str">
        <f>HYPERLINK("https://ntsu.idm.oclc.org/login?url=https://www.airitibooks.com/Detail/Detail?PublicationID=P20150821137", "https://ntsu.idm.oclc.org/login?url=https://www.airitibooks.com/Detail/Detail?PublicationID=P20150821137")</f>
        <v>https://ntsu.idm.oclc.org/login?url=https://www.airitibooks.com/Detail/Detail?PublicationID=P20150821137</v>
      </c>
    </row>
    <row r="3671" spans="1:11" ht="51" x14ac:dyDescent="0.4">
      <c r="A3671" s="10" t="s">
        <v>3329</v>
      </c>
      <c r="B3671" s="10" t="s">
        <v>3330</v>
      </c>
      <c r="C3671" s="10" t="s">
        <v>397</v>
      </c>
      <c r="D3671" s="10" t="s">
        <v>3331</v>
      </c>
      <c r="E3671" s="10" t="s">
        <v>30</v>
      </c>
      <c r="F3671" s="10" t="s">
        <v>399</v>
      </c>
      <c r="G3671" s="10" t="s">
        <v>87</v>
      </c>
      <c r="H3671" s="7" t="s">
        <v>24</v>
      </c>
      <c r="I3671" s="7" t="s">
        <v>25</v>
      </c>
      <c r="J3671" s="13" t="str">
        <f>HYPERLINK("https://www.airitibooks.com/Detail/Detail?PublicationID=P20150909037", "https://www.airitibooks.com/Detail/Detail?PublicationID=P20150909037")</f>
        <v>https://www.airitibooks.com/Detail/Detail?PublicationID=P20150909037</v>
      </c>
      <c r="K3671" s="13" t="str">
        <f>HYPERLINK("https://ntsu.idm.oclc.org/login?url=https://www.airitibooks.com/Detail/Detail?PublicationID=P20150909037", "https://ntsu.idm.oclc.org/login?url=https://www.airitibooks.com/Detail/Detail?PublicationID=P20150909037")</f>
        <v>https://ntsu.idm.oclc.org/login?url=https://www.airitibooks.com/Detail/Detail?PublicationID=P20150909037</v>
      </c>
    </row>
    <row r="3672" spans="1:11" ht="51" x14ac:dyDescent="0.4">
      <c r="A3672" s="10" t="s">
        <v>3336</v>
      </c>
      <c r="B3672" s="10" t="s">
        <v>3337</v>
      </c>
      <c r="C3672" s="10" t="s">
        <v>1253</v>
      </c>
      <c r="D3672" s="10" t="s">
        <v>2113</v>
      </c>
      <c r="E3672" s="10" t="s">
        <v>30</v>
      </c>
      <c r="F3672" s="10" t="s">
        <v>144</v>
      </c>
      <c r="G3672" s="10" t="s">
        <v>87</v>
      </c>
      <c r="H3672" s="7" t="s">
        <v>24</v>
      </c>
      <c r="I3672" s="7" t="s">
        <v>25</v>
      </c>
      <c r="J3672" s="13" t="str">
        <f>HYPERLINK("https://www.airitibooks.com/Detail/Detail?PublicationID=P20150909040", "https://www.airitibooks.com/Detail/Detail?PublicationID=P20150909040")</f>
        <v>https://www.airitibooks.com/Detail/Detail?PublicationID=P20150909040</v>
      </c>
      <c r="K3672" s="13" t="str">
        <f>HYPERLINK("https://ntsu.idm.oclc.org/login?url=https://www.airitibooks.com/Detail/Detail?PublicationID=P20150909040", "https://ntsu.idm.oclc.org/login?url=https://www.airitibooks.com/Detail/Detail?PublicationID=P20150909040")</f>
        <v>https://ntsu.idm.oclc.org/login?url=https://www.airitibooks.com/Detail/Detail?PublicationID=P20150909040</v>
      </c>
    </row>
    <row r="3673" spans="1:11" ht="85" x14ac:dyDescent="0.4">
      <c r="A3673" s="10" t="s">
        <v>3349</v>
      </c>
      <c r="B3673" s="10" t="s">
        <v>3350</v>
      </c>
      <c r="C3673" s="10" t="s">
        <v>568</v>
      </c>
      <c r="D3673" s="10" t="s">
        <v>3351</v>
      </c>
      <c r="E3673" s="10" t="s">
        <v>30</v>
      </c>
      <c r="F3673" s="10" t="s">
        <v>3352</v>
      </c>
      <c r="G3673" s="10" t="s">
        <v>87</v>
      </c>
      <c r="H3673" s="7" t="s">
        <v>24</v>
      </c>
      <c r="I3673" s="7" t="s">
        <v>25</v>
      </c>
      <c r="J3673" s="13" t="str">
        <f>HYPERLINK("https://www.airitibooks.com/Detail/Detail?PublicationID=P20150909071", "https://www.airitibooks.com/Detail/Detail?PublicationID=P20150909071")</f>
        <v>https://www.airitibooks.com/Detail/Detail?PublicationID=P20150909071</v>
      </c>
      <c r="K3673" s="13" t="str">
        <f>HYPERLINK("https://ntsu.idm.oclc.org/login?url=https://www.airitibooks.com/Detail/Detail?PublicationID=P20150909071", "https://ntsu.idm.oclc.org/login?url=https://www.airitibooks.com/Detail/Detail?PublicationID=P20150909071")</f>
        <v>https://ntsu.idm.oclc.org/login?url=https://www.airitibooks.com/Detail/Detail?PublicationID=P20150909071</v>
      </c>
    </row>
    <row r="3674" spans="1:11" ht="51" x14ac:dyDescent="0.4">
      <c r="A3674" s="10" t="s">
        <v>3357</v>
      </c>
      <c r="B3674" s="10" t="s">
        <v>3358</v>
      </c>
      <c r="C3674" s="10" t="s">
        <v>3359</v>
      </c>
      <c r="D3674" s="10" t="s">
        <v>3360</v>
      </c>
      <c r="E3674" s="10" t="s">
        <v>30</v>
      </c>
      <c r="F3674" s="10" t="s">
        <v>144</v>
      </c>
      <c r="G3674" s="10" t="s">
        <v>87</v>
      </c>
      <c r="H3674" s="7" t="s">
        <v>24</v>
      </c>
      <c r="I3674" s="7" t="s">
        <v>25</v>
      </c>
      <c r="J3674" s="13" t="str">
        <f>HYPERLINK("https://www.airitibooks.com/Detail/Detail?PublicationID=P20150910069", "https://www.airitibooks.com/Detail/Detail?PublicationID=P20150910069")</f>
        <v>https://www.airitibooks.com/Detail/Detail?PublicationID=P20150910069</v>
      </c>
      <c r="K3674" s="13" t="str">
        <f>HYPERLINK("https://ntsu.idm.oclc.org/login?url=https://www.airitibooks.com/Detail/Detail?PublicationID=P20150910069", "https://ntsu.idm.oclc.org/login?url=https://www.airitibooks.com/Detail/Detail?PublicationID=P20150910069")</f>
        <v>https://ntsu.idm.oclc.org/login?url=https://www.airitibooks.com/Detail/Detail?PublicationID=P20150910069</v>
      </c>
    </row>
    <row r="3675" spans="1:11" ht="51" x14ac:dyDescent="0.4">
      <c r="A3675" s="10" t="s">
        <v>3535</v>
      </c>
      <c r="B3675" s="10" t="s">
        <v>3536</v>
      </c>
      <c r="C3675" s="10" t="s">
        <v>428</v>
      </c>
      <c r="D3675" s="10" t="s">
        <v>429</v>
      </c>
      <c r="E3675" s="10" t="s">
        <v>30</v>
      </c>
      <c r="F3675" s="10" t="s">
        <v>1208</v>
      </c>
      <c r="G3675" s="10" t="s">
        <v>87</v>
      </c>
      <c r="H3675" s="7" t="s">
        <v>24</v>
      </c>
      <c r="I3675" s="7" t="s">
        <v>25</v>
      </c>
      <c r="J3675" s="13" t="str">
        <f>HYPERLINK("https://www.airitibooks.com/Detail/Detail?PublicationID=P20150921001", "https://www.airitibooks.com/Detail/Detail?PublicationID=P20150921001")</f>
        <v>https://www.airitibooks.com/Detail/Detail?PublicationID=P20150921001</v>
      </c>
      <c r="K3675" s="13" t="str">
        <f>HYPERLINK("https://ntsu.idm.oclc.org/login?url=https://www.airitibooks.com/Detail/Detail?PublicationID=P20150921001", "https://ntsu.idm.oclc.org/login?url=https://www.airitibooks.com/Detail/Detail?PublicationID=P20150921001")</f>
        <v>https://ntsu.idm.oclc.org/login?url=https://www.airitibooks.com/Detail/Detail?PublicationID=P20150921001</v>
      </c>
    </row>
    <row r="3676" spans="1:11" ht="51" x14ac:dyDescent="0.4">
      <c r="A3676" s="10" t="s">
        <v>3539</v>
      </c>
      <c r="B3676" s="10" t="s">
        <v>3540</v>
      </c>
      <c r="C3676" s="10" t="s">
        <v>297</v>
      </c>
      <c r="D3676" s="10" t="s">
        <v>3541</v>
      </c>
      <c r="E3676" s="10" t="s">
        <v>30</v>
      </c>
      <c r="F3676" s="10" t="s">
        <v>143</v>
      </c>
      <c r="G3676" s="10" t="s">
        <v>87</v>
      </c>
      <c r="H3676" s="7" t="s">
        <v>24</v>
      </c>
      <c r="I3676" s="7" t="s">
        <v>25</v>
      </c>
      <c r="J3676" s="13" t="str">
        <f>HYPERLINK("https://www.airitibooks.com/Detail/Detail?PublicationID=P20150921006", "https://www.airitibooks.com/Detail/Detail?PublicationID=P20150921006")</f>
        <v>https://www.airitibooks.com/Detail/Detail?PublicationID=P20150921006</v>
      </c>
      <c r="K3676" s="13" t="str">
        <f>HYPERLINK("https://ntsu.idm.oclc.org/login?url=https://www.airitibooks.com/Detail/Detail?PublicationID=P20150921006", "https://ntsu.idm.oclc.org/login?url=https://www.airitibooks.com/Detail/Detail?PublicationID=P20150921006")</f>
        <v>https://ntsu.idm.oclc.org/login?url=https://www.airitibooks.com/Detail/Detail?PublicationID=P20150921006</v>
      </c>
    </row>
    <row r="3677" spans="1:11" ht="51" x14ac:dyDescent="0.4">
      <c r="A3677" s="10" t="s">
        <v>3542</v>
      </c>
      <c r="B3677" s="10" t="s">
        <v>3543</v>
      </c>
      <c r="C3677" s="10" t="s">
        <v>297</v>
      </c>
      <c r="D3677" s="10" t="s">
        <v>3541</v>
      </c>
      <c r="E3677" s="10" t="s">
        <v>30</v>
      </c>
      <c r="F3677" s="10" t="s">
        <v>1707</v>
      </c>
      <c r="G3677" s="10" t="s">
        <v>87</v>
      </c>
      <c r="H3677" s="7" t="s">
        <v>24</v>
      </c>
      <c r="I3677" s="7" t="s">
        <v>25</v>
      </c>
      <c r="J3677" s="13" t="str">
        <f>HYPERLINK("https://www.airitibooks.com/Detail/Detail?PublicationID=P20150921007", "https://www.airitibooks.com/Detail/Detail?PublicationID=P20150921007")</f>
        <v>https://www.airitibooks.com/Detail/Detail?PublicationID=P20150921007</v>
      </c>
      <c r="K3677" s="13" t="str">
        <f>HYPERLINK("https://ntsu.idm.oclc.org/login?url=https://www.airitibooks.com/Detail/Detail?PublicationID=P20150921007", "https://ntsu.idm.oclc.org/login?url=https://www.airitibooks.com/Detail/Detail?PublicationID=P20150921007")</f>
        <v>https://ntsu.idm.oclc.org/login?url=https://www.airitibooks.com/Detail/Detail?PublicationID=P20150921007</v>
      </c>
    </row>
    <row r="3678" spans="1:11" ht="51" x14ac:dyDescent="0.4">
      <c r="A3678" s="10" t="s">
        <v>3551</v>
      </c>
      <c r="B3678" s="10" t="s">
        <v>3552</v>
      </c>
      <c r="C3678" s="10" t="s">
        <v>297</v>
      </c>
      <c r="D3678" s="10" t="s">
        <v>3553</v>
      </c>
      <c r="E3678" s="10" t="s">
        <v>30</v>
      </c>
      <c r="F3678" s="10" t="s">
        <v>475</v>
      </c>
      <c r="G3678" s="10" t="s">
        <v>87</v>
      </c>
      <c r="H3678" s="7" t="s">
        <v>24</v>
      </c>
      <c r="I3678" s="7" t="s">
        <v>25</v>
      </c>
      <c r="J3678" s="13" t="str">
        <f>HYPERLINK("https://www.airitibooks.com/Detail/Detail?PublicationID=P20150921014", "https://www.airitibooks.com/Detail/Detail?PublicationID=P20150921014")</f>
        <v>https://www.airitibooks.com/Detail/Detail?PublicationID=P20150921014</v>
      </c>
      <c r="K3678" s="13" t="str">
        <f>HYPERLINK("https://ntsu.idm.oclc.org/login?url=https://www.airitibooks.com/Detail/Detail?PublicationID=P20150921014", "https://ntsu.idm.oclc.org/login?url=https://www.airitibooks.com/Detail/Detail?PublicationID=P20150921014")</f>
        <v>https://ntsu.idm.oclc.org/login?url=https://www.airitibooks.com/Detail/Detail?PublicationID=P20150921014</v>
      </c>
    </row>
    <row r="3679" spans="1:11" ht="51" x14ac:dyDescent="0.4">
      <c r="A3679" s="10" t="s">
        <v>3570</v>
      </c>
      <c r="B3679" s="10" t="s">
        <v>3571</v>
      </c>
      <c r="C3679" s="10" t="s">
        <v>439</v>
      </c>
      <c r="D3679" s="10" t="s">
        <v>3572</v>
      </c>
      <c r="E3679" s="10" t="s">
        <v>30</v>
      </c>
      <c r="F3679" s="10" t="s">
        <v>144</v>
      </c>
      <c r="G3679" s="10" t="s">
        <v>87</v>
      </c>
      <c r="H3679" s="7" t="s">
        <v>24</v>
      </c>
      <c r="I3679" s="7" t="s">
        <v>25</v>
      </c>
      <c r="J3679" s="13" t="str">
        <f>HYPERLINK("https://www.airitibooks.com/Detail/Detail?PublicationID=P20150921023", "https://www.airitibooks.com/Detail/Detail?PublicationID=P20150921023")</f>
        <v>https://www.airitibooks.com/Detail/Detail?PublicationID=P20150921023</v>
      </c>
      <c r="K3679" s="13" t="str">
        <f>HYPERLINK("https://ntsu.idm.oclc.org/login?url=https://www.airitibooks.com/Detail/Detail?PublicationID=P20150921023", "https://ntsu.idm.oclc.org/login?url=https://www.airitibooks.com/Detail/Detail?PublicationID=P20150921023")</f>
        <v>https://ntsu.idm.oclc.org/login?url=https://www.airitibooks.com/Detail/Detail?PublicationID=P20150921023</v>
      </c>
    </row>
    <row r="3680" spans="1:11" ht="51" x14ac:dyDescent="0.4">
      <c r="A3680" s="10" t="s">
        <v>3660</v>
      </c>
      <c r="B3680" s="10" t="s">
        <v>3661</v>
      </c>
      <c r="C3680" s="10" t="s">
        <v>2367</v>
      </c>
      <c r="D3680" s="10" t="s">
        <v>3662</v>
      </c>
      <c r="E3680" s="10" t="s">
        <v>30</v>
      </c>
      <c r="F3680" s="10" t="s">
        <v>2982</v>
      </c>
      <c r="G3680" s="10" t="s">
        <v>87</v>
      </c>
      <c r="H3680" s="7" t="s">
        <v>24</v>
      </c>
      <c r="I3680" s="7" t="s">
        <v>25</v>
      </c>
      <c r="J3680" s="13" t="str">
        <f>HYPERLINK("https://www.airitibooks.com/Detail/Detail?PublicationID=P20150922048", "https://www.airitibooks.com/Detail/Detail?PublicationID=P20150922048")</f>
        <v>https://www.airitibooks.com/Detail/Detail?PublicationID=P20150922048</v>
      </c>
      <c r="K3680" s="13" t="str">
        <f>HYPERLINK("https://ntsu.idm.oclc.org/login?url=https://www.airitibooks.com/Detail/Detail?PublicationID=P20150922048", "https://ntsu.idm.oclc.org/login?url=https://www.airitibooks.com/Detail/Detail?PublicationID=P20150922048")</f>
        <v>https://ntsu.idm.oclc.org/login?url=https://www.airitibooks.com/Detail/Detail?PublicationID=P20150922048</v>
      </c>
    </row>
    <row r="3681" spans="1:11" ht="102" x14ac:dyDescent="0.4">
      <c r="A3681" s="10" t="s">
        <v>3866</v>
      </c>
      <c r="B3681" s="10" t="s">
        <v>3867</v>
      </c>
      <c r="C3681" s="10" t="s">
        <v>3863</v>
      </c>
      <c r="D3681" s="10" t="s">
        <v>3868</v>
      </c>
      <c r="E3681" s="10" t="s">
        <v>30</v>
      </c>
      <c r="F3681" s="10" t="s">
        <v>3869</v>
      </c>
      <c r="G3681" s="10" t="s">
        <v>87</v>
      </c>
      <c r="H3681" s="7" t="s">
        <v>24</v>
      </c>
      <c r="I3681" s="7" t="s">
        <v>25</v>
      </c>
      <c r="J3681" s="13" t="str">
        <f>HYPERLINK("https://www.airitibooks.com/Detail/Detail?PublicationID=P20151110055", "https://www.airitibooks.com/Detail/Detail?PublicationID=P20151110055")</f>
        <v>https://www.airitibooks.com/Detail/Detail?PublicationID=P20151110055</v>
      </c>
      <c r="K3681" s="13" t="str">
        <f>HYPERLINK("https://ntsu.idm.oclc.org/login?url=https://www.airitibooks.com/Detail/Detail?PublicationID=P20151110055", "https://ntsu.idm.oclc.org/login?url=https://www.airitibooks.com/Detail/Detail?PublicationID=P20151110055")</f>
        <v>https://ntsu.idm.oclc.org/login?url=https://www.airitibooks.com/Detail/Detail?PublicationID=P20151110055</v>
      </c>
    </row>
    <row r="3682" spans="1:11" ht="187" x14ac:dyDescent="0.4">
      <c r="A3682" s="10" t="s">
        <v>3874</v>
      </c>
      <c r="B3682" s="10" t="s">
        <v>3875</v>
      </c>
      <c r="C3682" s="10" t="s">
        <v>3863</v>
      </c>
      <c r="D3682" s="10" t="s">
        <v>3876</v>
      </c>
      <c r="E3682" s="10" t="s">
        <v>30</v>
      </c>
      <c r="F3682" s="10" t="s">
        <v>3877</v>
      </c>
      <c r="G3682" s="10" t="s">
        <v>87</v>
      </c>
      <c r="H3682" s="7" t="s">
        <v>24</v>
      </c>
      <c r="I3682" s="7" t="s">
        <v>25</v>
      </c>
      <c r="J3682" s="13" t="str">
        <f>HYPERLINK("https://www.airitibooks.com/Detail/Detail?PublicationID=P20151110058", "https://www.airitibooks.com/Detail/Detail?PublicationID=P20151110058")</f>
        <v>https://www.airitibooks.com/Detail/Detail?PublicationID=P20151110058</v>
      </c>
      <c r="K3682" s="13" t="str">
        <f>HYPERLINK("https://ntsu.idm.oclc.org/login?url=https://www.airitibooks.com/Detail/Detail?PublicationID=P20151110058", "https://ntsu.idm.oclc.org/login?url=https://www.airitibooks.com/Detail/Detail?PublicationID=P20151110058")</f>
        <v>https://ntsu.idm.oclc.org/login?url=https://www.airitibooks.com/Detail/Detail?PublicationID=P20151110058</v>
      </c>
    </row>
    <row r="3683" spans="1:11" ht="51" x14ac:dyDescent="0.4">
      <c r="A3683" s="10" t="s">
        <v>4001</v>
      </c>
      <c r="B3683" s="10" t="s">
        <v>4002</v>
      </c>
      <c r="C3683" s="10" t="s">
        <v>1253</v>
      </c>
      <c r="D3683" s="10" t="s">
        <v>4003</v>
      </c>
      <c r="E3683" s="10" t="s">
        <v>30</v>
      </c>
      <c r="F3683" s="10" t="s">
        <v>1286</v>
      </c>
      <c r="G3683" s="10" t="s">
        <v>87</v>
      </c>
      <c r="H3683" s="7" t="s">
        <v>24</v>
      </c>
      <c r="I3683" s="7" t="s">
        <v>25</v>
      </c>
      <c r="J3683" s="13" t="str">
        <f>HYPERLINK("https://www.airitibooks.com/Detail/Detail?PublicationID=P20151201421", "https://www.airitibooks.com/Detail/Detail?PublicationID=P20151201421")</f>
        <v>https://www.airitibooks.com/Detail/Detail?PublicationID=P20151201421</v>
      </c>
      <c r="K3683" s="13" t="str">
        <f>HYPERLINK("https://ntsu.idm.oclc.org/login?url=https://www.airitibooks.com/Detail/Detail?PublicationID=P20151201421", "https://ntsu.idm.oclc.org/login?url=https://www.airitibooks.com/Detail/Detail?PublicationID=P20151201421")</f>
        <v>https://ntsu.idm.oclc.org/login?url=https://www.airitibooks.com/Detail/Detail?PublicationID=P20151201421</v>
      </c>
    </row>
    <row r="3684" spans="1:11" ht="51" x14ac:dyDescent="0.4">
      <c r="A3684" s="10" t="s">
        <v>4006</v>
      </c>
      <c r="B3684" s="10" t="s">
        <v>4007</v>
      </c>
      <c r="C3684" s="10" t="s">
        <v>1253</v>
      </c>
      <c r="D3684" s="10" t="s">
        <v>1963</v>
      </c>
      <c r="E3684" s="10" t="s">
        <v>30</v>
      </c>
      <c r="F3684" s="10" t="s">
        <v>144</v>
      </c>
      <c r="G3684" s="10" t="s">
        <v>87</v>
      </c>
      <c r="H3684" s="7" t="s">
        <v>24</v>
      </c>
      <c r="I3684" s="7" t="s">
        <v>25</v>
      </c>
      <c r="J3684" s="13" t="str">
        <f>HYPERLINK("https://www.airitibooks.com/Detail/Detail?PublicationID=P20151201424", "https://www.airitibooks.com/Detail/Detail?PublicationID=P20151201424")</f>
        <v>https://www.airitibooks.com/Detail/Detail?PublicationID=P20151201424</v>
      </c>
      <c r="K3684" s="13" t="str">
        <f>HYPERLINK("https://ntsu.idm.oclc.org/login?url=https://www.airitibooks.com/Detail/Detail?PublicationID=P20151201424", "https://ntsu.idm.oclc.org/login?url=https://www.airitibooks.com/Detail/Detail?PublicationID=P20151201424")</f>
        <v>https://ntsu.idm.oclc.org/login?url=https://www.airitibooks.com/Detail/Detail?PublicationID=P20151201424</v>
      </c>
    </row>
    <row r="3685" spans="1:11" ht="51" x14ac:dyDescent="0.4">
      <c r="A3685" s="10" t="s">
        <v>4042</v>
      </c>
      <c r="B3685" s="10" t="s">
        <v>4043</v>
      </c>
      <c r="C3685" s="10" t="s">
        <v>938</v>
      </c>
      <c r="D3685" s="10" t="s">
        <v>4044</v>
      </c>
      <c r="E3685" s="10" t="s">
        <v>30</v>
      </c>
      <c r="F3685" s="10" t="s">
        <v>4045</v>
      </c>
      <c r="G3685" s="10" t="s">
        <v>87</v>
      </c>
      <c r="H3685" s="7" t="s">
        <v>24</v>
      </c>
      <c r="I3685" s="7" t="s">
        <v>25</v>
      </c>
      <c r="J3685" s="13" t="str">
        <f>HYPERLINK("https://www.airitibooks.com/Detail/Detail?PublicationID=P20151204029", "https://www.airitibooks.com/Detail/Detail?PublicationID=P20151204029")</f>
        <v>https://www.airitibooks.com/Detail/Detail?PublicationID=P20151204029</v>
      </c>
      <c r="K3685" s="13" t="str">
        <f>HYPERLINK("https://ntsu.idm.oclc.org/login?url=https://www.airitibooks.com/Detail/Detail?PublicationID=P20151204029", "https://ntsu.idm.oclc.org/login?url=https://www.airitibooks.com/Detail/Detail?PublicationID=P20151204029")</f>
        <v>https://ntsu.idm.oclc.org/login?url=https://www.airitibooks.com/Detail/Detail?PublicationID=P20151204029</v>
      </c>
    </row>
    <row r="3686" spans="1:11" ht="51" x14ac:dyDescent="0.4">
      <c r="A3686" s="10" t="s">
        <v>4046</v>
      </c>
      <c r="B3686" s="10" t="s">
        <v>4047</v>
      </c>
      <c r="C3686" s="10" t="s">
        <v>439</v>
      </c>
      <c r="D3686" s="10" t="s">
        <v>2094</v>
      </c>
      <c r="E3686" s="10" t="s">
        <v>30</v>
      </c>
      <c r="F3686" s="10" t="s">
        <v>399</v>
      </c>
      <c r="G3686" s="10" t="s">
        <v>87</v>
      </c>
      <c r="H3686" s="7" t="s">
        <v>24</v>
      </c>
      <c r="I3686" s="7" t="s">
        <v>25</v>
      </c>
      <c r="J3686" s="13" t="str">
        <f>HYPERLINK("https://www.airitibooks.com/Detail/Detail?PublicationID=P20151204043", "https://www.airitibooks.com/Detail/Detail?PublicationID=P20151204043")</f>
        <v>https://www.airitibooks.com/Detail/Detail?PublicationID=P20151204043</v>
      </c>
      <c r="K3686" s="13" t="str">
        <f>HYPERLINK("https://ntsu.idm.oclc.org/login?url=https://www.airitibooks.com/Detail/Detail?PublicationID=P20151204043", "https://ntsu.idm.oclc.org/login?url=https://www.airitibooks.com/Detail/Detail?PublicationID=P20151204043")</f>
        <v>https://ntsu.idm.oclc.org/login?url=https://www.airitibooks.com/Detail/Detail?PublicationID=P20151204043</v>
      </c>
    </row>
    <row r="3687" spans="1:11" ht="51" x14ac:dyDescent="0.4">
      <c r="A3687" s="10" t="s">
        <v>4048</v>
      </c>
      <c r="B3687" s="10" t="s">
        <v>4049</v>
      </c>
      <c r="C3687" s="10" t="s">
        <v>428</v>
      </c>
      <c r="D3687" s="10" t="s">
        <v>4050</v>
      </c>
      <c r="E3687" s="10" t="s">
        <v>30</v>
      </c>
      <c r="F3687" s="10" t="s">
        <v>144</v>
      </c>
      <c r="G3687" s="10" t="s">
        <v>87</v>
      </c>
      <c r="H3687" s="7" t="s">
        <v>24</v>
      </c>
      <c r="I3687" s="7" t="s">
        <v>25</v>
      </c>
      <c r="J3687" s="13" t="str">
        <f>HYPERLINK("https://www.airitibooks.com/Detail/Detail?PublicationID=P20151204044", "https://www.airitibooks.com/Detail/Detail?PublicationID=P20151204044")</f>
        <v>https://www.airitibooks.com/Detail/Detail?PublicationID=P20151204044</v>
      </c>
      <c r="K3687" s="13" t="str">
        <f>HYPERLINK("https://ntsu.idm.oclc.org/login?url=https://www.airitibooks.com/Detail/Detail?PublicationID=P20151204044", "https://ntsu.idm.oclc.org/login?url=https://www.airitibooks.com/Detail/Detail?PublicationID=P20151204044")</f>
        <v>https://ntsu.idm.oclc.org/login?url=https://www.airitibooks.com/Detail/Detail?PublicationID=P20151204044</v>
      </c>
    </row>
    <row r="3688" spans="1:11" ht="51" x14ac:dyDescent="0.4">
      <c r="A3688" s="10" t="s">
        <v>4051</v>
      </c>
      <c r="B3688" s="10" t="s">
        <v>4052</v>
      </c>
      <c r="C3688" s="10" t="s">
        <v>428</v>
      </c>
      <c r="D3688" s="10" t="s">
        <v>2106</v>
      </c>
      <c r="E3688" s="10" t="s">
        <v>30</v>
      </c>
      <c r="F3688" s="10" t="s">
        <v>1208</v>
      </c>
      <c r="G3688" s="10" t="s">
        <v>87</v>
      </c>
      <c r="H3688" s="7" t="s">
        <v>24</v>
      </c>
      <c r="I3688" s="7" t="s">
        <v>25</v>
      </c>
      <c r="J3688" s="13" t="str">
        <f>HYPERLINK("https://www.airitibooks.com/Detail/Detail?PublicationID=P20151204045", "https://www.airitibooks.com/Detail/Detail?PublicationID=P20151204045")</f>
        <v>https://www.airitibooks.com/Detail/Detail?PublicationID=P20151204045</v>
      </c>
      <c r="K3688" s="13" t="str">
        <f>HYPERLINK("https://ntsu.idm.oclc.org/login?url=https://www.airitibooks.com/Detail/Detail?PublicationID=P20151204045", "https://ntsu.idm.oclc.org/login?url=https://www.airitibooks.com/Detail/Detail?PublicationID=P20151204045")</f>
        <v>https://ntsu.idm.oclc.org/login?url=https://www.airitibooks.com/Detail/Detail?PublicationID=P20151204045</v>
      </c>
    </row>
    <row r="3689" spans="1:11" ht="51" x14ac:dyDescent="0.4">
      <c r="A3689" s="10" t="s">
        <v>4053</v>
      </c>
      <c r="B3689" s="10" t="s">
        <v>4054</v>
      </c>
      <c r="C3689" s="10" t="s">
        <v>428</v>
      </c>
      <c r="D3689" s="10" t="s">
        <v>2964</v>
      </c>
      <c r="E3689" s="10" t="s">
        <v>30</v>
      </c>
      <c r="F3689" s="10" t="s">
        <v>4055</v>
      </c>
      <c r="G3689" s="10" t="s">
        <v>87</v>
      </c>
      <c r="H3689" s="7" t="s">
        <v>24</v>
      </c>
      <c r="I3689" s="7" t="s">
        <v>25</v>
      </c>
      <c r="J3689" s="13" t="str">
        <f>HYPERLINK("https://www.airitibooks.com/Detail/Detail?PublicationID=P20151204046", "https://www.airitibooks.com/Detail/Detail?PublicationID=P20151204046")</f>
        <v>https://www.airitibooks.com/Detail/Detail?PublicationID=P20151204046</v>
      </c>
      <c r="K3689" s="13" t="str">
        <f>HYPERLINK("https://ntsu.idm.oclc.org/login?url=https://www.airitibooks.com/Detail/Detail?PublicationID=P20151204046", "https://ntsu.idm.oclc.org/login?url=https://www.airitibooks.com/Detail/Detail?PublicationID=P20151204046")</f>
        <v>https://ntsu.idm.oclc.org/login?url=https://www.airitibooks.com/Detail/Detail?PublicationID=P20151204046</v>
      </c>
    </row>
    <row r="3690" spans="1:11" ht="51" x14ac:dyDescent="0.4">
      <c r="A3690" s="10" t="s">
        <v>4056</v>
      </c>
      <c r="B3690" s="10" t="s">
        <v>4057</v>
      </c>
      <c r="C3690" s="10" t="s">
        <v>428</v>
      </c>
      <c r="D3690" s="10" t="s">
        <v>2106</v>
      </c>
      <c r="E3690" s="10" t="s">
        <v>30</v>
      </c>
      <c r="F3690" s="10" t="s">
        <v>1208</v>
      </c>
      <c r="G3690" s="10" t="s">
        <v>87</v>
      </c>
      <c r="H3690" s="7" t="s">
        <v>24</v>
      </c>
      <c r="I3690" s="7" t="s">
        <v>25</v>
      </c>
      <c r="J3690" s="13" t="str">
        <f>HYPERLINK("https://www.airitibooks.com/Detail/Detail?PublicationID=P20151204048", "https://www.airitibooks.com/Detail/Detail?PublicationID=P20151204048")</f>
        <v>https://www.airitibooks.com/Detail/Detail?PublicationID=P20151204048</v>
      </c>
      <c r="K3690" s="13" t="str">
        <f>HYPERLINK("https://ntsu.idm.oclc.org/login?url=https://www.airitibooks.com/Detail/Detail?PublicationID=P20151204048", "https://ntsu.idm.oclc.org/login?url=https://www.airitibooks.com/Detail/Detail?PublicationID=P20151204048")</f>
        <v>https://ntsu.idm.oclc.org/login?url=https://www.airitibooks.com/Detail/Detail?PublicationID=P20151204048</v>
      </c>
    </row>
    <row r="3691" spans="1:11" ht="51" x14ac:dyDescent="0.4">
      <c r="A3691" s="10" t="s">
        <v>4058</v>
      </c>
      <c r="B3691" s="10" t="s">
        <v>4059</v>
      </c>
      <c r="C3691" s="10" t="s">
        <v>428</v>
      </c>
      <c r="D3691" s="10" t="s">
        <v>4060</v>
      </c>
      <c r="E3691" s="10" t="s">
        <v>30</v>
      </c>
      <c r="F3691" s="10" t="s">
        <v>4055</v>
      </c>
      <c r="G3691" s="10" t="s">
        <v>87</v>
      </c>
      <c r="H3691" s="7" t="s">
        <v>24</v>
      </c>
      <c r="I3691" s="7" t="s">
        <v>25</v>
      </c>
      <c r="J3691" s="13" t="str">
        <f>HYPERLINK("https://www.airitibooks.com/Detail/Detail?PublicationID=P20151204049", "https://www.airitibooks.com/Detail/Detail?PublicationID=P20151204049")</f>
        <v>https://www.airitibooks.com/Detail/Detail?PublicationID=P20151204049</v>
      </c>
      <c r="K3691" s="13" t="str">
        <f>HYPERLINK("https://ntsu.idm.oclc.org/login?url=https://www.airitibooks.com/Detail/Detail?PublicationID=P20151204049", "https://ntsu.idm.oclc.org/login?url=https://www.airitibooks.com/Detail/Detail?PublicationID=P20151204049")</f>
        <v>https://ntsu.idm.oclc.org/login?url=https://www.airitibooks.com/Detail/Detail?PublicationID=P20151204049</v>
      </c>
    </row>
    <row r="3692" spans="1:11" ht="51" x14ac:dyDescent="0.4">
      <c r="A3692" s="10" t="s">
        <v>4072</v>
      </c>
      <c r="B3692" s="10" t="s">
        <v>4073</v>
      </c>
      <c r="C3692" s="10" t="s">
        <v>212</v>
      </c>
      <c r="D3692" s="10" t="s">
        <v>4074</v>
      </c>
      <c r="E3692" s="10" t="s">
        <v>30</v>
      </c>
      <c r="F3692" s="10" t="s">
        <v>144</v>
      </c>
      <c r="G3692" s="10" t="s">
        <v>87</v>
      </c>
      <c r="H3692" s="7" t="s">
        <v>24</v>
      </c>
      <c r="I3692" s="7" t="s">
        <v>25</v>
      </c>
      <c r="J3692" s="13" t="str">
        <f>HYPERLINK("https://www.airitibooks.com/Detail/Detail?PublicationID=P20151204058", "https://www.airitibooks.com/Detail/Detail?PublicationID=P20151204058")</f>
        <v>https://www.airitibooks.com/Detail/Detail?PublicationID=P20151204058</v>
      </c>
      <c r="K3692" s="13" t="str">
        <f>HYPERLINK("https://ntsu.idm.oclc.org/login?url=https://www.airitibooks.com/Detail/Detail?PublicationID=P20151204058", "https://ntsu.idm.oclc.org/login?url=https://www.airitibooks.com/Detail/Detail?PublicationID=P20151204058")</f>
        <v>https://ntsu.idm.oclc.org/login?url=https://www.airitibooks.com/Detail/Detail?PublicationID=P20151204058</v>
      </c>
    </row>
    <row r="3693" spans="1:11" ht="51" x14ac:dyDescent="0.4">
      <c r="A3693" s="10" t="s">
        <v>4123</v>
      </c>
      <c r="B3693" s="10" t="s">
        <v>4124</v>
      </c>
      <c r="C3693" s="10" t="s">
        <v>938</v>
      </c>
      <c r="D3693" s="10" t="s">
        <v>2142</v>
      </c>
      <c r="E3693" s="10" t="s">
        <v>30</v>
      </c>
      <c r="F3693" s="10" t="s">
        <v>4125</v>
      </c>
      <c r="G3693" s="10" t="s">
        <v>87</v>
      </c>
      <c r="H3693" s="7" t="s">
        <v>24</v>
      </c>
      <c r="I3693" s="7" t="s">
        <v>25</v>
      </c>
      <c r="J3693" s="13" t="str">
        <f>HYPERLINK("https://www.airitibooks.com/Detail/Detail?PublicationID=P20160104002", "https://www.airitibooks.com/Detail/Detail?PublicationID=P20160104002")</f>
        <v>https://www.airitibooks.com/Detail/Detail?PublicationID=P20160104002</v>
      </c>
      <c r="K3693" s="13" t="str">
        <f>HYPERLINK("https://ntsu.idm.oclc.org/login?url=https://www.airitibooks.com/Detail/Detail?PublicationID=P20160104002", "https://ntsu.idm.oclc.org/login?url=https://www.airitibooks.com/Detail/Detail?PublicationID=P20160104002")</f>
        <v>https://ntsu.idm.oclc.org/login?url=https://www.airitibooks.com/Detail/Detail?PublicationID=P20160104002</v>
      </c>
    </row>
    <row r="3694" spans="1:11" ht="68" x14ac:dyDescent="0.4">
      <c r="A3694" s="10" t="s">
        <v>4132</v>
      </c>
      <c r="B3694" s="10" t="s">
        <v>4133</v>
      </c>
      <c r="C3694" s="10" t="s">
        <v>130</v>
      </c>
      <c r="D3694" s="10" t="s">
        <v>4134</v>
      </c>
      <c r="E3694" s="10" t="s">
        <v>30</v>
      </c>
      <c r="F3694" s="10" t="s">
        <v>144</v>
      </c>
      <c r="G3694" s="10" t="s">
        <v>87</v>
      </c>
      <c r="H3694" s="7" t="s">
        <v>24</v>
      </c>
      <c r="I3694" s="7" t="s">
        <v>25</v>
      </c>
      <c r="J3694" s="13" t="str">
        <f>HYPERLINK("https://www.airitibooks.com/Detail/Detail?PublicationID=P20160224033", "https://www.airitibooks.com/Detail/Detail?PublicationID=P20160224033")</f>
        <v>https://www.airitibooks.com/Detail/Detail?PublicationID=P20160224033</v>
      </c>
      <c r="K3694" s="13" t="str">
        <f>HYPERLINK("https://ntsu.idm.oclc.org/login?url=https://www.airitibooks.com/Detail/Detail?PublicationID=P20160224033", "https://ntsu.idm.oclc.org/login?url=https://www.airitibooks.com/Detail/Detail?PublicationID=P20160224033")</f>
        <v>https://ntsu.idm.oclc.org/login?url=https://www.airitibooks.com/Detail/Detail?PublicationID=P20160224033</v>
      </c>
    </row>
    <row r="3695" spans="1:11" ht="51" x14ac:dyDescent="0.4">
      <c r="A3695" s="10" t="s">
        <v>4137</v>
      </c>
      <c r="B3695" s="10" t="s">
        <v>4138</v>
      </c>
      <c r="C3695" s="10" t="s">
        <v>130</v>
      </c>
      <c r="D3695" s="10" t="s">
        <v>4139</v>
      </c>
      <c r="E3695" s="10" t="s">
        <v>30</v>
      </c>
      <c r="F3695" s="10" t="s">
        <v>4055</v>
      </c>
      <c r="G3695" s="10" t="s">
        <v>87</v>
      </c>
      <c r="H3695" s="7" t="s">
        <v>24</v>
      </c>
      <c r="I3695" s="7" t="s">
        <v>25</v>
      </c>
      <c r="J3695" s="13" t="str">
        <f>HYPERLINK("https://www.airitibooks.com/Detail/Detail?PublicationID=P20160224036", "https://www.airitibooks.com/Detail/Detail?PublicationID=P20160224036")</f>
        <v>https://www.airitibooks.com/Detail/Detail?PublicationID=P20160224036</v>
      </c>
      <c r="K3695" s="13" t="str">
        <f>HYPERLINK("https://ntsu.idm.oclc.org/login?url=https://www.airitibooks.com/Detail/Detail?PublicationID=P20160224036", "https://ntsu.idm.oclc.org/login?url=https://www.airitibooks.com/Detail/Detail?PublicationID=P20160224036")</f>
        <v>https://ntsu.idm.oclc.org/login?url=https://www.airitibooks.com/Detail/Detail?PublicationID=P20160224036</v>
      </c>
    </row>
    <row r="3696" spans="1:11" ht="51" x14ac:dyDescent="0.4">
      <c r="A3696" s="10" t="s">
        <v>4159</v>
      </c>
      <c r="B3696" s="10" t="s">
        <v>4160</v>
      </c>
      <c r="C3696" s="10" t="s">
        <v>130</v>
      </c>
      <c r="D3696" s="10" t="s">
        <v>4161</v>
      </c>
      <c r="E3696" s="10" t="s">
        <v>30</v>
      </c>
      <c r="F3696" s="10" t="s">
        <v>144</v>
      </c>
      <c r="G3696" s="10" t="s">
        <v>87</v>
      </c>
      <c r="H3696" s="7" t="s">
        <v>24</v>
      </c>
      <c r="I3696" s="7" t="s">
        <v>25</v>
      </c>
      <c r="J3696" s="13" t="str">
        <f>HYPERLINK("https://www.airitibooks.com/Detail/Detail?PublicationID=P20160224043", "https://www.airitibooks.com/Detail/Detail?PublicationID=P20160224043")</f>
        <v>https://www.airitibooks.com/Detail/Detail?PublicationID=P20160224043</v>
      </c>
      <c r="K3696" s="13" t="str">
        <f>HYPERLINK("https://ntsu.idm.oclc.org/login?url=https://www.airitibooks.com/Detail/Detail?PublicationID=P20160224043", "https://ntsu.idm.oclc.org/login?url=https://www.airitibooks.com/Detail/Detail?PublicationID=P20160224043")</f>
        <v>https://ntsu.idm.oclc.org/login?url=https://www.airitibooks.com/Detail/Detail?PublicationID=P20160224043</v>
      </c>
    </row>
    <row r="3697" spans="1:11" ht="51" x14ac:dyDescent="0.4">
      <c r="A3697" s="10" t="s">
        <v>4165</v>
      </c>
      <c r="B3697" s="10" t="s">
        <v>4166</v>
      </c>
      <c r="C3697" s="10" t="s">
        <v>130</v>
      </c>
      <c r="D3697" s="10" t="s">
        <v>4167</v>
      </c>
      <c r="E3697" s="10" t="s">
        <v>30</v>
      </c>
      <c r="F3697" s="10" t="s">
        <v>399</v>
      </c>
      <c r="G3697" s="10" t="s">
        <v>87</v>
      </c>
      <c r="H3697" s="7" t="s">
        <v>24</v>
      </c>
      <c r="I3697" s="7" t="s">
        <v>25</v>
      </c>
      <c r="J3697" s="13" t="str">
        <f>HYPERLINK("https://www.airitibooks.com/Detail/Detail?PublicationID=P20160224045", "https://www.airitibooks.com/Detail/Detail?PublicationID=P20160224045")</f>
        <v>https://www.airitibooks.com/Detail/Detail?PublicationID=P20160224045</v>
      </c>
      <c r="K3697" s="13" t="str">
        <f>HYPERLINK("https://ntsu.idm.oclc.org/login?url=https://www.airitibooks.com/Detail/Detail?PublicationID=P20160224045", "https://ntsu.idm.oclc.org/login?url=https://www.airitibooks.com/Detail/Detail?PublicationID=P20160224045")</f>
        <v>https://ntsu.idm.oclc.org/login?url=https://www.airitibooks.com/Detail/Detail?PublicationID=P20160224045</v>
      </c>
    </row>
    <row r="3698" spans="1:11" ht="51" x14ac:dyDescent="0.4">
      <c r="A3698" s="10" t="s">
        <v>4168</v>
      </c>
      <c r="B3698" s="10" t="s">
        <v>4169</v>
      </c>
      <c r="C3698" s="10" t="s">
        <v>130</v>
      </c>
      <c r="D3698" s="10" t="s">
        <v>4170</v>
      </c>
      <c r="E3698" s="10" t="s">
        <v>30</v>
      </c>
      <c r="F3698" s="10" t="s">
        <v>399</v>
      </c>
      <c r="G3698" s="10" t="s">
        <v>87</v>
      </c>
      <c r="H3698" s="7" t="s">
        <v>24</v>
      </c>
      <c r="I3698" s="7" t="s">
        <v>25</v>
      </c>
      <c r="J3698" s="13" t="str">
        <f>HYPERLINK("https://www.airitibooks.com/Detail/Detail?PublicationID=P20160224047", "https://www.airitibooks.com/Detail/Detail?PublicationID=P20160224047")</f>
        <v>https://www.airitibooks.com/Detail/Detail?PublicationID=P20160224047</v>
      </c>
      <c r="K3698" s="13" t="str">
        <f>HYPERLINK("https://ntsu.idm.oclc.org/login?url=https://www.airitibooks.com/Detail/Detail?PublicationID=P20160224047", "https://ntsu.idm.oclc.org/login?url=https://www.airitibooks.com/Detail/Detail?PublicationID=P20160224047")</f>
        <v>https://ntsu.idm.oclc.org/login?url=https://www.airitibooks.com/Detail/Detail?PublicationID=P20160224047</v>
      </c>
    </row>
    <row r="3699" spans="1:11" ht="51" x14ac:dyDescent="0.4">
      <c r="A3699" s="10" t="s">
        <v>4174</v>
      </c>
      <c r="B3699" s="10" t="s">
        <v>4175</v>
      </c>
      <c r="C3699" s="10" t="s">
        <v>130</v>
      </c>
      <c r="D3699" s="10" t="s">
        <v>4176</v>
      </c>
      <c r="E3699" s="10" t="s">
        <v>30</v>
      </c>
      <c r="F3699" s="10" t="s">
        <v>127</v>
      </c>
      <c r="G3699" s="10" t="s">
        <v>87</v>
      </c>
      <c r="H3699" s="7" t="s">
        <v>24</v>
      </c>
      <c r="I3699" s="7" t="s">
        <v>25</v>
      </c>
      <c r="J3699" s="13" t="str">
        <f>HYPERLINK("https://www.airitibooks.com/Detail/Detail?PublicationID=P20160224049", "https://www.airitibooks.com/Detail/Detail?PublicationID=P20160224049")</f>
        <v>https://www.airitibooks.com/Detail/Detail?PublicationID=P20160224049</v>
      </c>
      <c r="K3699" s="13" t="str">
        <f>HYPERLINK("https://ntsu.idm.oclc.org/login?url=https://www.airitibooks.com/Detail/Detail?PublicationID=P20160224049", "https://ntsu.idm.oclc.org/login?url=https://www.airitibooks.com/Detail/Detail?PublicationID=P20160224049")</f>
        <v>https://ntsu.idm.oclc.org/login?url=https://www.airitibooks.com/Detail/Detail?PublicationID=P20160224049</v>
      </c>
    </row>
    <row r="3700" spans="1:11" ht="51" x14ac:dyDescent="0.4">
      <c r="A3700" s="10" t="s">
        <v>4183</v>
      </c>
      <c r="B3700" s="10" t="s">
        <v>4184</v>
      </c>
      <c r="C3700" s="10" t="s">
        <v>746</v>
      </c>
      <c r="D3700" s="10" t="s">
        <v>4185</v>
      </c>
      <c r="E3700" s="10" t="s">
        <v>30</v>
      </c>
      <c r="F3700" s="10" t="s">
        <v>1100</v>
      </c>
      <c r="G3700" s="10" t="s">
        <v>87</v>
      </c>
      <c r="H3700" s="7" t="s">
        <v>24</v>
      </c>
      <c r="I3700" s="7" t="s">
        <v>25</v>
      </c>
      <c r="J3700" s="13" t="str">
        <f>HYPERLINK("https://www.airitibooks.com/Detail/Detail?PublicationID=P20160226039", "https://www.airitibooks.com/Detail/Detail?PublicationID=P20160226039")</f>
        <v>https://www.airitibooks.com/Detail/Detail?PublicationID=P20160226039</v>
      </c>
      <c r="K3700" s="13" t="str">
        <f>HYPERLINK("https://ntsu.idm.oclc.org/login?url=https://www.airitibooks.com/Detail/Detail?PublicationID=P20160226039", "https://ntsu.idm.oclc.org/login?url=https://www.airitibooks.com/Detail/Detail?PublicationID=P20160226039")</f>
        <v>https://ntsu.idm.oclc.org/login?url=https://www.airitibooks.com/Detail/Detail?PublicationID=P20160226039</v>
      </c>
    </row>
    <row r="3701" spans="1:11" ht="51" x14ac:dyDescent="0.4">
      <c r="A3701" s="10" t="s">
        <v>4186</v>
      </c>
      <c r="B3701" s="10" t="s">
        <v>4187</v>
      </c>
      <c r="C3701" s="10" t="s">
        <v>746</v>
      </c>
      <c r="D3701" s="10" t="s">
        <v>4188</v>
      </c>
      <c r="E3701" s="10" t="s">
        <v>30</v>
      </c>
      <c r="F3701" s="10" t="s">
        <v>144</v>
      </c>
      <c r="G3701" s="10" t="s">
        <v>87</v>
      </c>
      <c r="H3701" s="7" t="s">
        <v>24</v>
      </c>
      <c r="I3701" s="7" t="s">
        <v>25</v>
      </c>
      <c r="J3701" s="13" t="str">
        <f>HYPERLINK("https://www.airitibooks.com/Detail/Detail?PublicationID=P20160226048", "https://www.airitibooks.com/Detail/Detail?PublicationID=P20160226048")</f>
        <v>https://www.airitibooks.com/Detail/Detail?PublicationID=P20160226048</v>
      </c>
      <c r="K3701" s="13" t="str">
        <f>HYPERLINK("https://ntsu.idm.oclc.org/login?url=https://www.airitibooks.com/Detail/Detail?PublicationID=P20160226048", "https://ntsu.idm.oclc.org/login?url=https://www.airitibooks.com/Detail/Detail?PublicationID=P20160226048")</f>
        <v>https://ntsu.idm.oclc.org/login?url=https://www.airitibooks.com/Detail/Detail?PublicationID=P20160226048</v>
      </c>
    </row>
    <row r="3702" spans="1:11" ht="68" x14ac:dyDescent="0.4">
      <c r="A3702" s="10" t="s">
        <v>4189</v>
      </c>
      <c r="B3702" s="10" t="s">
        <v>4190</v>
      </c>
      <c r="C3702" s="10" t="s">
        <v>746</v>
      </c>
      <c r="D3702" s="10" t="s">
        <v>4191</v>
      </c>
      <c r="E3702" s="10" t="s">
        <v>30</v>
      </c>
      <c r="F3702" s="10" t="s">
        <v>144</v>
      </c>
      <c r="G3702" s="10" t="s">
        <v>87</v>
      </c>
      <c r="H3702" s="7" t="s">
        <v>24</v>
      </c>
      <c r="I3702" s="7" t="s">
        <v>25</v>
      </c>
      <c r="J3702" s="13" t="str">
        <f>HYPERLINK("https://www.airitibooks.com/Detail/Detail?PublicationID=P20160226050", "https://www.airitibooks.com/Detail/Detail?PublicationID=P20160226050")</f>
        <v>https://www.airitibooks.com/Detail/Detail?PublicationID=P20160226050</v>
      </c>
      <c r="K3702" s="13" t="str">
        <f>HYPERLINK("https://ntsu.idm.oclc.org/login?url=https://www.airitibooks.com/Detail/Detail?PublicationID=P20160226050", "https://ntsu.idm.oclc.org/login?url=https://www.airitibooks.com/Detail/Detail?PublicationID=P20160226050")</f>
        <v>https://ntsu.idm.oclc.org/login?url=https://www.airitibooks.com/Detail/Detail?PublicationID=P20160226050</v>
      </c>
    </row>
    <row r="3703" spans="1:11" ht="51" x14ac:dyDescent="0.4">
      <c r="A3703" s="10" t="s">
        <v>4192</v>
      </c>
      <c r="B3703" s="10" t="s">
        <v>4193</v>
      </c>
      <c r="C3703" s="10" t="s">
        <v>746</v>
      </c>
      <c r="D3703" s="10" t="s">
        <v>4185</v>
      </c>
      <c r="E3703" s="10" t="s">
        <v>30</v>
      </c>
      <c r="F3703" s="10" t="s">
        <v>1100</v>
      </c>
      <c r="G3703" s="10" t="s">
        <v>87</v>
      </c>
      <c r="H3703" s="7" t="s">
        <v>24</v>
      </c>
      <c r="I3703" s="7" t="s">
        <v>25</v>
      </c>
      <c r="J3703" s="13" t="str">
        <f>HYPERLINK("https://www.airitibooks.com/Detail/Detail?PublicationID=P20160226052", "https://www.airitibooks.com/Detail/Detail?PublicationID=P20160226052")</f>
        <v>https://www.airitibooks.com/Detail/Detail?PublicationID=P20160226052</v>
      </c>
      <c r="K3703" s="13" t="str">
        <f>HYPERLINK("https://ntsu.idm.oclc.org/login?url=https://www.airitibooks.com/Detail/Detail?PublicationID=P20160226052", "https://ntsu.idm.oclc.org/login?url=https://www.airitibooks.com/Detail/Detail?PublicationID=P20160226052")</f>
        <v>https://ntsu.idm.oclc.org/login?url=https://www.airitibooks.com/Detail/Detail?PublicationID=P20160226052</v>
      </c>
    </row>
    <row r="3704" spans="1:11" ht="51" x14ac:dyDescent="0.4">
      <c r="A3704" s="10" t="s">
        <v>4194</v>
      </c>
      <c r="B3704" s="10" t="s">
        <v>4195</v>
      </c>
      <c r="C3704" s="10" t="s">
        <v>746</v>
      </c>
      <c r="D3704" s="10" t="s">
        <v>4196</v>
      </c>
      <c r="E3704" s="10" t="s">
        <v>30</v>
      </c>
      <c r="F3704" s="10" t="s">
        <v>4197</v>
      </c>
      <c r="G3704" s="10" t="s">
        <v>87</v>
      </c>
      <c r="H3704" s="7" t="s">
        <v>24</v>
      </c>
      <c r="I3704" s="7" t="s">
        <v>25</v>
      </c>
      <c r="J3704" s="13" t="str">
        <f>HYPERLINK("https://www.airitibooks.com/Detail/Detail?PublicationID=P20160226054", "https://www.airitibooks.com/Detail/Detail?PublicationID=P20160226054")</f>
        <v>https://www.airitibooks.com/Detail/Detail?PublicationID=P20160226054</v>
      </c>
      <c r="K3704" s="13" t="str">
        <f>HYPERLINK("https://ntsu.idm.oclc.org/login?url=https://www.airitibooks.com/Detail/Detail?PublicationID=P20160226054", "https://ntsu.idm.oclc.org/login?url=https://www.airitibooks.com/Detail/Detail?PublicationID=P20160226054")</f>
        <v>https://ntsu.idm.oclc.org/login?url=https://www.airitibooks.com/Detail/Detail?PublicationID=P20160226054</v>
      </c>
    </row>
    <row r="3705" spans="1:11" ht="68" x14ac:dyDescent="0.4">
      <c r="A3705" s="10" t="s">
        <v>4198</v>
      </c>
      <c r="B3705" s="10" t="s">
        <v>4199</v>
      </c>
      <c r="C3705" s="10" t="s">
        <v>746</v>
      </c>
      <c r="D3705" s="10" t="s">
        <v>4200</v>
      </c>
      <c r="E3705" s="10" t="s">
        <v>30</v>
      </c>
      <c r="F3705" s="10" t="s">
        <v>144</v>
      </c>
      <c r="G3705" s="10" t="s">
        <v>87</v>
      </c>
      <c r="H3705" s="7" t="s">
        <v>24</v>
      </c>
      <c r="I3705" s="7" t="s">
        <v>25</v>
      </c>
      <c r="J3705" s="13" t="str">
        <f>HYPERLINK("https://www.airitibooks.com/Detail/Detail?PublicationID=P20160226056", "https://www.airitibooks.com/Detail/Detail?PublicationID=P20160226056")</f>
        <v>https://www.airitibooks.com/Detail/Detail?PublicationID=P20160226056</v>
      </c>
      <c r="K3705" s="13" t="str">
        <f>HYPERLINK("https://ntsu.idm.oclc.org/login?url=https://www.airitibooks.com/Detail/Detail?PublicationID=P20160226056", "https://ntsu.idm.oclc.org/login?url=https://www.airitibooks.com/Detail/Detail?PublicationID=P20160226056")</f>
        <v>https://ntsu.idm.oclc.org/login?url=https://www.airitibooks.com/Detail/Detail?PublicationID=P20160226056</v>
      </c>
    </row>
    <row r="3706" spans="1:11" ht="68" x14ac:dyDescent="0.4">
      <c r="A3706" s="10" t="s">
        <v>4205</v>
      </c>
      <c r="B3706" s="10" t="s">
        <v>4206</v>
      </c>
      <c r="C3706" s="10" t="s">
        <v>568</v>
      </c>
      <c r="D3706" s="10" t="s">
        <v>4207</v>
      </c>
      <c r="E3706" s="10" t="s">
        <v>30</v>
      </c>
      <c r="F3706" s="10" t="s">
        <v>1440</v>
      </c>
      <c r="G3706" s="10" t="s">
        <v>87</v>
      </c>
      <c r="H3706" s="7" t="s">
        <v>24</v>
      </c>
      <c r="I3706" s="7" t="s">
        <v>25</v>
      </c>
      <c r="J3706" s="13" t="str">
        <f>HYPERLINK("https://www.airitibooks.com/Detail/Detail?PublicationID=P20160226125", "https://www.airitibooks.com/Detail/Detail?PublicationID=P20160226125")</f>
        <v>https://www.airitibooks.com/Detail/Detail?PublicationID=P20160226125</v>
      </c>
      <c r="K3706" s="13" t="str">
        <f>HYPERLINK("https://ntsu.idm.oclc.org/login?url=https://www.airitibooks.com/Detail/Detail?PublicationID=P20160226125", "https://ntsu.idm.oclc.org/login?url=https://www.airitibooks.com/Detail/Detail?PublicationID=P20160226125")</f>
        <v>https://ntsu.idm.oclc.org/login?url=https://www.airitibooks.com/Detail/Detail?PublicationID=P20160226125</v>
      </c>
    </row>
    <row r="3707" spans="1:11" ht="51" x14ac:dyDescent="0.4">
      <c r="A3707" s="10" t="s">
        <v>4373</v>
      </c>
      <c r="B3707" s="10" t="s">
        <v>4374</v>
      </c>
      <c r="C3707" s="10" t="s">
        <v>371</v>
      </c>
      <c r="D3707" s="10" t="s">
        <v>4375</v>
      </c>
      <c r="E3707" s="10" t="s">
        <v>30</v>
      </c>
      <c r="F3707" s="10" t="s">
        <v>4376</v>
      </c>
      <c r="G3707" s="10" t="s">
        <v>87</v>
      </c>
      <c r="H3707" s="7" t="s">
        <v>24</v>
      </c>
      <c r="I3707" s="7" t="s">
        <v>25</v>
      </c>
      <c r="J3707" s="13" t="str">
        <f>HYPERLINK("https://www.airitibooks.com/Detail/Detail?PublicationID=P20160319044", "https://www.airitibooks.com/Detail/Detail?PublicationID=P20160319044")</f>
        <v>https://www.airitibooks.com/Detail/Detail?PublicationID=P20160319044</v>
      </c>
      <c r="K3707" s="13" t="str">
        <f>HYPERLINK("https://ntsu.idm.oclc.org/login?url=https://www.airitibooks.com/Detail/Detail?PublicationID=P20160319044", "https://ntsu.idm.oclc.org/login?url=https://www.airitibooks.com/Detail/Detail?PublicationID=P20160319044")</f>
        <v>https://ntsu.idm.oclc.org/login?url=https://www.airitibooks.com/Detail/Detail?PublicationID=P20160319044</v>
      </c>
    </row>
    <row r="3708" spans="1:11" ht="51" x14ac:dyDescent="0.4">
      <c r="A3708" s="10" t="s">
        <v>4417</v>
      </c>
      <c r="B3708" s="10" t="s">
        <v>4418</v>
      </c>
      <c r="C3708" s="10" t="s">
        <v>544</v>
      </c>
      <c r="D3708" s="10" t="s">
        <v>4419</v>
      </c>
      <c r="E3708" s="10" t="s">
        <v>30</v>
      </c>
      <c r="F3708" s="10" t="s">
        <v>4420</v>
      </c>
      <c r="G3708" s="10" t="s">
        <v>87</v>
      </c>
      <c r="H3708" s="7" t="s">
        <v>24</v>
      </c>
      <c r="I3708" s="7" t="s">
        <v>25</v>
      </c>
      <c r="J3708" s="13" t="str">
        <f>HYPERLINK("https://www.airitibooks.com/Detail/Detail?PublicationID=P20160319113", "https://www.airitibooks.com/Detail/Detail?PublicationID=P20160319113")</f>
        <v>https://www.airitibooks.com/Detail/Detail?PublicationID=P20160319113</v>
      </c>
      <c r="K3708" s="13" t="str">
        <f>HYPERLINK("https://ntsu.idm.oclc.org/login?url=https://www.airitibooks.com/Detail/Detail?PublicationID=P20160319113", "https://ntsu.idm.oclc.org/login?url=https://www.airitibooks.com/Detail/Detail?PublicationID=P20160319113")</f>
        <v>https://ntsu.idm.oclc.org/login?url=https://www.airitibooks.com/Detail/Detail?PublicationID=P20160319113</v>
      </c>
    </row>
    <row r="3709" spans="1:11" ht="51" x14ac:dyDescent="0.4">
      <c r="A3709" s="10" t="s">
        <v>4461</v>
      </c>
      <c r="B3709" s="10" t="s">
        <v>4462</v>
      </c>
      <c r="C3709" s="10" t="s">
        <v>938</v>
      </c>
      <c r="D3709" s="10" t="s">
        <v>4463</v>
      </c>
      <c r="E3709" s="10" t="s">
        <v>30</v>
      </c>
      <c r="F3709" s="10" t="s">
        <v>132</v>
      </c>
      <c r="G3709" s="10" t="s">
        <v>87</v>
      </c>
      <c r="H3709" s="7" t="s">
        <v>24</v>
      </c>
      <c r="I3709" s="7" t="s">
        <v>25</v>
      </c>
      <c r="J3709" s="13" t="str">
        <f>HYPERLINK("https://www.airitibooks.com/Detail/Detail?PublicationID=P20160413025", "https://www.airitibooks.com/Detail/Detail?PublicationID=P20160413025")</f>
        <v>https://www.airitibooks.com/Detail/Detail?PublicationID=P20160413025</v>
      </c>
      <c r="K3709" s="13" t="str">
        <f>HYPERLINK("https://ntsu.idm.oclc.org/login?url=https://www.airitibooks.com/Detail/Detail?PublicationID=P20160413025", "https://ntsu.idm.oclc.org/login?url=https://www.airitibooks.com/Detail/Detail?PublicationID=P20160413025")</f>
        <v>https://ntsu.idm.oclc.org/login?url=https://www.airitibooks.com/Detail/Detail?PublicationID=P20160413025</v>
      </c>
    </row>
    <row r="3710" spans="1:11" ht="51" x14ac:dyDescent="0.4">
      <c r="A3710" s="10" t="s">
        <v>4515</v>
      </c>
      <c r="B3710" s="10" t="s">
        <v>4516</v>
      </c>
      <c r="C3710" s="10" t="s">
        <v>428</v>
      </c>
      <c r="D3710" s="10" t="s">
        <v>4050</v>
      </c>
      <c r="E3710" s="10" t="s">
        <v>30</v>
      </c>
      <c r="F3710" s="10" t="s">
        <v>144</v>
      </c>
      <c r="G3710" s="10" t="s">
        <v>87</v>
      </c>
      <c r="H3710" s="7" t="s">
        <v>24</v>
      </c>
      <c r="I3710" s="7" t="s">
        <v>25</v>
      </c>
      <c r="J3710" s="13" t="str">
        <f>HYPERLINK("https://www.airitibooks.com/Detail/Detail?PublicationID=P20160421132", "https://www.airitibooks.com/Detail/Detail?PublicationID=P20160421132")</f>
        <v>https://www.airitibooks.com/Detail/Detail?PublicationID=P20160421132</v>
      </c>
      <c r="K3710" s="13" t="str">
        <f>HYPERLINK("https://ntsu.idm.oclc.org/login?url=https://www.airitibooks.com/Detail/Detail?PublicationID=P20160421132", "https://ntsu.idm.oclc.org/login?url=https://www.airitibooks.com/Detail/Detail?PublicationID=P20160421132")</f>
        <v>https://ntsu.idm.oclc.org/login?url=https://www.airitibooks.com/Detail/Detail?PublicationID=P20160421132</v>
      </c>
    </row>
    <row r="3711" spans="1:11" ht="51" x14ac:dyDescent="0.4">
      <c r="A3711" s="10" t="s">
        <v>4523</v>
      </c>
      <c r="B3711" s="10" t="s">
        <v>4524</v>
      </c>
      <c r="C3711" s="10" t="s">
        <v>297</v>
      </c>
      <c r="D3711" s="10" t="s">
        <v>2972</v>
      </c>
      <c r="E3711" s="10" t="s">
        <v>30</v>
      </c>
      <c r="F3711" s="10" t="s">
        <v>475</v>
      </c>
      <c r="G3711" s="10" t="s">
        <v>87</v>
      </c>
      <c r="H3711" s="7" t="s">
        <v>24</v>
      </c>
      <c r="I3711" s="7" t="s">
        <v>25</v>
      </c>
      <c r="J3711" s="13" t="str">
        <f>HYPERLINK("https://www.airitibooks.com/Detail/Detail?PublicationID=P20160421138", "https://www.airitibooks.com/Detail/Detail?PublicationID=P20160421138")</f>
        <v>https://www.airitibooks.com/Detail/Detail?PublicationID=P20160421138</v>
      </c>
      <c r="K3711" s="13" t="str">
        <f>HYPERLINK("https://ntsu.idm.oclc.org/login?url=https://www.airitibooks.com/Detail/Detail?PublicationID=P20160421138", "https://ntsu.idm.oclc.org/login?url=https://www.airitibooks.com/Detail/Detail?PublicationID=P20160421138")</f>
        <v>https://ntsu.idm.oclc.org/login?url=https://www.airitibooks.com/Detail/Detail?PublicationID=P20160421138</v>
      </c>
    </row>
    <row r="3712" spans="1:11" ht="51" x14ac:dyDescent="0.4">
      <c r="A3712" s="10" t="s">
        <v>4539</v>
      </c>
      <c r="B3712" s="10" t="s">
        <v>4540</v>
      </c>
      <c r="C3712" s="10" t="s">
        <v>297</v>
      </c>
      <c r="D3712" s="10" t="s">
        <v>2687</v>
      </c>
      <c r="E3712" s="10" t="s">
        <v>30</v>
      </c>
      <c r="F3712" s="10" t="s">
        <v>144</v>
      </c>
      <c r="G3712" s="10" t="s">
        <v>87</v>
      </c>
      <c r="H3712" s="7" t="s">
        <v>24</v>
      </c>
      <c r="I3712" s="7" t="s">
        <v>25</v>
      </c>
      <c r="J3712" s="13" t="str">
        <f>HYPERLINK("https://www.airitibooks.com/Detail/Detail?PublicationID=P20160421149", "https://www.airitibooks.com/Detail/Detail?PublicationID=P20160421149")</f>
        <v>https://www.airitibooks.com/Detail/Detail?PublicationID=P20160421149</v>
      </c>
      <c r="K3712" s="13" t="str">
        <f>HYPERLINK("https://ntsu.idm.oclc.org/login?url=https://www.airitibooks.com/Detail/Detail?PublicationID=P20160421149", "https://ntsu.idm.oclc.org/login?url=https://www.airitibooks.com/Detail/Detail?PublicationID=P20160421149")</f>
        <v>https://ntsu.idm.oclc.org/login?url=https://www.airitibooks.com/Detail/Detail?PublicationID=P20160421149</v>
      </c>
    </row>
    <row r="3713" spans="1:11" ht="51" x14ac:dyDescent="0.4">
      <c r="A3713" s="10" t="s">
        <v>4543</v>
      </c>
      <c r="B3713" s="10" t="s">
        <v>4544</v>
      </c>
      <c r="C3713" s="10" t="s">
        <v>439</v>
      </c>
      <c r="D3713" s="10" t="s">
        <v>3572</v>
      </c>
      <c r="E3713" s="10" t="s">
        <v>30</v>
      </c>
      <c r="F3713" s="10" t="s">
        <v>399</v>
      </c>
      <c r="G3713" s="10" t="s">
        <v>87</v>
      </c>
      <c r="H3713" s="7" t="s">
        <v>24</v>
      </c>
      <c r="I3713" s="7" t="s">
        <v>25</v>
      </c>
      <c r="J3713" s="13" t="str">
        <f>HYPERLINK("https://www.airitibooks.com/Detail/Detail?PublicationID=P20160421152", "https://www.airitibooks.com/Detail/Detail?PublicationID=P20160421152")</f>
        <v>https://www.airitibooks.com/Detail/Detail?PublicationID=P20160421152</v>
      </c>
      <c r="K3713" s="13" t="str">
        <f>HYPERLINK("https://ntsu.idm.oclc.org/login?url=https://www.airitibooks.com/Detail/Detail?PublicationID=P20160421152", "https://ntsu.idm.oclc.org/login?url=https://www.airitibooks.com/Detail/Detail?PublicationID=P20160421152")</f>
        <v>https://ntsu.idm.oclc.org/login?url=https://www.airitibooks.com/Detail/Detail?PublicationID=P20160421152</v>
      </c>
    </row>
    <row r="3714" spans="1:11" ht="51" x14ac:dyDescent="0.4">
      <c r="A3714" s="10" t="s">
        <v>4641</v>
      </c>
      <c r="B3714" s="10" t="s">
        <v>4642</v>
      </c>
      <c r="C3714" s="10" t="s">
        <v>1067</v>
      </c>
      <c r="D3714" s="10" t="s">
        <v>4636</v>
      </c>
      <c r="E3714" s="10" t="s">
        <v>30</v>
      </c>
      <c r="F3714" s="10" t="s">
        <v>1100</v>
      </c>
      <c r="G3714" s="10" t="s">
        <v>87</v>
      </c>
      <c r="H3714" s="7" t="s">
        <v>24</v>
      </c>
      <c r="I3714" s="7" t="s">
        <v>25</v>
      </c>
      <c r="J3714" s="13" t="str">
        <f>HYPERLINK("https://www.airitibooks.com/Detail/Detail?PublicationID=P20160601039", "https://www.airitibooks.com/Detail/Detail?PublicationID=P20160601039")</f>
        <v>https://www.airitibooks.com/Detail/Detail?PublicationID=P20160601039</v>
      </c>
      <c r="K3714" s="13" t="str">
        <f>HYPERLINK("https://ntsu.idm.oclc.org/login?url=https://www.airitibooks.com/Detail/Detail?PublicationID=P20160601039", "https://ntsu.idm.oclc.org/login?url=https://www.airitibooks.com/Detail/Detail?PublicationID=P20160601039")</f>
        <v>https://ntsu.idm.oclc.org/login?url=https://www.airitibooks.com/Detail/Detail?PublicationID=P20160601039</v>
      </c>
    </row>
    <row r="3715" spans="1:11" ht="51" x14ac:dyDescent="0.4">
      <c r="A3715" s="10" t="s">
        <v>4688</v>
      </c>
      <c r="B3715" s="10" t="s">
        <v>4689</v>
      </c>
      <c r="C3715" s="10" t="s">
        <v>2515</v>
      </c>
      <c r="D3715" s="10" t="s">
        <v>4690</v>
      </c>
      <c r="E3715" s="10" t="s">
        <v>30</v>
      </c>
      <c r="F3715" s="10" t="s">
        <v>4691</v>
      </c>
      <c r="G3715" s="10" t="s">
        <v>87</v>
      </c>
      <c r="H3715" s="7" t="s">
        <v>24</v>
      </c>
      <c r="I3715" s="7" t="s">
        <v>25</v>
      </c>
      <c r="J3715" s="13" t="str">
        <f>HYPERLINK("https://www.airitibooks.com/Detail/Detail?PublicationID=P20160603015", "https://www.airitibooks.com/Detail/Detail?PublicationID=P20160603015")</f>
        <v>https://www.airitibooks.com/Detail/Detail?PublicationID=P20160603015</v>
      </c>
      <c r="K3715" s="13" t="str">
        <f>HYPERLINK("https://ntsu.idm.oclc.org/login?url=https://www.airitibooks.com/Detail/Detail?PublicationID=P20160603015", "https://ntsu.idm.oclc.org/login?url=https://www.airitibooks.com/Detail/Detail?PublicationID=P20160603015")</f>
        <v>https://ntsu.idm.oclc.org/login?url=https://www.airitibooks.com/Detail/Detail?PublicationID=P20160603015</v>
      </c>
    </row>
    <row r="3716" spans="1:11" ht="51" x14ac:dyDescent="0.4">
      <c r="A3716" s="10" t="s">
        <v>4702</v>
      </c>
      <c r="B3716" s="10" t="s">
        <v>4703</v>
      </c>
      <c r="C3716" s="10" t="s">
        <v>2515</v>
      </c>
      <c r="D3716" s="10" t="s">
        <v>4704</v>
      </c>
      <c r="E3716" s="10" t="s">
        <v>30</v>
      </c>
      <c r="F3716" s="10" t="s">
        <v>4705</v>
      </c>
      <c r="G3716" s="10" t="s">
        <v>87</v>
      </c>
      <c r="H3716" s="7" t="s">
        <v>24</v>
      </c>
      <c r="I3716" s="7" t="s">
        <v>25</v>
      </c>
      <c r="J3716" s="13" t="str">
        <f>HYPERLINK("https://www.airitibooks.com/Detail/Detail?PublicationID=P20160603019", "https://www.airitibooks.com/Detail/Detail?PublicationID=P20160603019")</f>
        <v>https://www.airitibooks.com/Detail/Detail?PublicationID=P20160603019</v>
      </c>
      <c r="K3716" s="13" t="str">
        <f>HYPERLINK("https://ntsu.idm.oclc.org/login?url=https://www.airitibooks.com/Detail/Detail?PublicationID=P20160603019", "https://ntsu.idm.oclc.org/login?url=https://www.airitibooks.com/Detail/Detail?PublicationID=P20160603019")</f>
        <v>https://ntsu.idm.oclc.org/login?url=https://www.airitibooks.com/Detail/Detail?PublicationID=P20160603019</v>
      </c>
    </row>
    <row r="3717" spans="1:11" ht="51" x14ac:dyDescent="0.4">
      <c r="A3717" s="10" t="s">
        <v>4706</v>
      </c>
      <c r="B3717" s="10" t="s">
        <v>4707</v>
      </c>
      <c r="C3717" s="10" t="s">
        <v>2515</v>
      </c>
      <c r="D3717" s="10" t="s">
        <v>2528</v>
      </c>
      <c r="E3717" s="10" t="s">
        <v>30</v>
      </c>
      <c r="F3717" s="10" t="s">
        <v>4708</v>
      </c>
      <c r="G3717" s="10" t="s">
        <v>87</v>
      </c>
      <c r="H3717" s="7" t="s">
        <v>24</v>
      </c>
      <c r="I3717" s="7" t="s">
        <v>25</v>
      </c>
      <c r="J3717" s="13" t="str">
        <f>HYPERLINK("https://www.airitibooks.com/Detail/Detail?PublicationID=P20160603021", "https://www.airitibooks.com/Detail/Detail?PublicationID=P20160603021")</f>
        <v>https://www.airitibooks.com/Detail/Detail?PublicationID=P20160603021</v>
      </c>
      <c r="K3717" s="13" t="str">
        <f>HYPERLINK("https://ntsu.idm.oclc.org/login?url=https://www.airitibooks.com/Detail/Detail?PublicationID=P20160603021", "https://ntsu.idm.oclc.org/login?url=https://www.airitibooks.com/Detail/Detail?PublicationID=P20160603021")</f>
        <v>https://ntsu.idm.oclc.org/login?url=https://www.airitibooks.com/Detail/Detail?PublicationID=P20160603021</v>
      </c>
    </row>
    <row r="3718" spans="1:11" ht="51" x14ac:dyDescent="0.4">
      <c r="A3718" s="10" t="s">
        <v>6144</v>
      </c>
      <c r="B3718" s="10" t="s">
        <v>6145</v>
      </c>
      <c r="C3718" s="10" t="s">
        <v>147</v>
      </c>
      <c r="D3718" s="10" t="s">
        <v>5574</v>
      </c>
      <c r="E3718" s="10" t="s">
        <v>30</v>
      </c>
      <c r="F3718" s="10" t="s">
        <v>1208</v>
      </c>
      <c r="G3718" s="10" t="s">
        <v>87</v>
      </c>
      <c r="H3718" s="7" t="s">
        <v>24</v>
      </c>
      <c r="I3718" s="7" t="s">
        <v>25</v>
      </c>
      <c r="J3718" s="13" t="str">
        <f>HYPERLINK("https://www.airitibooks.com/Detail/Detail?PublicationID=P20170203308", "https://www.airitibooks.com/Detail/Detail?PublicationID=P20170203308")</f>
        <v>https://www.airitibooks.com/Detail/Detail?PublicationID=P20170203308</v>
      </c>
      <c r="K3718" s="13" t="str">
        <f>HYPERLINK("https://ntsu.idm.oclc.org/login?url=https://www.airitibooks.com/Detail/Detail?PublicationID=P20170203308", "https://ntsu.idm.oclc.org/login?url=https://www.airitibooks.com/Detail/Detail?PublicationID=P20170203308")</f>
        <v>https://ntsu.idm.oclc.org/login?url=https://www.airitibooks.com/Detail/Detail?PublicationID=P20170203308</v>
      </c>
    </row>
    <row r="3719" spans="1:11" ht="51" x14ac:dyDescent="0.4">
      <c r="A3719" s="10" t="s">
        <v>6146</v>
      </c>
      <c r="B3719" s="10" t="s">
        <v>6147</v>
      </c>
      <c r="C3719" s="10" t="s">
        <v>147</v>
      </c>
      <c r="D3719" s="10" t="s">
        <v>6148</v>
      </c>
      <c r="E3719" s="10" t="s">
        <v>30</v>
      </c>
      <c r="F3719" s="10" t="s">
        <v>138</v>
      </c>
      <c r="G3719" s="10" t="s">
        <v>87</v>
      </c>
      <c r="H3719" s="7" t="s">
        <v>24</v>
      </c>
      <c r="I3719" s="7" t="s">
        <v>25</v>
      </c>
      <c r="J3719" s="13" t="str">
        <f>HYPERLINK("https://www.airitibooks.com/Detail/Detail?PublicationID=P20170203309", "https://www.airitibooks.com/Detail/Detail?PublicationID=P20170203309")</f>
        <v>https://www.airitibooks.com/Detail/Detail?PublicationID=P20170203309</v>
      </c>
      <c r="K3719" s="13" t="str">
        <f>HYPERLINK("https://ntsu.idm.oclc.org/login?url=https://www.airitibooks.com/Detail/Detail?PublicationID=P20170203309", "https://ntsu.idm.oclc.org/login?url=https://www.airitibooks.com/Detail/Detail?PublicationID=P20170203309")</f>
        <v>https://ntsu.idm.oclc.org/login?url=https://www.airitibooks.com/Detail/Detail?PublicationID=P20170203309</v>
      </c>
    </row>
    <row r="3720" spans="1:11" ht="51" x14ac:dyDescent="0.4">
      <c r="A3720" s="10" t="s">
        <v>6149</v>
      </c>
      <c r="B3720" s="10" t="s">
        <v>6150</v>
      </c>
      <c r="C3720" s="10" t="s">
        <v>147</v>
      </c>
      <c r="D3720" s="10" t="s">
        <v>6151</v>
      </c>
      <c r="E3720" s="10" t="s">
        <v>30</v>
      </c>
      <c r="F3720" s="10" t="s">
        <v>144</v>
      </c>
      <c r="G3720" s="10" t="s">
        <v>87</v>
      </c>
      <c r="H3720" s="7" t="s">
        <v>24</v>
      </c>
      <c r="I3720" s="7" t="s">
        <v>25</v>
      </c>
      <c r="J3720" s="13" t="str">
        <f>HYPERLINK("https://www.airitibooks.com/Detail/Detail?PublicationID=P20170203310", "https://www.airitibooks.com/Detail/Detail?PublicationID=P20170203310")</f>
        <v>https://www.airitibooks.com/Detail/Detail?PublicationID=P20170203310</v>
      </c>
      <c r="K3720" s="13" t="str">
        <f>HYPERLINK("https://ntsu.idm.oclc.org/login?url=https://www.airitibooks.com/Detail/Detail?PublicationID=P20170203310", "https://ntsu.idm.oclc.org/login?url=https://www.airitibooks.com/Detail/Detail?PublicationID=P20170203310")</f>
        <v>https://ntsu.idm.oclc.org/login?url=https://www.airitibooks.com/Detail/Detail?PublicationID=P20170203310</v>
      </c>
    </row>
    <row r="3721" spans="1:11" ht="51" x14ac:dyDescent="0.4">
      <c r="A3721" s="10" t="s">
        <v>6175</v>
      </c>
      <c r="B3721" s="10" t="s">
        <v>6176</v>
      </c>
      <c r="C3721" s="10" t="s">
        <v>147</v>
      </c>
      <c r="D3721" s="10" t="s">
        <v>3414</v>
      </c>
      <c r="E3721" s="10" t="s">
        <v>30</v>
      </c>
      <c r="F3721" s="10" t="s">
        <v>144</v>
      </c>
      <c r="G3721" s="10" t="s">
        <v>87</v>
      </c>
      <c r="H3721" s="7" t="s">
        <v>24</v>
      </c>
      <c r="I3721" s="7" t="s">
        <v>25</v>
      </c>
      <c r="J3721" s="13" t="str">
        <f>HYPERLINK("https://www.airitibooks.com/Detail/Detail?PublicationID=P20170203327", "https://www.airitibooks.com/Detail/Detail?PublicationID=P20170203327")</f>
        <v>https://www.airitibooks.com/Detail/Detail?PublicationID=P20170203327</v>
      </c>
      <c r="K3721" s="13" t="str">
        <f>HYPERLINK("https://ntsu.idm.oclc.org/login?url=https://www.airitibooks.com/Detail/Detail?PublicationID=P20170203327", "https://ntsu.idm.oclc.org/login?url=https://www.airitibooks.com/Detail/Detail?PublicationID=P20170203327")</f>
        <v>https://ntsu.idm.oclc.org/login?url=https://www.airitibooks.com/Detail/Detail?PublicationID=P20170203327</v>
      </c>
    </row>
    <row r="3722" spans="1:11" ht="51" x14ac:dyDescent="0.4">
      <c r="A3722" s="10" t="s">
        <v>6177</v>
      </c>
      <c r="B3722" s="10" t="s">
        <v>6178</v>
      </c>
      <c r="C3722" s="10" t="s">
        <v>147</v>
      </c>
      <c r="D3722" s="10" t="s">
        <v>6148</v>
      </c>
      <c r="E3722" s="10" t="s">
        <v>30</v>
      </c>
      <c r="F3722" s="10" t="s">
        <v>2717</v>
      </c>
      <c r="G3722" s="10" t="s">
        <v>87</v>
      </c>
      <c r="H3722" s="7" t="s">
        <v>24</v>
      </c>
      <c r="I3722" s="7" t="s">
        <v>25</v>
      </c>
      <c r="J3722" s="13" t="str">
        <f>HYPERLINK("https://www.airitibooks.com/Detail/Detail?PublicationID=P20170203328", "https://www.airitibooks.com/Detail/Detail?PublicationID=P20170203328")</f>
        <v>https://www.airitibooks.com/Detail/Detail?PublicationID=P20170203328</v>
      </c>
      <c r="K3722" s="13" t="str">
        <f>HYPERLINK("https://ntsu.idm.oclc.org/login?url=https://www.airitibooks.com/Detail/Detail?PublicationID=P20170203328", "https://ntsu.idm.oclc.org/login?url=https://www.airitibooks.com/Detail/Detail?PublicationID=P20170203328")</f>
        <v>https://ntsu.idm.oclc.org/login?url=https://www.airitibooks.com/Detail/Detail?PublicationID=P20170203328</v>
      </c>
    </row>
    <row r="3723" spans="1:11" ht="51" x14ac:dyDescent="0.4">
      <c r="A3723" s="10" t="s">
        <v>6186</v>
      </c>
      <c r="B3723" s="10" t="s">
        <v>6187</v>
      </c>
      <c r="C3723" s="10" t="s">
        <v>147</v>
      </c>
      <c r="D3723" s="10" t="s">
        <v>2499</v>
      </c>
      <c r="E3723" s="10" t="s">
        <v>30</v>
      </c>
      <c r="F3723" s="10" t="s">
        <v>144</v>
      </c>
      <c r="G3723" s="10" t="s">
        <v>87</v>
      </c>
      <c r="H3723" s="7" t="s">
        <v>24</v>
      </c>
      <c r="I3723" s="7" t="s">
        <v>25</v>
      </c>
      <c r="J3723" s="13" t="str">
        <f>HYPERLINK("https://www.airitibooks.com/Detail/Detail?PublicationID=P20170206001", "https://www.airitibooks.com/Detail/Detail?PublicationID=P20170206001")</f>
        <v>https://www.airitibooks.com/Detail/Detail?PublicationID=P20170206001</v>
      </c>
      <c r="K3723" s="13" t="str">
        <f>HYPERLINK("https://ntsu.idm.oclc.org/login?url=https://www.airitibooks.com/Detail/Detail?PublicationID=P20170206001", "https://ntsu.idm.oclc.org/login?url=https://www.airitibooks.com/Detail/Detail?PublicationID=P20170206001")</f>
        <v>https://ntsu.idm.oclc.org/login?url=https://www.airitibooks.com/Detail/Detail?PublicationID=P20170206001</v>
      </c>
    </row>
    <row r="3724" spans="1:11" ht="51" x14ac:dyDescent="0.4">
      <c r="A3724" s="10" t="s">
        <v>11012</v>
      </c>
      <c r="B3724" s="10" t="s">
        <v>11013</v>
      </c>
      <c r="C3724" s="10" t="s">
        <v>2441</v>
      </c>
      <c r="D3724" s="10" t="s">
        <v>11014</v>
      </c>
      <c r="E3724" s="10" t="s">
        <v>30</v>
      </c>
      <c r="F3724" s="10" t="s">
        <v>2063</v>
      </c>
      <c r="G3724" s="10" t="s">
        <v>87</v>
      </c>
      <c r="H3724" s="7" t="s">
        <v>24</v>
      </c>
      <c r="I3724" s="7" t="s">
        <v>25</v>
      </c>
      <c r="J3724" s="13" t="str">
        <f>HYPERLINK("https://www.airitibooks.com/Detail/Detail?PublicationID=P20190412020", "https://www.airitibooks.com/Detail/Detail?PublicationID=P20190412020")</f>
        <v>https://www.airitibooks.com/Detail/Detail?PublicationID=P20190412020</v>
      </c>
      <c r="K3724" s="13" t="str">
        <f>HYPERLINK("https://ntsu.idm.oclc.org/login?url=https://www.airitibooks.com/Detail/Detail?PublicationID=P20190412020", "https://ntsu.idm.oclc.org/login?url=https://www.airitibooks.com/Detail/Detail?PublicationID=P20190412020")</f>
        <v>https://ntsu.idm.oclc.org/login?url=https://www.airitibooks.com/Detail/Detail?PublicationID=P20190412020</v>
      </c>
    </row>
    <row r="3725" spans="1:11" ht="51" x14ac:dyDescent="0.4">
      <c r="A3725" s="10" t="s">
        <v>11015</v>
      </c>
      <c r="B3725" s="10" t="s">
        <v>11016</v>
      </c>
      <c r="C3725" s="10" t="s">
        <v>2441</v>
      </c>
      <c r="D3725" s="10" t="s">
        <v>11014</v>
      </c>
      <c r="E3725" s="10" t="s">
        <v>30</v>
      </c>
      <c r="F3725" s="10" t="s">
        <v>11017</v>
      </c>
      <c r="G3725" s="10" t="s">
        <v>87</v>
      </c>
      <c r="H3725" s="7" t="s">
        <v>24</v>
      </c>
      <c r="I3725" s="7" t="s">
        <v>25</v>
      </c>
      <c r="J3725" s="13" t="str">
        <f>HYPERLINK("https://www.airitibooks.com/Detail/Detail?PublicationID=P20190412021", "https://www.airitibooks.com/Detail/Detail?PublicationID=P20190412021")</f>
        <v>https://www.airitibooks.com/Detail/Detail?PublicationID=P20190412021</v>
      </c>
      <c r="K3725" s="13" t="str">
        <f>HYPERLINK("https://ntsu.idm.oclc.org/login?url=https://www.airitibooks.com/Detail/Detail?PublicationID=P20190412021", "https://ntsu.idm.oclc.org/login?url=https://www.airitibooks.com/Detail/Detail?PublicationID=P20190412021")</f>
        <v>https://ntsu.idm.oclc.org/login?url=https://www.airitibooks.com/Detail/Detail?PublicationID=P20190412021</v>
      </c>
    </row>
    <row r="3726" spans="1:11" ht="51" x14ac:dyDescent="0.4">
      <c r="A3726" s="10" t="s">
        <v>1822</v>
      </c>
      <c r="B3726" s="10" t="s">
        <v>1823</v>
      </c>
      <c r="C3726" s="10" t="s">
        <v>297</v>
      </c>
      <c r="D3726" s="10" t="s">
        <v>1406</v>
      </c>
      <c r="E3726" s="10" t="s">
        <v>30</v>
      </c>
      <c r="F3726" s="10" t="s">
        <v>299</v>
      </c>
      <c r="G3726" s="10" t="s">
        <v>23</v>
      </c>
      <c r="H3726" s="7" t="s">
        <v>24</v>
      </c>
      <c r="I3726" s="7" t="s">
        <v>25</v>
      </c>
      <c r="J3726" s="13" t="str">
        <f>HYPERLINK("https://www.airitibooks.com/Detail/Detail?PublicationID=P201501152170", "https://www.airitibooks.com/Detail/Detail?PublicationID=P201501152170")</f>
        <v>https://www.airitibooks.com/Detail/Detail?PublicationID=P201501152170</v>
      </c>
      <c r="K3726" s="13" t="str">
        <f>HYPERLINK("https://ntsu.idm.oclc.org/login?url=https://www.airitibooks.com/Detail/Detail?PublicationID=P201501152170", "https://ntsu.idm.oclc.org/login?url=https://www.airitibooks.com/Detail/Detail?PublicationID=P201501152170")</f>
        <v>https://ntsu.idm.oclc.org/login?url=https://www.airitibooks.com/Detail/Detail?PublicationID=P201501152170</v>
      </c>
    </row>
    <row r="3727" spans="1:11" ht="51" x14ac:dyDescent="0.4">
      <c r="A3727" s="10" t="s">
        <v>1961</v>
      </c>
      <c r="B3727" s="10" t="s">
        <v>1962</v>
      </c>
      <c r="C3727" s="10" t="s">
        <v>1095</v>
      </c>
      <c r="D3727" s="10" t="s">
        <v>1963</v>
      </c>
      <c r="E3727" s="10" t="s">
        <v>30</v>
      </c>
      <c r="F3727" s="10" t="s">
        <v>565</v>
      </c>
      <c r="G3727" s="10" t="s">
        <v>23</v>
      </c>
      <c r="H3727" s="7" t="s">
        <v>24</v>
      </c>
      <c r="I3727" s="7" t="s">
        <v>25</v>
      </c>
      <c r="J3727" s="13" t="str">
        <f>HYPERLINK("https://www.airitibooks.com/Detail/Detail?PublicationID=P20150206012", "https://www.airitibooks.com/Detail/Detail?PublicationID=P20150206012")</f>
        <v>https://www.airitibooks.com/Detail/Detail?PublicationID=P20150206012</v>
      </c>
      <c r="K3727" s="13" t="str">
        <f>HYPERLINK("https://ntsu.idm.oclc.org/login?url=https://www.airitibooks.com/Detail/Detail?PublicationID=P20150206012", "https://ntsu.idm.oclc.org/login?url=https://www.airitibooks.com/Detail/Detail?PublicationID=P20150206012")</f>
        <v>https://ntsu.idm.oclc.org/login?url=https://www.airitibooks.com/Detail/Detail?PublicationID=P20150206012</v>
      </c>
    </row>
    <row r="3728" spans="1:11" ht="51" x14ac:dyDescent="0.4">
      <c r="A3728" s="10" t="s">
        <v>2022</v>
      </c>
      <c r="B3728" s="10" t="s">
        <v>2023</v>
      </c>
      <c r="C3728" s="10" t="s">
        <v>287</v>
      </c>
      <c r="D3728" s="10" t="s">
        <v>2024</v>
      </c>
      <c r="E3728" s="10" t="s">
        <v>30</v>
      </c>
      <c r="F3728" s="10" t="s">
        <v>762</v>
      </c>
      <c r="G3728" s="10" t="s">
        <v>23</v>
      </c>
      <c r="H3728" s="7" t="s">
        <v>24</v>
      </c>
      <c r="I3728" s="7" t="s">
        <v>25</v>
      </c>
      <c r="J3728" s="13" t="str">
        <f>HYPERLINK("https://www.airitibooks.com/Detail/Detail?PublicationID=P20150224009", "https://www.airitibooks.com/Detail/Detail?PublicationID=P20150224009")</f>
        <v>https://www.airitibooks.com/Detail/Detail?PublicationID=P20150224009</v>
      </c>
      <c r="K3728" s="13" t="str">
        <f>HYPERLINK("https://ntsu.idm.oclc.org/login?url=https://www.airitibooks.com/Detail/Detail?PublicationID=P20150224009", "https://ntsu.idm.oclc.org/login?url=https://www.airitibooks.com/Detail/Detail?PublicationID=P20150224009")</f>
        <v>https://ntsu.idm.oclc.org/login?url=https://www.airitibooks.com/Detail/Detail?PublicationID=P20150224009</v>
      </c>
    </row>
    <row r="3729" spans="1:11" ht="51" x14ac:dyDescent="0.4">
      <c r="A3729" s="10" t="s">
        <v>2098</v>
      </c>
      <c r="B3729" s="10" t="s">
        <v>2099</v>
      </c>
      <c r="C3729" s="10" t="s">
        <v>428</v>
      </c>
      <c r="D3729" s="10" t="s">
        <v>2100</v>
      </c>
      <c r="E3729" s="10" t="s">
        <v>30</v>
      </c>
      <c r="F3729" s="10" t="s">
        <v>250</v>
      </c>
      <c r="G3729" s="10" t="s">
        <v>23</v>
      </c>
      <c r="H3729" s="7" t="s">
        <v>24</v>
      </c>
      <c r="I3729" s="7" t="s">
        <v>25</v>
      </c>
      <c r="J3729" s="13" t="str">
        <f>HYPERLINK("https://www.airitibooks.com/Detail/Detail?PublicationID=P20150309023", "https://www.airitibooks.com/Detail/Detail?PublicationID=P20150309023")</f>
        <v>https://www.airitibooks.com/Detail/Detail?PublicationID=P20150309023</v>
      </c>
      <c r="K3729" s="13" t="str">
        <f>HYPERLINK("https://ntsu.idm.oclc.org/login?url=https://www.airitibooks.com/Detail/Detail?PublicationID=P20150309023", "https://ntsu.idm.oclc.org/login?url=https://www.airitibooks.com/Detail/Detail?PublicationID=P20150309023")</f>
        <v>https://ntsu.idm.oclc.org/login?url=https://www.airitibooks.com/Detail/Detail?PublicationID=P20150309023</v>
      </c>
    </row>
    <row r="3730" spans="1:11" ht="51" x14ac:dyDescent="0.4">
      <c r="A3730" s="10" t="s">
        <v>2294</v>
      </c>
      <c r="B3730" s="10" t="s">
        <v>2295</v>
      </c>
      <c r="C3730" s="10" t="s">
        <v>751</v>
      </c>
      <c r="D3730" s="10" t="s">
        <v>752</v>
      </c>
      <c r="E3730" s="10" t="s">
        <v>30</v>
      </c>
      <c r="F3730" s="10" t="s">
        <v>2296</v>
      </c>
      <c r="G3730" s="10" t="s">
        <v>23</v>
      </c>
      <c r="H3730" s="7" t="s">
        <v>24</v>
      </c>
      <c r="I3730" s="7" t="s">
        <v>25</v>
      </c>
      <c r="J3730" s="13" t="str">
        <f>HYPERLINK("https://www.airitibooks.com/Detail/Detail?PublicationID=P20150323068", "https://www.airitibooks.com/Detail/Detail?PublicationID=P20150323068")</f>
        <v>https://www.airitibooks.com/Detail/Detail?PublicationID=P20150323068</v>
      </c>
      <c r="K3730" s="13" t="str">
        <f>HYPERLINK("https://ntsu.idm.oclc.org/login?url=https://www.airitibooks.com/Detail/Detail?PublicationID=P20150323068", "https://ntsu.idm.oclc.org/login?url=https://www.airitibooks.com/Detail/Detail?PublicationID=P20150323068")</f>
        <v>https://ntsu.idm.oclc.org/login?url=https://www.airitibooks.com/Detail/Detail?PublicationID=P20150323068</v>
      </c>
    </row>
    <row r="3731" spans="1:11" ht="51" x14ac:dyDescent="0.4">
      <c r="A3731" s="10" t="s">
        <v>2394</v>
      </c>
      <c r="B3731" s="10" t="s">
        <v>2395</v>
      </c>
      <c r="C3731" s="10" t="s">
        <v>287</v>
      </c>
      <c r="D3731" s="10" t="s">
        <v>2396</v>
      </c>
      <c r="E3731" s="10" t="s">
        <v>30</v>
      </c>
      <c r="F3731" s="10" t="s">
        <v>565</v>
      </c>
      <c r="G3731" s="10" t="s">
        <v>23</v>
      </c>
      <c r="H3731" s="7" t="s">
        <v>24</v>
      </c>
      <c r="I3731" s="7" t="s">
        <v>25</v>
      </c>
      <c r="J3731" s="13" t="str">
        <f>HYPERLINK("https://www.airitibooks.com/Detail/Detail?PublicationID=P20150420016", "https://www.airitibooks.com/Detail/Detail?PublicationID=P20150420016")</f>
        <v>https://www.airitibooks.com/Detail/Detail?PublicationID=P20150420016</v>
      </c>
      <c r="K3731" s="13" t="str">
        <f>HYPERLINK("https://ntsu.idm.oclc.org/login?url=https://www.airitibooks.com/Detail/Detail?PublicationID=P20150420016", "https://ntsu.idm.oclc.org/login?url=https://www.airitibooks.com/Detail/Detail?PublicationID=P20150420016")</f>
        <v>https://ntsu.idm.oclc.org/login?url=https://www.airitibooks.com/Detail/Detail?PublicationID=P20150420016</v>
      </c>
    </row>
    <row r="3732" spans="1:11" ht="51" x14ac:dyDescent="0.4">
      <c r="A3732" s="10" t="s">
        <v>2397</v>
      </c>
      <c r="B3732" s="10" t="s">
        <v>2398</v>
      </c>
      <c r="C3732" s="10" t="s">
        <v>287</v>
      </c>
      <c r="D3732" s="10" t="s">
        <v>2396</v>
      </c>
      <c r="E3732" s="10" t="s">
        <v>30</v>
      </c>
      <c r="F3732" s="10" t="s">
        <v>565</v>
      </c>
      <c r="G3732" s="10" t="s">
        <v>23</v>
      </c>
      <c r="H3732" s="7" t="s">
        <v>24</v>
      </c>
      <c r="I3732" s="7" t="s">
        <v>25</v>
      </c>
      <c r="J3732" s="13" t="str">
        <f>HYPERLINK("https://www.airitibooks.com/Detail/Detail?PublicationID=P20150420017", "https://www.airitibooks.com/Detail/Detail?PublicationID=P20150420017")</f>
        <v>https://www.airitibooks.com/Detail/Detail?PublicationID=P20150420017</v>
      </c>
      <c r="K3732" s="13" t="str">
        <f>HYPERLINK("https://ntsu.idm.oclc.org/login?url=https://www.airitibooks.com/Detail/Detail?PublicationID=P20150420017", "https://ntsu.idm.oclc.org/login?url=https://www.airitibooks.com/Detail/Detail?PublicationID=P20150420017")</f>
        <v>https://ntsu.idm.oclc.org/login?url=https://www.airitibooks.com/Detail/Detail?PublicationID=P20150420017</v>
      </c>
    </row>
    <row r="3733" spans="1:11" ht="51" x14ac:dyDescent="0.4">
      <c r="A3733" s="10" t="s">
        <v>2443</v>
      </c>
      <c r="B3733" s="10" t="s">
        <v>2444</v>
      </c>
      <c r="C3733" s="10" t="s">
        <v>1484</v>
      </c>
      <c r="D3733" s="10" t="s">
        <v>2445</v>
      </c>
      <c r="E3733" s="10" t="s">
        <v>30</v>
      </c>
      <c r="F3733" s="10" t="s">
        <v>2446</v>
      </c>
      <c r="G3733" s="10" t="s">
        <v>23</v>
      </c>
      <c r="H3733" s="7" t="s">
        <v>24</v>
      </c>
      <c r="I3733" s="7" t="s">
        <v>25</v>
      </c>
      <c r="J3733" s="13" t="str">
        <f>HYPERLINK("https://www.airitibooks.com/Detail/Detail?PublicationID=P20150504058", "https://www.airitibooks.com/Detail/Detail?PublicationID=P20150504058")</f>
        <v>https://www.airitibooks.com/Detail/Detail?PublicationID=P20150504058</v>
      </c>
      <c r="K3733" s="13" t="str">
        <f>HYPERLINK("https://ntsu.idm.oclc.org/login?url=https://www.airitibooks.com/Detail/Detail?PublicationID=P20150504058", "https://ntsu.idm.oclc.org/login?url=https://www.airitibooks.com/Detail/Detail?PublicationID=P20150504058")</f>
        <v>https://ntsu.idm.oclc.org/login?url=https://www.airitibooks.com/Detail/Detail?PublicationID=P20150504058</v>
      </c>
    </row>
    <row r="3734" spans="1:11" ht="51" x14ac:dyDescent="0.4">
      <c r="A3734" s="10" t="s">
        <v>2447</v>
      </c>
      <c r="B3734" s="10" t="s">
        <v>2448</v>
      </c>
      <c r="C3734" s="10" t="s">
        <v>791</v>
      </c>
      <c r="D3734" s="10" t="s">
        <v>792</v>
      </c>
      <c r="E3734" s="10" t="s">
        <v>30</v>
      </c>
      <c r="F3734" s="10" t="s">
        <v>1427</v>
      </c>
      <c r="G3734" s="10" t="s">
        <v>23</v>
      </c>
      <c r="H3734" s="7" t="s">
        <v>24</v>
      </c>
      <c r="I3734" s="7" t="s">
        <v>25</v>
      </c>
      <c r="J3734" s="13" t="str">
        <f>HYPERLINK("https://www.airitibooks.com/Detail/Detail?PublicationID=P20150504059", "https://www.airitibooks.com/Detail/Detail?PublicationID=P20150504059")</f>
        <v>https://www.airitibooks.com/Detail/Detail?PublicationID=P20150504059</v>
      </c>
      <c r="K3734" s="13" t="str">
        <f>HYPERLINK("https://ntsu.idm.oclc.org/login?url=https://www.airitibooks.com/Detail/Detail?PublicationID=P20150504059", "https://ntsu.idm.oclc.org/login?url=https://www.airitibooks.com/Detail/Detail?PublicationID=P20150504059")</f>
        <v>https://ntsu.idm.oclc.org/login?url=https://www.airitibooks.com/Detail/Detail?PublicationID=P20150504059</v>
      </c>
    </row>
    <row r="3735" spans="1:11" ht="51" x14ac:dyDescent="0.4">
      <c r="A3735" s="10" t="s">
        <v>2449</v>
      </c>
      <c r="B3735" s="10" t="s">
        <v>2450</v>
      </c>
      <c r="C3735" s="10" t="s">
        <v>791</v>
      </c>
      <c r="D3735" s="10" t="s">
        <v>2451</v>
      </c>
      <c r="E3735" s="10" t="s">
        <v>30</v>
      </c>
      <c r="F3735" s="10" t="s">
        <v>720</v>
      </c>
      <c r="G3735" s="10" t="s">
        <v>23</v>
      </c>
      <c r="H3735" s="7" t="s">
        <v>24</v>
      </c>
      <c r="I3735" s="7" t="s">
        <v>25</v>
      </c>
      <c r="J3735" s="13" t="str">
        <f>HYPERLINK("https://www.airitibooks.com/Detail/Detail?PublicationID=P20150504061", "https://www.airitibooks.com/Detail/Detail?PublicationID=P20150504061")</f>
        <v>https://www.airitibooks.com/Detail/Detail?PublicationID=P20150504061</v>
      </c>
      <c r="K3735" s="13" t="str">
        <f>HYPERLINK("https://ntsu.idm.oclc.org/login?url=https://www.airitibooks.com/Detail/Detail?PublicationID=P20150504061", "https://ntsu.idm.oclc.org/login?url=https://www.airitibooks.com/Detail/Detail?PublicationID=P20150504061")</f>
        <v>https://ntsu.idm.oclc.org/login?url=https://www.airitibooks.com/Detail/Detail?PublicationID=P20150504061</v>
      </c>
    </row>
    <row r="3736" spans="1:11" ht="51" x14ac:dyDescent="0.4">
      <c r="A3736" s="10" t="s">
        <v>2461</v>
      </c>
      <c r="B3736" s="10" t="s">
        <v>2462</v>
      </c>
      <c r="C3736" s="10" t="s">
        <v>2463</v>
      </c>
      <c r="D3736" s="10" t="s">
        <v>2464</v>
      </c>
      <c r="E3736" s="10" t="s">
        <v>30</v>
      </c>
      <c r="F3736" s="10" t="s">
        <v>299</v>
      </c>
      <c r="G3736" s="10" t="s">
        <v>23</v>
      </c>
      <c r="H3736" s="7" t="s">
        <v>24</v>
      </c>
      <c r="I3736" s="7" t="s">
        <v>25</v>
      </c>
      <c r="J3736" s="13" t="str">
        <f>HYPERLINK("https://www.airitibooks.com/Detail/Detail?PublicationID=P20150505038", "https://www.airitibooks.com/Detail/Detail?PublicationID=P20150505038")</f>
        <v>https://www.airitibooks.com/Detail/Detail?PublicationID=P20150505038</v>
      </c>
      <c r="K3736" s="13" t="str">
        <f>HYPERLINK("https://ntsu.idm.oclc.org/login?url=https://www.airitibooks.com/Detail/Detail?PublicationID=P20150505038", "https://ntsu.idm.oclc.org/login?url=https://www.airitibooks.com/Detail/Detail?PublicationID=P20150505038")</f>
        <v>https://ntsu.idm.oclc.org/login?url=https://www.airitibooks.com/Detail/Detail?PublicationID=P20150505038</v>
      </c>
    </row>
    <row r="3737" spans="1:11" ht="51" x14ac:dyDescent="0.4">
      <c r="A3737" s="10" t="s">
        <v>2481</v>
      </c>
      <c r="B3737" s="10" t="s">
        <v>2482</v>
      </c>
      <c r="C3737" s="10" t="s">
        <v>938</v>
      </c>
      <c r="D3737" s="10" t="s">
        <v>2483</v>
      </c>
      <c r="E3737" s="10" t="s">
        <v>30</v>
      </c>
      <c r="F3737" s="10" t="s">
        <v>2484</v>
      </c>
      <c r="G3737" s="10" t="s">
        <v>23</v>
      </c>
      <c r="H3737" s="7" t="s">
        <v>24</v>
      </c>
      <c r="I3737" s="7" t="s">
        <v>25</v>
      </c>
      <c r="J3737" s="13" t="str">
        <f>HYPERLINK("https://www.airitibooks.com/Detail/Detail?PublicationID=P20150506405", "https://www.airitibooks.com/Detail/Detail?PublicationID=P20150506405")</f>
        <v>https://www.airitibooks.com/Detail/Detail?PublicationID=P20150506405</v>
      </c>
      <c r="K3737" s="13" t="str">
        <f>HYPERLINK("https://ntsu.idm.oclc.org/login?url=https://www.airitibooks.com/Detail/Detail?PublicationID=P20150506405", "https://ntsu.idm.oclc.org/login?url=https://www.airitibooks.com/Detail/Detail?PublicationID=P20150506405")</f>
        <v>https://ntsu.idm.oclc.org/login?url=https://www.airitibooks.com/Detail/Detail?PublicationID=P20150506405</v>
      </c>
    </row>
    <row r="3738" spans="1:11" ht="51" x14ac:dyDescent="0.4">
      <c r="A3738" s="10" t="s">
        <v>2489</v>
      </c>
      <c r="B3738" s="10" t="s">
        <v>2490</v>
      </c>
      <c r="C3738" s="10" t="s">
        <v>938</v>
      </c>
      <c r="D3738" s="10" t="s">
        <v>2491</v>
      </c>
      <c r="E3738" s="10" t="s">
        <v>30</v>
      </c>
      <c r="F3738" s="10" t="s">
        <v>2492</v>
      </c>
      <c r="G3738" s="10" t="s">
        <v>23</v>
      </c>
      <c r="H3738" s="7" t="s">
        <v>24</v>
      </c>
      <c r="I3738" s="7" t="s">
        <v>25</v>
      </c>
      <c r="J3738" s="13" t="str">
        <f>HYPERLINK("https://www.airitibooks.com/Detail/Detail?PublicationID=P20150506415", "https://www.airitibooks.com/Detail/Detail?PublicationID=P20150506415")</f>
        <v>https://www.airitibooks.com/Detail/Detail?PublicationID=P20150506415</v>
      </c>
      <c r="K3738" s="13" t="str">
        <f>HYPERLINK("https://ntsu.idm.oclc.org/login?url=https://www.airitibooks.com/Detail/Detail?PublicationID=P20150506415", "https://ntsu.idm.oclc.org/login?url=https://www.airitibooks.com/Detail/Detail?PublicationID=P20150506415")</f>
        <v>https://ntsu.idm.oclc.org/login?url=https://www.airitibooks.com/Detail/Detail?PublicationID=P20150506415</v>
      </c>
    </row>
    <row r="3739" spans="1:11" ht="51" x14ac:dyDescent="0.4">
      <c r="A3739" s="10" t="s">
        <v>2553</v>
      </c>
      <c r="B3739" s="10" t="s">
        <v>2554</v>
      </c>
      <c r="C3739" s="10" t="s">
        <v>756</v>
      </c>
      <c r="D3739" s="10" t="s">
        <v>2555</v>
      </c>
      <c r="E3739" s="10" t="s">
        <v>30</v>
      </c>
      <c r="F3739" s="10" t="s">
        <v>1917</v>
      </c>
      <c r="G3739" s="10" t="s">
        <v>23</v>
      </c>
      <c r="H3739" s="7" t="s">
        <v>24</v>
      </c>
      <c r="I3739" s="7" t="s">
        <v>25</v>
      </c>
      <c r="J3739" s="13" t="str">
        <f>HYPERLINK("https://www.airitibooks.com/Detail/Detail?PublicationID=P20150511045", "https://www.airitibooks.com/Detail/Detail?PublicationID=P20150511045")</f>
        <v>https://www.airitibooks.com/Detail/Detail?PublicationID=P20150511045</v>
      </c>
      <c r="K3739" s="13" t="str">
        <f>HYPERLINK("https://ntsu.idm.oclc.org/login?url=https://www.airitibooks.com/Detail/Detail?PublicationID=P20150511045", "https://ntsu.idm.oclc.org/login?url=https://www.airitibooks.com/Detail/Detail?PublicationID=P20150511045")</f>
        <v>https://ntsu.idm.oclc.org/login?url=https://www.airitibooks.com/Detail/Detail?PublicationID=P20150511045</v>
      </c>
    </row>
    <row r="3740" spans="1:11" ht="51" x14ac:dyDescent="0.4">
      <c r="A3740" s="10" t="s">
        <v>2572</v>
      </c>
      <c r="B3740" s="10" t="s">
        <v>2573</v>
      </c>
      <c r="C3740" s="10" t="s">
        <v>2574</v>
      </c>
      <c r="D3740" s="10" t="s">
        <v>2575</v>
      </c>
      <c r="E3740" s="10" t="s">
        <v>30</v>
      </c>
      <c r="F3740" s="10" t="s">
        <v>2576</v>
      </c>
      <c r="G3740" s="10" t="s">
        <v>23</v>
      </c>
      <c r="H3740" s="7" t="s">
        <v>24</v>
      </c>
      <c r="I3740" s="7" t="s">
        <v>25</v>
      </c>
      <c r="J3740" s="13" t="str">
        <f>HYPERLINK("https://www.airitibooks.com/Detail/Detail?PublicationID=P20150513079", "https://www.airitibooks.com/Detail/Detail?PublicationID=P20150513079")</f>
        <v>https://www.airitibooks.com/Detail/Detail?PublicationID=P20150513079</v>
      </c>
      <c r="K3740" s="13" t="str">
        <f>HYPERLINK("https://ntsu.idm.oclc.org/login?url=https://www.airitibooks.com/Detail/Detail?PublicationID=P20150513079", "https://ntsu.idm.oclc.org/login?url=https://www.airitibooks.com/Detail/Detail?PublicationID=P20150513079")</f>
        <v>https://ntsu.idm.oclc.org/login?url=https://www.airitibooks.com/Detail/Detail?PublicationID=P20150513079</v>
      </c>
    </row>
    <row r="3741" spans="1:11" ht="51" x14ac:dyDescent="0.4">
      <c r="A3741" s="10" t="s">
        <v>2605</v>
      </c>
      <c r="B3741" s="10" t="s">
        <v>2606</v>
      </c>
      <c r="C3741" s="10" t="s">
        <v>613</v>
      </c>
      <c r="D3741" s="10" t="s">
        <v>2607</v>
      </c>
      <c r="E3741" s="10" t="s">
        <v>30</v>
      </c>
      <c r="F3741" s="10" t="s">
        <v>565</v>
      </c>
      <c r="G3741" s="10" t="s">
        <v>23</v>
      </c>
      <c r="H3741" s="7" t="s">
        <v>24</v>
      </c>
      <c r="I3741" s="7" t="s">
        <v>25</v>
      </c>
      <c r="J3741" s="13" t="str">
        <f>HYPERLINK("https://www.airitibooks.com/Detail/Detail?PublicationID=P20150525009", "https://www.airitibooks.com/Detail/Detail?PublicationID=P20150525009")</f>
        <v>https://www.airitibooks.com/Detail/Detail?PublicationID=P20150525009</v>
      </c>
      <c r="K3741" s="13" t="str">
        <f>HYPERLINK("https://ntsu.idm.oclc.org/login?url=https://www.airitibooks.com/Detail/Detail?PublicationID=P20150525009", "https://ntsu.idm.oclc.org/login?url=https://www.airitibooks.com/Detail/Detail?PublicationID=P20150525009")</f>
        <v>https://ntsu.idm.oclc.org/login?url=https://www.airitibooks.com/Detail/Detail?PublicationID=P20150525009</v>
      </c>
    </row>
    <row r="3742" spans="1:11" ht="51" x14ac:dyDescent="0.4">
      <c r="A3742" s="10" t="s">
        <v>2657</v>
      </c>
      <c r="B3742" s="10" t="s">
        <v>2658</v>
      </c>
      <c r="C3742" s="10" t="s">
        <v>791</v>
      </c>
      <c r="D3742" s="10" t="s">
        <v>2659</v>
      </c>
      <c r="E3742" s="10" t="s">
        <v>30</v>
      </c>
      <c r="F3742" s="10" t="s">
        <v>2660</v>
      </c>
      <c r="G3742" s="10" t="s">
        <v>23</v>
      </c>
      <c r="H3742" s="7" t="s">
        <v>24</v>
      </c>
      <c r="I3742" s="7" t="s">
        <v>25</v>
      </c>
      <c r="J3742" s="13" t="str">
        <f>HYPERLINK("https://www.airitibooks.com/Detail/Detail?PublicationID=P20150618005", "https://www.airitibooks.com/Detail/Detail?PublicationID=P20150618005")</f>
        <v>https://www.airitibooks.com/Detail/Detail?PublicationID=P20150618005</v>
      </c>
      <c r="K3742" s="13" t="str">
        <f>HYPERLINK("https://ntsu.idm.oclc.org/login?url=https://www.airitibooks.com/Detail/Detail?PublicationID=P20150618005", "https://ntsu.idm.oclc.org/login?url=https://www.airitibooks.com/Detail/Detail?PublicationID=P20150618005")</f>
        <v>https://ntsu.idm.oclc.org/login?url=https://www.airitibooks.com/Detail/Detail?PublicationID=P20150618005</v>
      </c>
    </row>
    <row r="3743" spans="1:11" ht="51" x14ac:dyDescent="0.4">
      <c r="A3743" s="10" t="s">
        <v>2661</v>
      </c>
      <c r="B3743" s="10" t="s">
        <v>2662</v>
      </c>
      <c r="C3743" s="10" t="s">
        <v>791</v>
      </c>
      <c r="D3743" s="10" t="s">
        <v>1103</v>
      </c>
      <c r="E3743" s="10" t="s">
        <v>30</v>
      </c>
      <c r="F3743" s="10" t="s">
        <v>2663</v>
      </c>
      <c r="G3743" s="10" t="s">
        <v>23</v>
      </c>
      <c r="H3743" s="7" t="s">
        <v>24</v>
      </c>
      <c r="I3743" s="7" t="s">
        <v>25</v>
      </c>
      <c r="J3743" s="13" t="str">
        <f>HYPERLINK("https://www.airitibooks.com/Detail/Detail?PublicationID=P20150618006", "https://www.airitibooks.com/Detail/Detail?PublicationID=P20150618006")</f>
        <v>https://www.airitibooks.com/Detail/Detail?PublicationID=P20150618006</v>
      </c>
      <c r="K3743" s="13" t="str">
        <f>HYPERLINK("https://ntsu.idm.oclc.org/login?url=https://www.airitibooks.com/Detail/Detail?PublicationID=P20150618006", "https://ntsu.idm.oclc.org/login?url=https://www.airitibooks.com/Detail/Detail?PublicationID=P20150618006")</f>
        <v>https://ntsu.idm.oclc.org/login?url=https://www.airitibooks.com/Detail/Detail?PublicationID=P20150618006</v>
      </c>
    </row>
    <row r="3744" spans="1:11" ht="51" x14ac:dyDescent="0.4">
      <c r="A3744" s="10" t="s">
        <v>2809</v>
      </c>
      <c r="B3744" s="10" t="s">
        <v>2810</v>
      </c>
      <c r="C3744" s="10" t="s">
        <v>746</v>
      </c>
      <c r="D3744" s="10" t="s">
        <v>2811</v>
      </c>
      <c r="E3744" s="10" t="s">
        <v>30</v>
      </c>
      <c r="F3744" s="10" t="s">
        <v>2812</v>
      </c>
      <c r="G3744" s="10" t="s">
        <v>23</v>
      </c>
      <c r="H3744" s="7" t="s">
        <v>24</v>
      </c>
      <c r="I3744" s="7" t="s">
        <v>25</v>
      </c>
      <c r="J3744" s="13" t="str">
        <f>HYPERLINK("https://www.airitibooks.com/Detail/Detail?PublicationID=P20150626026", "https://www.airitibooks.com/Detail/Detail?PublicationID=P20150626026")</f>
        <v>https://www.airitibooks.com/Detail/Detail?PublicationID=P20150626026</v>
      </c>
      <c r="K3744" s="13" t="str">
        <f>HYPERLINK("https://ntsu.idm.oclc.org/login?url=https://www.airitibooks.com/Detail/Detail?PublicationID=P20150626026", "https://ntsu.idm.oclc.org/login?url=https://www.airitibooks.com/Detail/Detail?PublicationID=P20150626026")</f>
        <v>https://ntsu.idm.oclc.org/login?url=https://www.airitibooks.com/Detail/Detail?PublicationID=P20150626026</v>
      </c>
    </row>
    <row r="3745" spans="1:11" ht="51" x14ac:dyDescent="0.4">
      <c r="A3745" s="10" t="s">
        <v>2845</v>
      </c>
      <c r="B3745" s="10" t="s">
        <v>2846</v>
      </c>
      <c r="C3745" s="10" t="s">
        <v>287</v>
      </c>
      <c r="D3745" s="10" t="s">
        <v>2847</v>
      </c>
      <c r="E3745" s="10" t="s">
        <v>30</v>
      </c>
      <c r="F3745" s="10" t="s">
        <v>250</v>
      </c>
      <c r="G3745" s="10" t="s">
        <v>23</v>
      </c>
      <c r="H3745" s="7" t="s">
        <v>24</v>
      </c>
      <c r="I3745" s="7" t="s">
        <v>25</v>
      </c>
      <c r="J3745" s="13" t="str">
        <f>HYPERLINK("https://www.airitibooks.com/Detail/Detail?PublicationID=P20150626083", "https://www.airitibooks.com/Detail/Detail?PublicationID=P20150626083")</f>
        <v>https://www.airitibooks.com/Detail/Detail?PublicationID=P20150626083</v>
      </c>
      <c r="K3745" s="13" t="str">
        <f>HYPERLINK("https://ntsu.idm.oclc.org/login?url=https://www.airitibooks.com/Detail/Detail?PublicationID=P20150626083", "https://ntsu.idm.oclc.org/login?url=https://www.airitibooks.com/Detail/Detail?PublicationID=P20150626083")</f>
        <v>https://ntsu.idm.oclc.org/login?url=https://www.airitibooks.com/Detail/Detail?PublicationID=P20150626083</v>
      </c>
    </row>
    <row r="3746" spans="1:11" ht="51" x14ac:dyDescent="0.4">
      <c r="A3746" s="10" t="s">
        <v>2848</v>
      </c>
      <c r="B3746" s="10" t="s">
        <v>2849</v>
      </c>
      <c r="C3746" s="10" t="s">
        <v>287</v>
      </c>
      <c r="D3746" s="10" t="s">
        <v>2847</v>
      </c>
      <c r="E3746" s="10" t="s">
        <v>30</v>
      </c>
      <c r="F3746" s="10" t="s">
        <v>250</v>
      </c>
      <c r="G3746" s="10" t="s">
        <v>23</v>
      </c>
      <c r="H3746" s="7" t="s">
        <v>24</v>
      </c>
      <c r="I3746" s="7" t="s">
        <v>25</v>
      </c>
      <c r="J3746" s="13" t="str">
        <f>HYPERLINK("https://www.airitibooks.com/Detail/Detail?PublicationID=P20150626084", "https://www.airitibooks.com/Detail/Detail?PublicationID=P20150626084")</f>
        <v>https://www.airitibooks.com/Detail/Detail?PublicationID=P20150626084</v>
      </c>
      <c r="K3746" s="13" t="str">
        <f>HYPERLINK("https://ntsu.idm.oclc.org/login?url=https://www.airitibooks.com/Detail/Detail?PublicationID=P20150626084", "https://ntsu.idm.oclc.org/login?url=https://www.airitibooks.com/Detail/Detail?PublicationID=P20150626084")</f>
        <v>https://ntsu.idm.oclc.org/login?url=https://www.airitibooks.com/Detail/Detail?PublicationID=P20150626084</v>
      </c>
    </row>
    <row r="3747" spans="1:11" ht="51" x14ac:dyDescent="0.4">
      <c r="A3747" s="10" t="s">
        <v>2850</v>
      </c>
      <c r="B3747" s="10" t="s">
        <v>2851</v>
      </c>
      <c r="C3747" s="10" t="s">
        <v>287</v>
      </c>
      <c r="D3747" s="10" t="s">
        <v>2847</v>
      </c>
      <c r="E3747" s="10" t="s">
        <v>30</v>
      </c>
      <c r="F3747" s="10" t="s">
        <v>250</v>
      </c>
      <c r="G3747" s="10" t="s">
        <v>23</v>
      </c>
      <c r="H3747" s="7" t="s">
        <v>24</v>
      </c>
      <c r="I3747" s="7" t="s">
        <v>25</v>
      </c>
      <c r="J3747" s="13" t="str">
        <f>HYPERLINK("https://www.airitibooks.com/Detail/Detail?PublicationID=P20150626085", "https://www.airitibooks.com/Detail/Detail?PublicationID=P20150626085")</f>
        <v>https://www.airitibooks.com/Detail/Detail?PublicationID=P20150626085</v>
      </c>
      <c r="K3747" s="13" t="str">
        <f>HYPERLINK("https://ntsu.idm.oclc.org/login?url=https://www.airitibooks.com/Detail/Detail?PublicationID=P20150626085", "https://ntsu.idm.oclc.org/login?url=https://www.airitibooks.com/Detail/Detail?PublicationID=P20150626085")</f>
        <v>https://ntsu.idm.oclc.org/login?url=https://www.airitibooks.com/Detail/Detail?PublicationID=P20150626085</v>
      </c>
    </row>
    <row r="3748" spans="1:11" ht="51" x14ac:dyDescent="0.4">
      <c r="A3748" s="10" t="s">
        <v>2140</v>
      </c>
      <c r="B3748" s="10" t="s">
        <v>2899</v>
      </c>
      <c r="C3748" s="10" t="s">
        <v>938</v>
      </c>
      <c r="D3748" s="10" t="s">
        <v>2142</v>
      </c>
      <c r="E3748" s="10" t="s">
        <v>30</v>
      </c>
      <c r="F3748" s="10" t="s">
        <v>720</v>
      </c>
      <c r="G3748" s="10" t="s">
        <v>23</v>
      </c>
      <c r="H3748" s="7" t="s">
        <v>24</v>
      </c>
      <c r="I3748" s="7" t="s">
        <v>25</v>
      </c>
      <c r="J3748" s="13" t="str">
        <f>HYPERLINK("https://www.airitibooks.com/Detail/Detail?PublicationID=P20150708045", "https://www.airitibooks.com/Detail/Detail?PublicationID=P20150708045")</f>
        <v>https://www.airitibooks.com/Detail/Detail?PublicationID=P20150708045</v>
      </c>
      <c r="K3748" s="13" t="str">
        <f>HYPERLINK("https://ntsu.idm.oclc.org/login?url=https://www.airitibooks.com/Detail/Detail?PublicationID=P20150708045", "https://ntsu.idm.oclc.org/login?url=https://www.airitibooks.com/Detail/Detail?PublicationID=P20150708045")</f>
        <v>https://ntsu.idm.oclc.org/login?url=https://www.airitibooks.com/Detail/Detail?PublicationID=P20150708045</v>
      </c>
    </row>
    <row r="3749" spans="1:11" ht="51" x14ac:dyDescent="0.4">
      <c r="A3749" s="10" t="s">
        <v>2904</v>
      </c>
      <c r="B3749" s="10" t="s">
        <v>2905</v>
      </c>
      <c r="C3749" s="10" t="s">
        <v>791</v>
      </c>
      <c r="D3749" s="10" t="s">
        <v>1453</v>
      </c>
      <c r="E3749" s="10" t="s">
        <v>30</v>
      </c>
      <c r="F3749" s="10" t="s">
        <v>214</v>
      </c>
      <c r="G3749" s="10" t="s">
        <v>23</v>
      </c>
      <c r="H3749" s="7" t="s">
        <v>24</v>
      </c>
      <c r="I3749" s="7" t="s">
        <v>25</v>
      </c>
      <c r="J3749" s="13" t="str">
        <f>HYPERLINK("https://www.airitibooks.com/Detail/Detail?PublicationID=P20150709005", "https://www.airitibooks.com/Detail/Detail?PublicationID=P20150709005")</f>
        <v>https://www.airitibooks.com/Detail/Detail?PublicationID=P20150709005</v>
      </c>
      <c r="K3749" s="13" t="str">
        <f>HYPERLINK("https://ntsu.idm.oclc.org/login?url=https://www.airitibooks.com/Detail/Detail?PublicationID=P20150709005", "https://ntsu.idm.oclc.org/login?url=https://www.airitibooks.com/Detail/Detail?PublicationID=P20150709005")</f>
        <v>https://ntsu.idm.oclc.org/login?url=https://www.airitibooks.com/Detail/Detail?PublicationID=P20150709005</v>
      </c>
    </row>
    <row r="3750" spans="1:11" ht="51" x14ac:dyDescent="0.4">
      <c r="A3750" s="10" t="s">
        <v>2926</v>
      </c>
      <c r="B3750" s="10" t="s">
        <v>2927</v>
      </c>
      <c r="C3750" s="10" t="s">
        <v>287</v>
      </c>
      <c r="D3750" s="10" t="s">
        <v>2847</v>
      </c>
      <c r="E3750" s="10" t="s">
        <v>30</v>
      </c>
      <c r="F3750" s="10" t="s">
        <v>1856</v>
      </c>
      <c r="G3750" s="10" t="s">
        <v>23</v>
      </c>
      <c r="H3750" s="7" t="s">
        <v>24</v>
      </c>
      <c r="I3750" s="7" t="s">
        <v>25</v>
      </c>
      <c r="J3750" s="13" t="str">
        <f>HYPERLINK("https://www.airitibooks.com/Detail/Detail?PublicationID=P20150709147", "https://www.airitibooks.com/Detail/Detail?PublicationID=P20150709147")</f>
        <v>https://www.airitibooks.com/Detail/Detail?PublicationID=P20150709147</v>
      </c>
      <c r="K3750" s="13" t="str">
        <f>HYPERLINK("https://ntsu.idm.oclc.org/login?url=https://www.airitibooks.com/Detail/Detail?PublicationID=P20150709147", "https://ntsu.idm.oclc.org/login?url=https://www.airitibooks.com/Detail/Detail?PublicationID=P20150709147")</f>
        <v>https://ntsu.idm.oclc.org/login?url=https://www.airitibooks.com/Detail/Detail?PublicationID=P20150709147</v>
      </c>
    </row>
    <row r="3751" spans="1:11" ht="51" x14ac:dyDescent="0.4">
      <c r="A3751" s="10" t="s">
        <v>2928</v>
      </c>
      <c r="B3751" s="10" t="s">
        <v>2929</v>
      </c>
      <c r="C3751" s="10" t="s">
        <v>287</v>
      </c>
      <c r="D3751" s="10" t="s">
        <v>2847</v>
      </c>
      <c r="E3751" s="10" t="s">
        <v>30</v>
      </c>
      <c r="F3751" s="10" t="s">
        <v>1856</v>
      </c>
      <c r="G3751" s="10" t="s">
        <v>23</v>
      </c>
      <c r="H3751" s="7" t="s">
        <v>24</v>
      </c>
      <c r="I3751" s="7" t="s">
        <v>25</v>
      </c>
      <c r="J3751" s="13" t="str">
        <f>HYPERLINK("https://www.airitibooks.com/Detail/Detail?PublicationID=P20150709148", "https://www.airitibooks.com/Detail/Detail?PublicationID=P20150709148")</f>
        <v>https://www.airitibooks.com/Detail/Detail?PublicationID=P20150709148</v>
      </c>
      <c r="K3751" s="13" t="str">
        <f>HYPERLINK("https://ntsu.idm.oclc.org/login?url=https://www.airitibooks.com/Detail/Detail?PublicationID=P20150709148", "https://ntsu.idm.oclc.org/login?url=https://www.airitibooks.com/Detail/Detail?PublicationID=P20150709148")</f>
        <v>https://ntsu.idm.oclc.org/login?url=https://www.airitibooks.com/Detail/Detail?PublicationID=P20150709148</v>
      </c>
    </row>
    <row r="3752" spans="1:11" ht="51" x14ac:dyDescent="0.4">
      <c r="A3752" s="10" t="s">
        <v>2938</v>
      </c>
      <c r="B3752" s="10" t="s">
        <v>2939</v>
      </c>
      <c r="C3752" s="10" t="s">
        <v>1271</v>
      </c>
      <c r="D3752" s="10" t="s">
        <v>2940</v>
      </c>
      <c r="E3752" s="10" t="s">
        <v>30</v>
      </c>
      <c r="F3752" s="10" t="s">
        <v>299</v>
      </c>
      <c r="G3752" s="10" t="s">
        <v>23</v>
      </c>
      <c r="H3752" s="7" t="s">
        <v>24</v>
      </c>
      <c r="I3752" s="7" t="s">
        <v>25</v>
      </c>
      <c r="J3752" s="13" t="str">
        <f>HYPERLINK("https://www.airitibooks.com/Detail/Detail?PublicationID=P20150807006", "https://www.airitibooks.com/Detail/Detail?PublicationID=P20150807006")</f>
        <v>https://www.airitibooks.com/Detail/Detail?PublicationID=P20150807006</v>
      </c>
      <c r="K3752" s="13" t="str">
        <f>HYPERLINK("https://ntsu.idm.oclc.org/login?url=https://www.airitibooks.com/Detail/Detail?PublicationID=P20150807006", "https://ntsu.idm.oclc.org/login?url=https://www.airitibooks.com/Detail/Detail?PublicationID=P20150807006")</f>
        <v>https://ntsu.idm.oclc.org/login?url=https://www.airitibooks.com/Detail/Detail?PublicationID=P20150807006</v>
      </c>
    </row>
    <row r="3753" spans="1:11" ht="51" x14ac:dyDescent="0.4">
      <c r="A3753" s="10" t="s">
        <v>2941</v>
      </c>
      <c r="B3753" s="10" t="s">
        <v>2942</v>
      </c>
      <c r="C3753" s="10" t="s">
        <v>222</v>
      </c>
      <c r="D3753" s="10" t="s">
        <v>2943</v>
      </c>
      <c r="E3753" s="10" t="s">
        <v>30</v>
      </c>
      <c r="F3753" s="10" t="s">
        <v>565</v>
      </c>
      <c r="G3753" s="10" t="s">
        <v>23</v>
      </c>
      <c r="H3753" s="7" t="s">
        <v>24</v>
      </c>
      <c r="I3753" s="7" t="s">
        <v>25</v>
      </c>
      <c r="J3753" s="13" t="str">
        <f>HYPERLINK("https://www.airitibooks.com/Detail/Detail?PublicationID=P20150807008", "https://www.airitibooks.com/Detail/Detail?PublicationID=P20150807008")</f>
        <v>https://www.airitibooks.com/Detail/Detail?PublicationID=P20150807008</v>
      </c>
      <c r="K3753" s="13" t="str">
        <f>HYPERLINK("https://ntsu.idm.oclc.org/login?url=https://www.airitibooks.com/Detail/Detail?PublicationID=P20150807008", "https://ntsu.idm.oclc.org/login?url=https://www.airitibooks.com/Detail/Detail?PublicationID=P20150807008")</f>
        <v>https://ntsu.idm.oclc.org/login?url=https://www.airitibooks.com/Detail/Detail?PublicationID=P20150807008</v>
      </c>
    </row>
    <row r="3754" spans="1:11" ht="51" x14ac:dyDescent="0.4">
      <c r="A3754" s="10" t="s">
        <v>2944</v>
      </c>
      <c r="B3754" s="10" t="s">
        <v>2945</v>
      </c>
      <c r="C3754" s="10" t="s">
        <v>1484</v>
      </c>
      <c r="D3754" s="10" t="s">
        <v>2946</v>
      </c>
      <c r="E3754" s="10" t="s">
        <v>30</v>
      </c>
      <c r="F3754" s="10" t="s">
        <v>2947</v>
      </c>
      <c r="G3754" s="10" t="s">
        <v>23</v>
      </c>
      <c r="H3754" s="7" t="s">
        <v>24</v>
      </c>
      <c r="I3754" s="7" t="s">
        <v>25</v>
      </c>
      <c r="J3754" s="13" t="str">
        <f>HYPERLINK("https://www.airitibooks.com/Detail/Detail?PublicationID=P20150807012", "https://www.airitibooks.com/Detail/Detail?PublicationID=P20150807012")</f>
        <v>https://www.airitibooks.com/Detail/Detail?PublicationID=P20150807012</v>
      </c>
      <c r="K3754" s="13" t="str">
        <f>HYPERLINK("https://ntsu.idm.oclc.org/login?url=https://www.airitibooks.com/Detail/Detail?PublicationID=P20150807012", "https://ntsu.idm.oclc.org/login?url=https://www.airitibooks.com/Detail/Detail?PublicationID=P20150807012")</f>
        <v>https://ntsu.idm.oclc.org/login?url=https://www.airitibooks.com/Detail/Detail?PublicationID=P20150807012</v>
      </c>
    </row>
    <row r="3755" spans="1:11" ht="51" x14ac:dyDescent="0.4">
      <c r="A3755" s="10" t="s">
        <v>2968</v>
      </c>
      <c r="B3755" s="10" t="s">
        <v>2969</v>
      </c>
      <c r="C3755" s="10" t="s">
        <v>297</v>
      </c>
      <c r="D3755" s="10" t="s">
        <v>1406</v>
      </c>
      <c r="E3755" s="10" t="s">
        <v>30</v>
      </c>
      <c r="F3755" s="10" t="s">
        <v>299</v>
      </c>
      <c r="G3755" s="10" t="s">
        <v>23</v>
      </c>
      <c r="H3755" s="7" t="s">
        <v>24</v>
      </c>
      <c r="I3755" s="7" t="s">
        <v>25</v>
      </c>
      <c r="J3755" s="13" t="str">
        <f>HYPERLINK("https://www.airitibooks.com/Detail/Detail?PublicationID=P20150807028", "https://www.airitibooks.com/Detail/Detail?PublicationID=P20150807028")</f>
        <v>https://www.airitibooks.com/Detail/Detail?PublicationID=P20150807028</v>
      </c>
      <c r="K3755" s="13" t="str">
        <f>HYPERLINK("https://ntsu.idm.oclc.org/login?url=https://www.airitibooks.com/Detail/Detail?PublicationID=P20150807028", "https://ntsu.idm.oclc.org/login?url=https://www.airitibooks.com/Detail/Detail?PublicationID=P20150807028")</f>
        <v>https://ntsu.idm.oclc.org/login?url=https://www.airitibooks.com/Detail/Detail?PublicationID=P20150807028</v>
      </c>
    </row>
    <row r="3756" spans="1:11" ht="51" x14ac:dyDescent="0.4">
      <c r="A3756" s="10" t="s">
        <v>3008</v>
      </c>
      <c r="B3756" s="10" t="s">
        <v>3009</v>
      </c>
      <c r="C3756" s="10" t="s">
        <v>287</v>
      </c>
      <c r="D3756" s="10" t="s">
        <v>3010</v>
      </c>
      <c r="E3756" s="10" t="s">
        <v>30</v>
      </c>
      <c r="F3756" s="10" t="s">
        <v>250</v>
      </c>
      <c r="G3756" s="10" t="s">
        <v>23</v>
      </c>
      <c r="H3756" s="7" t="s">
        <v>24</v>
      </c>
      <c r="I3756" s="7" t="s">
        <v>25</v>
      </c>
      <c r="J3756" s="13" t="str">
        <f>HYPERLINK("https://www.airitibooks.com/Detail/Detail?PublicationID=P20150810013", "https://www.airitibooks.com/Detail/Detail?PublicationID=P20150810013")</f>
        <v>https://www.airitibooks.com/Detail/Detail?PublicationID=P20150810013</v>
      </c>
      <c r="K3756" s="13" t="str">
        <f>HYPERLINK("https://ntsu.idm.oclc.org/login?url=https://www.airitibooks.com/Detail/Detail?PublicationID=P20150810013", "https://ntsu.idm.oclc.org/login?url=https://www.airitibooks.com/Detail/Detail?PublicationID=P20150810013")</f>
        <v>https://ntsu.idm.oclc.org/login?url=https://www.airitibooks.com/Detail/Detail?PublicationID=P20150810013</v>
      </c>
    </row>
    <row r="3757" spans="1:11" ht="51" x14ac:dyDescent="0.4">
      <c r="A3757" s="10" t="s">
        <v>3011</v>
      </c>
      <c r="B3757" s="10" t="s">
        <v>3012</v>
      </c>
      <c r="C3757" s="10" t="s">
        <v>287</v>
      </c>
      <c r="D3757" s="10" t="s">
        <v>3010</v>
      </c>
      <c r="E3757" s="10" t="s">
        <v>30</v>
      </c>
      <c r="F3757" s="10" t="s">
        <v>3013</v>
      </c>
      <c r="G3757" s="10" t="s">
        <v>23</v>
      </c>
      <c r="H3757" s="7" t="s">
        <v>24</v>
      </c>
      <c r="I3757" s="7" t="s">
        <v>25</v>
      </c>
      <c r="J3757" s="13" t="str">
        <f>HYPERLINK("https://www.airitibooks.com/Detail/Detail?PublicationID=P20150810014", "https://www.airitibooks.com/Detail/Detail?PublicationID=P20150810014")</f>
        <v>https://www.airitibooks.com/Detail/Detail?PublicationID=P20150810014</v>
      </c>
      <c r="K3757" s="13" t="str">
        <f>HYPERLINK("https://ntsu.idm.oclc.org/login?url=https://www.airitibooks.com/Detail/Detail?PublicationID=P20150810014", "https://ntsu.idm.oclc.org/login?url=https://www.airitibooks.com/Detail/Detail?PublicationID=P20150810014")</f>
        <v>https://ntsu.idm.oclc.org/login?url=https://www.airitibooks.com/Detail/Detail?PublicationID=P20150810014</v>
      </c>
    </row>
    <row r="3758" spans="1:11" ht="51" x14ac:dyDescent="0.4">
      <c r="A3758" s="10" t="s">
        <v>3014</v>
      </c>
      <c r="B3758" s="10" t="s">
        <v>3015</v>
      </c>
      <c r="C3758" s="10" t="s">
        <v>287</v>
      </c>
      <c r="D3758" s="10" t="s">
        <v>3010</v>
      </c>
      <c r="E3758" s="10" t="s">
        <v>30</v>
      </c>
      <c r="F3758" s="10" t="s">
        <v>299</v>
      </c>
      <c r="G3758" s="10" t="s">
        <v>23</v>
      </c>
      <c r="H3758" s="7" t="s">
        <v>24</v>
      </c>
      <c r="I3758" s="7" t="s">
        <v>25</v>
      </c>
      <c r="J3758" s="13" t="str">
        <f>HYPERLINK("https://www.airitibooks.com/Detail/Detail?PublicationID=P20150810016", "https://www.airitibooks.com/Detail/Detail?PublicationID=P20150810016")</f>
        <v>https://www.airitibooks.com/Detail/Detail?PublicationID=P20150810016</v>
      </c>
      <c r="K3758" s="13" t="str">
        <f>HYPERLINK("https://ntsu.idm.oclc.org/login?url=https://www.airitibooks.com/Detail/Detail?PublicationID=P20150810016", "https://ntsu.idm.oclc.org/login?url=https://www.airitibooks.com/Detail/Detail?PublicationID=P20150810016")</f>
        <v>https://ntsu.idm.oclc.org/login?url=https://www.airitibooks.com/Detail/Detail?PublicationID=P20150810016</v>
      </c>
    </row>
    <row r="3759" spans="1:11" ht="51" x14ac:dyDescent="0.4">
      <c r="A3759" s="10" t="s">
        <v>3016</v>
      </c>
      <c r="B3759" s="10" t="s">
        <v>3017</v>
      </c>
      <c r="C3759" s="10" t="s">
        <v>287</v>
      </c>
      <c r="D3759" s="10" t="s">
        <v>3010</v>
      </c>
      <c r="E3759" s="10" t="s">
        <v>30</v>
      </c>
      <c r="F3759" s="10" t="s">
        <v>299</v>
      </c>
      <c r="G3759" s="10" t="s">
        <v>23</v>
      </c>
      <c r="H3759" s="7" t="s">
        <v>24</v>
      </c>
      <c r="I3759" s="7" t="s">
        <v>25</v>
      </c>
      <c r="J3759" s="13" t="str">
        <f>HYPERLINK("https://www.airitibooks.com/Detail/Detail?PublicationID=P20150810017", "https://www.airitibooks.com/Detail/Detail?PublicationID=P20150810017")</f>
        <v>https://www.airitibooks.com/Detail/Detail?PublicationID=P20150810017</v>
      </c>
      <c r="K3759" s="13" t="str">
        <f>HYPERLINK("https://ntsu.idm.oclc.org/login?url=https://www.airitibooks.com/Detail/Detail?PublicationID=P20150810017", "https://ntsu.idm.oclc.org/login?url=https://www.airitibooks.com/Detail/Detail?PublicationID=P20150810017")</f>
        <v>https://ntsu.idm.oclc.org/login?url=https://www.airitibooks.com/Detail/Detail?PublicationID=P20150810017</v>
      </c>
    </row>
    <row r="3760" spans="1:11" ht="51" x14ac:dyDescent="0.4">
      <c r="A3760" s="10" t="s">
        <v>3018</v>
      </c>
      <c r="B3760" s="10" t="s">
        <v>3019</v>
      </c>
      <c r="C3760" s="10" t="s">
        <v>287</v>
      </c>
      <c r="D3760" s="10" t="s">
        <v>3010</v>
      </c>
      <c r="E3760" s="10" t="s">
        <v>30</v>
      </c>
      <c r="F3760" s="10" t="s">
        <v>299</v>
      </c>
      <c r="G3760" s="10" t="s">
        <v>23</v>
      </c>
      <c r="H3760" s="7" t="s">
        <v>24</v>
      </c>
      <c r="I3760" s="7" t="s">
        <v>25</v>
      </c>
      <c r="J3760" s="13" t="str">
        <f>HYPERLINK("https://www.airitibooks.com/Detail/Detail?PublicationID=P20150810018", "https://www.airitibooks.com/Detail/Detail?PublicationID=P20150810018")</f>
        <v>https://www.airitibooks.com/Detail/Detail?PublicationID=P20150810018</v>
      </c>
      <c r="K3760" s="13" t="str">
        <f>HYPERLINK("https://ntsu.idm.oclc.org/login?url=https://www.airitibooks.com/Detail/Detail?PublicationID=P20150810018", "https://ntsu.idm.oclc.org/login?url=https://www.airitibooks.com/Detail/Detail?PublicationID=P20150810018")</f>
        <v>https://ntsu.idm.oclc.org/login?url=https://www.airitibooks.com/Detail/Detail?PublicationID=P20150810018</v>
      </c>
    </row>
    <row r="3761" spans="1:11" ht="51" x14ac:dyDescent="0.4">
      <c r="A3761" s="10" t="s">
        <v>3020</v>
      </c>
      <c r="B3761" s="10" t="s">
        <v>3021</v>
      </c>
      <c r="C3761" s="10" t="s">
        <v>287</v>
      </c>
      <c r="D3761" s="10" t="s">
        <v>3022</v>
      </c>
      <c r="E3761" s="10" t="s">
        <v>30</v>
      </c>
      <c r="F3761" s="10" t="s">
        <v>250</v>
      </c>
      <c r="G3761" s="10" t="s">
        <v>23</v>
      </c>
      <c r="H3761" s="7" t="s">
        <v>24</v>
      </c>
      <c r="I3761" s="7" t="s">
        <v>25</v>
      </c>
      <c r="J3761" s="13" t="str">
        <f>HYPERLINK("https://www.airitibooks.com/Detail/Detail?PublicationID=P20150810020", "https://www.airitibooks.com/Detail/Detail?PublicationID=P20150810020")</f>
        <v>https://www.airitibooks.com/Detail/Detail?PublicationID=P20150810020</v>
      </c>
      <c r="K3761" s="13" t="str">
        <f>HYPERLINK("https://ntsu.idm.oclc.org/login?url=https://www.airitibooks.com/Detail/Detail?PublicationID=P20150810020", "https://ntsu.idm.oclc.org/login?url=https://www.airitibooks.com/Detail/Detail?PublicationID=P20150810020")</f>
        <v>https://ntsu.idm.oclc.org/login?url=https://www.airitibooks.com/Detail/Detail?PublicationID=P20150810020</v>
      </c>
    </row>
    <row r="3762" spans="1:11" ht="51" x14ac:dyDescent="0.4">
      <c r="A3762" s="10" t="s">
        <v>3082</v>
      </c>
      <c r="B3762" s="10" t="s">
        <v>3083</v>
      </c>
      <c r="C3762" s="10" t="s">
        <v>1271</v>
      </c>
      <c r="D3762" s="10" t="s">
        <v>3084</v>
      </c>
      <c r="E3762" s="10" t="s">
        <v>30</v>
      </c>
      <c r="F3762" s="10" t="s">
        <v>565</v>
      </c>
      <c r="G3762" s="10" t="s">
        <v>23</v>
      </c>
      <c r="H3762" s="7" t="s">
        <v>24</v>
      </c>
      <c r="I3762" s="7" t="s">
        <v>25</v>
      </c>
      <c r="J3762" s="13" t="str">
        <f>HYPERLINK("https://www.airitibooks.com/Detail/Detail?PublicationID=P20150820119", "https://www.airitibooks.com/Detail/Detail?PublicationID=P20150820119")</f>
        <v>https://www.airitibooks.com/Detail/Detail?PublicationID=P20150820119</v>
      </c>
      <c r="K3762" s="13" t="str">
        <f>HYPERLINK("https://ntsu.idm.oclc.org/login?url=https://www.airitibooks.com/Detail/Detail?PublicationID=P20150820119", "https://ntsu.idm.oclc.org/login?url=https://www.airitibooks.com/Detail/Detail?PublicationID=P20150820119")</f>
        <v>https://ntsu.idm.oclc.org/login?url=https://www.airitibooks.com/Detail/Detail?PublicationID=P20150820119</v>
      </c>
    </row>
    <row r="3763" spans="1:11" ht="51" x14ac:dyDescent="0.4">
      <c r="A3763" s="10" t="s">
        <v>3100</v>
      </c>
      <c r="B3763" s="10" t="s">
        <v>3101</v>
      </c>
      <c r="C3763" s="10" t="s">
        <v>1271</v>
      </c>
      <c r="D3763" s="10" t="s">
        <v>3102</v>
      </c>
      <c r="E3763" s="10" t="s">
        <v>30</v>
      </c>
      <c r="F3763" s="10" t="s">
        <v>3103</v>
      </c>
      <c r="G3763" s="10" t="s">
        <v>23</v>
      </c>
      <c r="H3763" s="7" t="s">
        <v>24</v>
      </c>
      <c r="I3763" s="7" t="s">
        <v>25</v>
      </c>
      <c r="J3763" s="13" t="str">
        <f>HYPERLINK("https://www.airitibooks.com/Detail/Detail?PublicationID=P20150820130", "https://www.airitibooks.com/Detail/Detail?PublicationID=P20150820130")</f>
        <v>https://www.airitibooks.com/Detail/Detail?PublicationID=P20150820130</v>
      </c>
      <c r="K3763" s="13" t="str">
        <f>HYPERLINK("https://ntsu.idm.oclc.org/login?url=https://www.airitibooks.com/Detail/Detail?PublicationID=P20150820130", "https://ntsu.idm.oclc.org/login?url=https://www.airitibooks.com/Detail/Detail?PublicationID=P20150820130")</f>
        <v>https://ntsu.idm.oclc.org/login?url=https://www.airitibooks.com/Detail/Detail?PublicationID=P20150820130</v>
      </c>
    </row>
    <row r="3764" spans="1:11" ht="51" x14ac:dyDescent="0.4">
      <c r="A3764" s="10" t="s">
        <v>3129</v>
      </c>
      <c r="B3764" s="10" t="s">
        <v>3130</v>
      </c>
      <c r="C3764" s="10" t="s">
        <v>1271</v>
      </c>
      <c r="D3764" s="10" t="s">
        <v>3131</v>
      </c>
      <c r="E3764" s="10" t="s">
        <v>30</v>
      </c>
      <c r="F3764" s="10" t="s">
        <v>3132</v>
      </c>
      <c r="G3764" s="10" t="s">
        <v>23</v>
      </c>
      <c r="H3764" s="7" t="s">
        <v>24</v>
      </c>
      <c r="I3764" s="7" t="s">
        <v>25</v>
      </c>
      <c r="J3764" s="13" t="str">
        <f>HYPERLINK("https://www.airitibooks.com/Detail/Detail?PublicationID=P20150820142", "https://www.airitibooks.com/Detail/Detail?PublicationID=P20150820142")</f>
        <v>https://www.airitibooks.com/Detail/Detail?PublicationID=P20150820142</v>
      </c>
      <c r="K3764" s="13" t="str">
        <f>HYPERLINK("https://ntsu.idm.oclc.org/login?url=https://www.airitibooks.com/Detail/Detail?PublicationID=P20150820142", "https://ntsu.idm.oclc.org/login?url=https://www.airitibooks.com/Detail/Detail?PublicationID=P20150820142")</f>
        <v>https://ntsu.idm.oclc.org/login?url=https://www.airitibooks.com/Detail/Detail?PublicationID=P20150820142</v>
      </c>
    </row>
    <row r="3765" spans="1:11" ht="51" x14ac:dyDescent="0.4">
      <c r="A3765" s="10" t="s">
        <v>3133</v>
      </c>
      <c r="B3765" s="10" t="s">
        <v>3134</v>
      </c>
      <c r="C3765" s="10" t="s">
        <v>1271</v>
      </c>
      <c r="D3765" s="10" t="s">
        <v>3135</v>
      </c>
      <c r="E3765" s="10" t="s">
        <v>30</v>
      </c>
      <c r="F3765" s="10" t="s">
        <v>3136</v>
      </c>
      <c r="G3765" s="10" t="s">
        <v>23</v>
      </c>
      <c r="H3765" s="7" t="s">
        <v>24</v>
      </c>
      <c r="I3765" s="7" t="s">
        <v>25</v>
      </c>
      <c r="J3765" s="13" t="str">
        <f>HYPERLINK("https://www.airitibooks.com/Detail/Detail?PublicationID=P20150820143", "https://www.airitibooks.com/Detail/Detail?PublicationID=P20150820143")</f>
        <v>https://www.airitibooks.com/Detail/Detail?PublicationID=P20150820143</v>
      </c>
      <c r="K3765" s="13" t="str">
        <f>HYPERLINK("https://ntsu.idm.oclc.org/login?url=https://www.airitibooks.com/Detail/Detail?PublicationID=P20150820143", "https://ntsu.idm.oclc.org/login?url=https://www.airitibooks.com/Detail/Detail?PublicationID=P20150820143")</f>
        <v>https://ntsu.idm.oclc.org/login?url=https://www.airitibooks.com/Detail/Detail?PublicationID=P20150820143</v>
      </c>
    </row>
    <row r="3766" spans="1:11" ht="51" x14ac:dyDescent="0.4">
      <c r="A3766" s="10" t="s">
        <v>3156</v>
      </c>
      <c r="B3766" s="10" t="s">
        <v>3157</v>
      </c>
      <c r="C3766" s="10" t="s">
        <v>1271</v>
      </c>
      <c r="D3766" s="10" t="s">
        <v>3158</v>
      </c>
      <c r="E3766" s="10" t="s">
        <v>30</v>
      </c>
      <c r="F3766" s="10" t="s">
        <v>546</v>
      </c>
      <c r="G3766" s="10" t="s">
        <v>23</v>
      </c>
      <c r="H3766" s="7" t="s">
        <v>24</v>
      </c>
      <c r="I3766" s="7" t="s">
        <v>25</v>
      </c>
      <c r="J3766" s="13" t="str">
        <f>HYPERLINK("https://www.airitibooks.com/Detail/Detail?PublicationID=P20150820149", "https://www.airitibooks.com/Detail/Detail?PublicationID=P20150820149")</f>
        <v>https://www.airitibooks.com/Detail/Detail?PublicationID=P20150820149</v>
      </c>
      <c r="K3766" s="13" t="str">
        <f>HYPERLINK("https://ntsu.idm.oclc.org/login?url=https://www.airitibooks.com/Detail/Detail?PublicationID=P20150820149", "https://ntsu.idm.oclc.org/login?url=https://www.airitibooks.com/Detail/Detail?PublicationID=P20150820149")</f>
        <v>https://ntsu.idm.oclc.org/login?url=https://www.airitibooks.com/Detail/Detail?PublicationID=P20150820149</v>
      </c>
    </row>
    <row r="3767" spans="1:11" ht="51" x14ac:dyDescent="0.4">
      <c r="A3767" s="10" t="s">
        <v>3159</v>
      </c>
      <c r="B3767" s="10" t="s">
        <v>3160</v>
      </c>
      <c r="C3767" s="10" t="s">
        <v>1271</v>
      </c>
      <c r="D3767" s="10" t="s">
        <v>3161</v>
      </c>
      <c r="E3767" s="10" t="s">
        <v>30</v>
      </c>
      <c r="F3767" s="10" t="s">
        <v>565</v>
      </c>
      <c r="G3767" s="10" t="s">
        <v>23</v>
      </c>
      <c r="H3767" s="7" t="s">
        <v>24</v>
      </c>
      <c r="I3767" s="7" t="s">
        <v>25</v>
      </c>
      <c r="J3767" s="13" t="str">
        <f>HYPERLINK("https://www.airitibooks.com/Detail/Detail?PublicationID=P20150820150", "https://www.airitibooks.com/Detail/Detail?PublicationID=P20150820150")</f>
        <v>https://www.airitibooks.com/Detail/Detail?PublicationID=P20150820150</v>
      </c>
      <c r="K3767" s="13" t="str">
        <f>HYPERLINK("https://ntsu.idm.oclc.org/login?url=https://www.airitibooks.com/Detail/Detail?PublicationID=P20150820150", "https://ntsu.idm.oclc.org/login?url=https://www.airitibooks.com/Detail/Detail?PublicationID=P20150820150")</f>
        <v>https://ntsu.idm.oclc.org/login?url=https://www.airitibooks.com/Detail/Detail?PublicationID=P20150820150</v>
      </c>
    </row>
    <row r="3768" spans="1:11" ht="51" x14ac:dyDescent="0.4">
      <c r="A3768" s="10" t="s">
        <v>3178</v>
      </c>
      <c r="B3768" s="10" t="s">
        <v>3179</v>
      </c>
      <c r="C3768" s="10" t="s">
        <v>791</v>
      </c>
      <c r="D3768" s="10" t="s">
        <v>3180</v>
      </c>
      <c r="E3768" s="10" t="s">
        <v>30</v>
      </c>
      <c r="F3768" s="10" t="s">
        <v>3181</v>
      </c>
      <c r="G3768" s="10" t="s">
        <v>23</v>
      </c>
      <c r="H3768" s="7" t="s">
        <v>24</v>
      </c>
      <c r="I3768" s="7" t="s">
        <v>25</v>
      </c>
      <c r="J3768" s="13" t="str">
        <f>HYPERLINK("https://www.airitibooks.com/Detail/Detail?PublicationID=P20150820177", "https://www.airitibooks.com/Detail/Detail?PublicationID=P20150820177")</f>
        <v>https://www.airitibooks.com/Detail/Detail?PublicationID=P20150820177</v>
      </c>
      <c r="K3768" s="13" t="str">
        <f>HYPERLINK("https://ntsu.idm.oclc.org/login?url=https://www.airitibooks.com/Detail/Detail?PublicationID=P20150820177", "https://ntsu.idm.oclc.org/login?url=https://www.airitibooks.com/Detail/Detail?PublicationID=P20150820177")</f>
        <v>https://ntsu.idm.oclc.org/login?url=https://www.airitibooks.com/Detail/Detail?PublicationID=P20150820177</v>
      </c>
    </row>
    <row r="3769" spans="1:11" ht="51" x14ac:dyDescent="0.4">
      <c r="A3769" s="10" t="s">
        <v>3223</v>
      </c>
      <c r="B3769" s="10" t="s">
        <v>3224</v>
      </c>
      <c r="C3769" s="10" t="s">
        <v>1986</v>
      </c>
      <c r="D3769" s="10" t="s">
        <v>3225</v>
      </c>
      <c r="E3769" s="10" t="s">
        <v>30</v>
      </c>
      <c r="F3769" s="10" t="s">
        <v>214</v>
      </c>
      <c r="G3769" s="10" t="s">
        <v>23</v>
      </c>
      <c r="H3769" s="7" t="s">
        <v>24</v>
      </c>
      <c r="I3769" s="7" t="s">
        <v>25</v>
      </c>
      <c r="J3769" s="13" t="str">
        <f>HYPERLINK("https://www.airitibooks.com/Detail/Detail?PublicationID=P20150820216", "https://www.airitibooks.com/Detail/Detail?PublicationID=P20150820216")</f>
        <v>https://www.airitibooks.com/Detail/Detail?PublicationID=P20150820216</v>
      </c>
      <c r="K3769" s="13" t="str">
        <f>HYPERLINK("https://ntsu.idm.oclc.org/login?url=https://www.airitibooks.com/Detail/Detail?PublicationID=P20150820216", "https://ntsu.idm.oclc.org/login?url=https://www.airitibooks.com/Detail/Detail?PublicationID=P20150820216")</f>
        <v>https://ntsu.idm.oclc.org/login?url=https://www.airitibooks.com/Detail/Detail?PublicationID=P20150820216</v>
      </c>
    </row>
    <row r="3770" spans="1:11" ht="85" x14ac:dyDescent="0.4">
      <c r="A3770" s="10" t="s">
        <v>3226</v>
      </c>
      <c r="B3770" s="10" t="s">
        <v>3227</v>
      </c>
      <c r="C3770" s="10" t="s">
        <v>1986</v>
      </c>
      <c r="D3770" s="10" t="s">
        <v>3228</v>
      </c>
      <c r="E3770" s="10" t="s">
        <v>30</v>
      </c>
      <c r="F3770" s="10" t="s">
        <v>720</v>
      </c>
      <c r="G3770" s="10" t="s">
        <v>23</v>
      </c>
      <c r="H3770" s="7" t="s">
        <v>24</v>
      </c>
      <c r="I3770" s="7" t="s">
        <v>25</v>
      </c>
      <c r="J3770" s="13" t="str">
        <f>HYPERLINK("https://www.airitibooks.com/Detail/Detail?PublicationID=P20150820217", "https://www.airitibooks.com/Detail/Detail?PublicationID=P20150820217")</f>
        <v>https://www.airitibooks.com/Detail/Detail?PublicationID=P20150820217</v>
      </c>
      <c r="K3770" s="13" t="str">
        <f>HYPERLINK("https://ntsu.idm.oclc.org/login?url=https://www.airitibooks.com/Detail/Detail?PublicationID=P20150820217", "https://ntsu.idm.oclc.org/login?url=https://www.airitibooks.com/Detail/Detail?PublicationID=P20150820217")</f>
        <v>https://ntsu.idm.oclc.org/login?url=https://www.airitibooks.com/Detail/Detail?PublicationID=P20150820217</v>
      </c>
    </row>
    <row r="3771" spans="1:11" ht="51" x14ac:dyDescent="0.4">
      <c r="A3771" s="10" t="s">
        <v>3229</v>
      </c>
      <c r="B3771" s="10" t="s">
        <v>3230</v>
      </c>
      <c r="C3771" s="10" t="s">
        <v>1986</v>
      </c>
      <c r="D3771" s="10" t="s">
        <v>1990</v>
      </c>
      <c r="E3771" s="10" t="s">
        <v>30</v>
      </c>
      <c r="F3771" s="10" t="s">
        <v>394</v>
      </c>
      <c r="G3771" s="10" t="s">
        <v>23</v>
      </c>
      <c r="H3771" s="7" t="s">
        <v>24</v>
      </c>
      <c r="I3771" s="7" t="s">
        <v>25</v>
      </c>
      <c r="J3771" s="13" t="str">
        <f>HYPERLINK("https://www.airitibooks.com/Detail/Detail?PublicationID=P20150820218", "https://www.airitibooks.com/Detail/Detail?PublicationID=P20150820218")</f>
        <v>https://www.airitibooks.com/Detail/Detail?PublicationID=P20150820218</v>
      </c>
      <c r="K3771" s="13" t="str">
        <f>HYPERLINK("https://ntsu.idm.oclc.org/login?url=https://www.airitibooks.com/Detail/Detail?PublicationID=P20150820218", "https://ntsu.idm.oclc.org/login?url=https://www.airitibooks.com/Detail/Detail?PublicationID=P20150820218")</f>
        <v>https://ntsu.idm.oclc.org/login?url=https://www.airitibooks.com/Detail/Detail?PublicationID=P20150820218</v>
      </c>
    </row>
    <row r="3772" spans="1:11" ht="68" x14ac:dyDescent="0.4">
      <c r="A3772" s="10" t="s">
        <v>3231</v>
      </c>
      <c r="B3772" s="10" t="s">
        <v>3232</v>
      </c>
      <c r="C3772" s="10" t="s">
        <v>1986</v>
      </c>
      <c r="D3772" s="10" t="s">
        <v>3233</v>
      </c>
      <c r="E3772" s="10" t="s">
        <v>30</v>
      </c>
      <c r="F3772" s="10" t="s">
        <v>386</v>
      </c>
      <c r="G3772" s="10" t="s">
        <v>23</v>
      </c>
      <c r="H3772" s="7" t="s">
        <v>24</v>
      </c>
      <c r="I3772" s="7" t="s">
        <v>25</v>
      </c>
      <c r="J3772" s="13" t="str">
        <f>HYPERLINK("https://www.airitibooks.com/Detail/Detail?PublicationID=P20150820221", "https://www.airitibooks.com/Detail/Detail?PublicationID=P20150820221")</f>
        <v>https://www.airitibooks.com/Detail/Detail?PublicationID=P20150820221</v>
      </c>
      <c r="K3772" s="13" t="str">
        <f>HYPERLINK("https://ntsu.idm.oclc.org/login?url=https://www.airitibooks.com/Detail/Detail?PublicationID=P20150820221", "https://ntsu.idm.oclc.org/login?url=https://www.airitibooks.com/Detail/Detail?PublicationID=P20150820221")</f>
        <v>https://ntsu.idm.oclc.org/login?url=https://www.airitibooks.com/Detail/Detail?PublicationID=P20150820221</v>
      </c>
    </row>
    <row r="3773" spans="1:11" ht="85" x14ac:dyDescent="0.4">
      <c r="A3773" s="10" t="s">
        <v>3242</v>
      </c>
      <c r="B3773" s="10" t="s">
        <v>3243</v>
      </c>
      <c r="C3773" s="10" t="s">
        <v>3244</v>
      </c>
      <c r="D3773" s="10" t="s">
        <v>3245</v>
      </c>
      <c r="E3773" s="10" t="s">
        <v>30</v>
      </c>
      <c r="F3773" s="10" t="s">
        <v>1917</v>
      </c>
      <c r="G3773" s="10" t="s">
        <v>23</v>
      </c>
      <c r="H3773" s="7" t="s">
        <v>24</v>
      </c>
      <c r="I3773" s="7" t="s">
        <v>25</v>
      </c>
      <c r="J3773" s="13" t="str">
        <f>HYPERLINK("https://www.airitibooks.com/Detail/Detail?PublicationID=P20150820239", "https://www.airitibooks.com/Detail/Detail?PublicationID=P20150820239")</f>
        <v>https://www.airitibooks.com/Detail/Detail?PublicationID=P20150820239</v>
      </c>
      <c r="K3773" s="13" t="str">
        <f>HYPERLINK("https://ntsu.idm.oclc.org/login?url=https://www.airitibooks.com/Detail/Detail?PublicationID=P20150820239", "https://ntsu.idm.oclc.org/login?url=https://www.airitibooks.com/Detail/Detail?PublicationID=P20150820239")</f>
        <v>https://ntsu.idm.oclc.org/login?url=https://www.airitibooks.com/Detail/Detail?PublicationID=P20150820239</v>
      </c>
    </row>
    <row r="3774" spans="1:11" ht="51" x14ac:dyDescent="0.4">
      <c r="A3774" s="10" t="s">
        <v>3246</v>
      </c>
      <c r="B3774" s="10" t="s">
        <v>3247</v>
      </c>
      <c r="C3774" s="10" t="s">
        <v>3244</v>
      </c>
      <c r="D3774" s="10" t="s">
        <v>3248</v>
      </c>
      <c r="E3774" s="10" t="s">
        <v>30</v>
      </c>
      <c r="F3774" s="10" t="s">
        <v>762</v>
      </c>
      <c r="G3774" s="10" t="s">
        <v>23</v>
      </c>
      <c r="H3774" s="7" t="s">
        <v>24</v>
      </c>
      <c r="I3774" s="7" t="s">
        <v>25</v>
      </c>
      <c r="J3774" s="13" t="str">
        <f>HYPERLINK("https://www.airitibooks.com/Detail/Detail?PublicationID=P20150820240", "https://www.airitibooks.com/Detail/Detail?PublicationID=P20150820240")</f>
        <v>https://www.airitibooks.com/Detail/Detail?PublicationID=P20150820240</v>
      </c>
      <c r="K3774" s="13" t="str">
        <f>HYPERLINK("https://ntsu.idm.oclc.org/login?url=https://www.airitibooks.com/Detail/Detail?PublicationID=P20150820240", "https://ntsu.idm.oclc.org/login?url=https://www.airitibooks.com/Detail/Detail?PublicationID=P20150820240")</f>
        <v>https://ntsu.idm.oclc.org/login?url=https://www.airitibooks.com/Detail/Detail?PublicationID=P20150820240</v>
      </c>
    </row>
    <row r="3775" spans="1:11" ht="51" x14ac:dyDescent="0.4">
      <c r="A3775" s="10" t="s">
        <v>3258</v>
      </c>
      <c r="B3775" s="10" t="s">
        <v>3259</v>
      </c>
      <c r="C3775" s="10" t="s">
        <v>938</v>
      </c>
      <c r="D3775" s="10" t="s">
        <v>2491</v>
      </c>
      <c r="E3775" s="10" t="s">
        <v>30</v>
      </c>
      <c r="F3775" s="10" t="s">
        <v>720</v>
      </c>
      <c r="G3775" s="10" t="s">
        <v>23</v>
      </c>
      <c r="H3775" s="7" t="s">
        <v>24</v>
      </c>
      <c r="I3775" s="7" t="s">
        <v>25</v>
      </c>
      <c r="J3775" s="13" t="str">
        <f>HYPERLINK("https://www.airitibooks.com/Detail/Detail?PublicationID=P20150821063", "https://www.airitibooks.com/Detail/Detail?PublicationID=P20150821063")</f>
        <v>https://www.airitibooks.com/Detail/Detail?PublicationID=P20150821063</v>
      </c>
      <c r="K3775" s="13" t="str">
        <f>HYPERLINK("https://ntsu.idm.oclc.org/login?url=https://www.airitibooks.com/Detail/Detail?PublicationID=P20150821063", "https://ntsu.idm.oclc.org/login?url=https://www.airitibooks.com/Detail/Detail?PublicationID=P20150821063")</f>
        <v>https://ntsu.idm.oclc.org/login?url=https://www.airitibooks.com/Detail/Detail?PublicationID=P20150821063</v>
      </c>
    </row>
    <row r="3776" spans="1:11" ht="51" x14ac:dyDescent="0.4">
      <c r="A3776" s="10" t="s">
        <v>3274</v>
      </c>
      <c r="B3776" s="10" t="s">
        <v>3275</v>
      </c>
      <c r="C3776" s="10" t="s">
        <v>413</v>
      </c>
      <c r="D3776" s="10" t="s">
        <v>3276</v>
      </c>
      <c r="E3776" s="10" t="s">
        <v>30</v>
      </c>
      <c r="F3776" s="10" t="s">
        <v>3277</v>
      </c>
      <c r="G3776" s="10" t="s">
        <v>23</v>
      </c>
      <c r="H3776" s="7" t="s">
        <v>24</v>
      </c>
      <c r="I3776" s="7" t="s">
        <v>25</v>
      </c>
      <c r="J3776" s="13" t="str">
        <f>HYPERLINK("https://www.airitibooks.com/Detail/Detail?PublicationID=P20150821097", "https://www.airitibooks.com/Detail/Detail?PublicationID=P20150821097")</f>
        <v>https://www.airitibooks.com/Detail/Detail?PublicationID=P20150821097</v>
      </c>
      <c r="K3776" s="13" t="str">
        <f>HYPERLINK("https://ntsu.idm.oclc.org/login?url=https://www.airitibooks.com/Detail/Detail?PublicationID=P20150821097", "https://ntsu.idm.oclc.org/login?url=https://www.airitibooks.com/Detail/Detail?PublicationID=P20150821097")</f>
        <v>https://ntsu.idm.oclc.org/login?url=https://www.airitibooks.com/Detail/Detail?PublicationID=P20150821097</v>
      </c>
    </row>
    <row r="3777" spans="1:11" ht="51" x14ac:dyDescent="0.4">
      <c r="A3777" s="10" t="s">
        <v>3304</v>
      </c>
      <c r="B3777" s="10" t="s">
        <v>3305</v>
      </c>
      <c r="C3777" s="10" t="s">
        <v>3034</v>
      </c>
      <c r="D3777" s="10" t="s">
        <v>3306</v>
      </c>
      <c r="E3777" s="10" t="s">
        <v>30</v>
      </c>
      <c r="F3777" s="10" t="s">
        <v>3307</v>
      </c>
      <c r="G3777" s="10" t="s">
        <v>23</v>
      </c>
      <c r="H3777" s="7" t="s">
        <v>24</v>
      </c>
      <c r="I3777" s="7" t="s">
        <v>25</v>
      </c>
      <c r="J3777" s="13" t="str">
        <f>HYPERLINK("https://www.airitibooks.com/Detail/Detail?PublicationID=P20150821147", "https://www.airitibooks.com/Detail/Detail?PublicationID=P20150821147")</f>
        <v>https://www.airitibooks.com/Detail/Detail?PublicationID=P20150821147</v>
      </c>
      <c r="K3777" s="13" t="str">
        <f>HYPERLINK("https://ntsu.idm.oclc.org/login?url=https://www.airitibooks.com/Detail/Detail?PublicationID=P20150821147", "https://ntsu.idm.oclc.org/login?url=https://www.airitibooks.com/Detail/Detail?PublicationID=P20150821147")</f>
        <v>https://ntsu.idm.oclc.org/login?url=https://www.airitibooks.com/Detail/Detail?PublicationID=P20150821147</v>
      </c>
    </row>
    <row r="3778" spans="1:11" ht="51" x14ac:dyDescent="0.4">
      <c r="A3778" s="10" t="s">
        <v>3319</v>
      </c>
      <c r="B3778" s="10" t="s">
        <v>3320</v>
      </c>
      <c r="C3778" s="10" t="s">
        <v>3034</v>
      </c>
      <c r="D3778" s="10" t="s">
        <v>3306</v>
      </c>
      <c r="E3778" s="10" t="s">
        <v>30</v>
      </c>
      <c r="F3778" s="10" t="s">
        <v>1856</v>
      </c>
      <c r="G3778" s="10" t="s">
        <v>23</v>
      </c>
      <c r="H3778" s="7" t="s">
        <v>24</v>
      </c>
      <c r="I3778" s="7" t="s">
        <v>25</v>
      </c>
      <c r="J3778" s="13" t="str">
        <f>HYPERLINK("https://www.airitibooks.com/Detail/Detail?PublicationID=P20150821170", "https://www.airitibooks.com/Detail/Detail?PublicationID=P20150821170")</f>
        <v>https://www.airitibooks.com/Detail/Detail?PublicationID=P20150821170</v>
      </c>
      <c r="K3778" s="13" t="str">
        <f>HYPERLINK("https://ntsu.idm.oclc.org/login?url=https://www.airitibooks.com/Detail/Detail?PublicationID=P20150821170", "https://ntsu.idm.oclc.org/login?url=https://www.airitibooks.com/Detail/Detail?PublicationID=P20150821170")</f>
        <v>https://ntsu.idm.oclc.org/login?url=https://www.airitibooks.com/Detail/Detail?PublicationID=P20150821170</v>
      </c>
    </row>
    <row r="3779" spans="1:11" ht="119" x14ac:dyDescent="0.4">
      <c r="A3779" s="10" t="s">
        <v>3419</v>
      </c>
      <c r="B3779" s="10" t="s">
        <v>3420</v>
      </c>
      <c r="C3779" s="10" t="s">
        <v>791</v>
      </c>
      <c r="D3779" s="10" t="s">
        <v>3421</v>
      </c>
      <c r="E3779" s="10" t="s">
        <v>30</v>
      </c>
      <c r="F3779" s="10" t="s">
        <v>1599</v>
      </c>
      <c r="G3779" s="10" t="s">
        <v>23</v>
      </c>
      <c r="H3779" s="7" t="s">
        <v>24</v>
      </c>
      <c r="I3779" s="7" t="s">
        <v>25</v>
      </c>
      <c r="J3779" s="13" t="str">
        <f>HYPERLINK("https://www.airitibooks.com/Detail/Detail?PublicationID=P20150918049", "https://www.airitibooks.com/Detail/Detail?PublicationID=P20150918049")</f>
        <v>https://www.airitibooks.com/Detail/Detail?PublicationID=P20150918049</v>
      </c>
      <c r="K3779" s="13" t="str">
        <f>HYPERLINK("https://ntsu.idm.oclc.org/login?url=https://www.airitibooks.com/Detail/Detail?PublicationID=P20150918049", "https://ntsu.idm.oclc.org/login?url=https://www.airitibooks.com/Detail/Detail?PublicationID=P20150918049")</f>
        <v>https://ntsu.idm.oclc.org/login?url=https://www.airitibooks.com/Detail/Detail?PublicationID=P20150918049</v>
      </c>
    </row>
    <row r="3780" spans="1:11" ht="119" x14ac:dyDescent="0.4">
      <c r="A3780" s="10" t="s">
        <v>3422</v>
      </c>
      <c r="B3780" s="10" t="s">
        <v>3423</v>
      </c>
      <c r="C3780" s="10" t="s">
        <v>791</v>
      </c>
      <c r="D3780" s="10" t="s">
        <v>3421</v>
      </c>
      <c r="E3780" s="10" t="s">
        <v>30</v>
      </c>
      <c r="F3780" s="10" t="s">
        <v>1599</v>
      </c>
      <c r="G3780" s="10" t="s">
        <v>23</v>
      </c>
      <c r="H3780" s="7" t="s">
        <v>24</v>
      </c>
      <c r="I3780" s="7" t="s">
        <v>25</v>
      </c>
      <c r="J3780" s="13" t="str">
        <f>HYPERLINK("https://www.airitibooks.com/Detail/Detail?PublicationID=P20150918050", "https://www.airitibooks.com/Detail/Detail?PublicationID=P20150918050")</f>
        <v>https://www.airitibooks.com/Detail/Detail?PublicationID=P20150918050</v>
      </c>
      <c r="K3780" s="13" t="str">
        <f>HYPERLINK("https://ntsu.idm.oclc.org/login?url=https://www.airitibooks.com/Detail/Detail?PublicationID=P20150918050", "https://ntsu.idm.oclc.org/login?url=https://www.airitibooks.com/Detail/Detail?PublicationID=P20150918050")</f>
        <v>https://ntsu.idm.oclc.org/login?url=https://www.airitibooks.com/Detail/Detail?PublicationID=P20150918050</v>
      </c>
    </row>
    <row r="3781" spans="1:11" ht="51" x14ac:dyDescent="0.4">
      <c r="A3781" s="10" t="s">
        <v>3489</v>
      </c>
      <c r="B3781" s="10" t="s">
        <v>3490</v>
      </c>
      <c r="C3781" s="10" t="s">
        <v>3473</v>
      </c>
      <c r="D3781" s="10" t="s">
        <v>3491</v>
      </c>
      <c r="E3781" s="10" t="s">
        <v>30</v>
      </c>
      <c r="F3781" s="10" t="s">
        <v>1599</v>
      </c>
      <c r="G3781" s="10" t="s">
        <v>23</v>
      </c>
      <c r="H3781" s="7" t="s">
        <v>24</v>
      </c>
      <c r="I3781" s="7" t="s">
        <v>25</v>
      </c>
      <c r="J3781" s="13" t="str">
        <f>HYPERLINK("https://www.airitibooks.com/Detail/Detail?PublicationID=P20150918082", "https://www.airitibooks.com/Detail/Detail?PublicationID=P20150918082")</f>
        <v>https://www.airitibooks.com/Detail/Detail?PublicationID=P20150918082</v>
      </c>
      <c r="K3781" s="13" t="str">
        <f>HYPERLINK("https://ntsu.idm.oclc.org/login?url=https://www.airitibooks.com/Detail/Detail?PublicationID=P20150918082", "https://ntsu.idm.oclc.org/login?url=https://www.airitibooks.com/Detail/Detail?PublicationID=P20150918082")</f>
        <v>https://ntsu.idm.oclc.org/login?url=https://www.airitibooks.com/Detail/Detail?PublicationID=P20150918082</v>
      </c>
    </row>
    <row r="3782" spans="1:11" ht="51" x14ac:dyDescent="0.4">
      <c r="A3782" s="10" t="s">
        <v>3492</v>
      </c>
      <c r="B3782" s="10" t="s">
        <v>3493</v>
      </c>
      <c r="C3782" s="10" t="s">
        <v>3473</v>
      </c>
      <c r="D3782" s="10" t="s">
        <v>3494</v>
      </c>
      <c r="E3782" s="10" t="s">
        <v>30</v>
      </c>
      <c r="F3782" s="10" t="s">
        <v>3181</v>
      </c>
      <c r="G3782" s="10" t="s">
        <v>23</v>
      </c>
      <c r="H3782" s="7" t="s">
        <v>24</v>
      </c>
      <c r="I3782" s="7" t="s">
        <v>25</v>
      </c>
      <c r="J3782" s="13" t="str">
        <f>HYPERLINK("https://www.airitibooks.com/Detail/Detail?PublicationID=P20150918083", "https://www.airitibooks.com/Detail/Detail?PublicationID=P20150918083")</f>
        <v>https://www.airitibooks.com/Detail/Detail?PublicationID=P20150918083</v>
      </c>
      <c r="K3782" s="13" t="str">
        <f>HYPERLINK("https://ntsu.idm.oclc.org/login?url=https://www.airitibooks.com/Detail/Detail?PublicationID=P20150918083", "https://ntsu.idm.oclc.org/login?url=https://www.airitibooks.com/Detail/Detail?PublicationID=P20150918083")</f>
        <v>https://ntsu.idm.oclc.org/login?url=https://www.airitibooks.com/Detail/Detail?PublicationID=P20150918083</v>
      </c>
    </row>
    <row r="3783" spans="1:11" ht="51" x14ac:dyDescent="0.4">
      <c r="A3783" s="10" t="s">
        <v>3495</v>
      </c>
      <c r="B3783" s="10" t="s">
        <v>3496</v>
      </c>
      <c r="C3783" s="10" t="s">
        <v>3473</v>
      </c>
      <c r="D3783" s="10" t="s">
        <v>3497</v>
      </c>
      <c r="E3783" s="10" t="s">
        <v>30</v>
      </c>
      <c r="F3783" s="10" t="s">
        <v>3181</v>
      </c>
      <c r="G3783" s="10" t="s">
        <v>23</v>
      </c>
      <c r="H3783" s="7" t="s">
        <v>24</v>
      </c>
      <c r="I3783" s="7" t="s">
        <v>25</v>
      </c>
      <c r="J3783" s="13" t="str">
        <f>HYPERLINK("https://www.airitibooks.com/Detail/Detail?PublicationID=P20150918084", "https://www.airitibooks.com/Detail/Detail?PublicationID=P20150918084")</f>
        <v>https://www.airitibooks.com/Detail/Detail?PublicationID=P20150918084</v>
      </c>
      <c r="K3783" s="13" t="str">
        <f>HYPERLINK("https://ntsu.idm.oclc.org/login?url=https://www.airitibooks.com/Detail/Detail?PublicationID=P20150918084", "https://ntsu.idm.oclc.org/login?url=https://www.airitibooks.com/Detail/Detail?PublicationID=P20150918084")</f>
        <v>https://ntsu.idm.oclc.org/login?url=https://www.airitibooks.com/Detail/Detail?PublicationID=P20150918084</v>
      </c>
    </row>
    <row r="3784" spans="1:11" ht="51" x14ac:dyDescent="0.4">
      <c r="A3784" s="10" t="s">
        <v>3498</v>
      </c>
      <c r="B3784" s="10" t="s">
        <v>3499</v>
      </c>
      <c r="C3784" s="10" t="s">
        <v>3473</v>
      </c>
      <c r="D3784" s="10" t="s">
        <v>3500</v>
      </c>
      <c r="E3784" s="10" t="s">
        <v>30</v>
      </c>
      <c r="F3784" s="10" t="s">
        <v>3501</v>
      </c>
      <c r="G3784" s="10" t="s">
        <v>23</v>
      </c>
      <c r="H3784" s="7" t="s">
        <v>24</v>
      </c>
      <c r="I3784" s="7" t="s">
        <v>25</v>
      </c>
      <c r="J3784" s="13" t="str">
        <f>HYPERLINK("https://www.airitibooks.com/Detail/Detail?PublicationID=P20150918086", "https://www.airitibooks.com/Detail/Detail?PublicationID=P20150918086")</f>
        <v>https://www.airitibooks.com/Detail/Detail?PublicationID=P20150918086</v>
      </c>
      <c r="K3784" s="13" t="str">
        <f>HYPERLINK("https://ntsu.idm.oclc.org/login?url=https://www.airitibooks.com/Detail/Detail?PublicationID=P20150918086", "https://ntsu.idm.oclc.org/login?url=https://www.airitibooks.com/Detail/Detail?PublicationID=P20150918086")</f>
        <v>https://ntsu.idm.oclc.org/login?url=https://www.airitibooks.com/Detail/Detail?PublicationID=P20150918086</v>
      </c>
    </row>
    <row r="3785" spans="1:11" ht="51" x14ac:dyDescent="0.4">
      <c r="A3785" s="10" t="s">
        <v>3502</v>
      </c>
      <c r="B3785" s="10" t="s">
        <v>3503</v>
      </c>
      <c r="C3785" s="10" t="s">
        <v>3473</v>
      </c>
      <c r="D3785" s="10" t="s">
        <v>3474</v>
      </c>
      <c r="E3785" s="10" t="s">
        <v>30</v>
      </c>
      <c r="F3785" s="10" t="s">
        <v>1122</v>
      </c>
      <c r="G3785" s="10" t="s">
        <v>23</v>
      </c>
      <c r="H3785" s="7" t="s">
        <v>24</v>
      </c>
      <c r="I3785" s="7" t="s">
        <v>25</v>
      </c>
      <c r="J3785" s="13" t="str">
        <f>HYPERLINK("https://www.airitibooks.com/Detail/Detail?PublicationID=P20150918087", "https://www.airitibooks.com/Detail/Detail?PublicationID=P20150918087")</f>
        <v>https://www.airitibooks.com/Detail/Detail?PublicationID=P20150918087</v>
      </c>
      <c r="K3785" s="13" t="str">
        <f>HYPERLINK("https://ntsu.idm.oclc.org/login?url=https://www.airitibooks.com/Detail/Detail?PublicationID=P20150918087", "https://ntsu.idm.oclc.org/login?url=https://www.airitibooks.com/Detail/Detail?PublicationID=P20150918087")</f>
        <v>https://ntsu.idm.oclc.org/login?url=https://www.airitibooks.com/Detail/Detail?PublicationID=P20150918087</v>
      </c>
    </row>
    <row r="3786" spans="1:11" ht="51" x14ac:dyDescent="0.4">
      <c r="A3786" s="10" t="s">
        <v>3504</v>
      </c>
      <c r="B3786" s="10" t="s">
        <v>3505</v>
      </c>
      <c r="C3786" s="10" t="s">
        <v>3473</v>
      </c>
      <c r="D3786" s="10" t="s">
        <v>3506</v>
      </c>
      <c r="E3786" s="10" t="s">
        <v>30</v>
      </c>
      <c r="F3786" s="10" t="s">
        <v>3507</v>
      </c>
      <c r="G3786" s="10" t="s">
        <v>23</v>
      </c>
      <c r="H3786" s="7" t="s">
        <v>24</v>
      </c>
      <c r="I3786" s="7" t="s">
        <v>25</v>
      </c>
      <c r="J3786" s="13" t="str">
        <f>HYPERLINK("https://www.airitibooks.com/Detail/Detail?PublicationID=P20150918088", "https://www.airitibooks.com/Detail/Detail?PublicationID=P20150918088")</f>
        <v>https://www.airitibooks.com/Detail/Detail?PublicationID=P20150918088</v>
      </c>
      <c r="K3786" s="13" t="str">
        <f>HYPERLINK("https://ntsu.idm.oclc.org/login?url=https://www.airitibooks.com/Detail/Detail?PublicationID=P20150918088", "https://ntsu.idm.oclc.org/login?url=https://www.airitibooks.com/Detail/Detail?PublicationID=P20150918088")</f>
        <v>https://ntsu.idm.oclc.org/login?url=https://www.airitibooks.com/Detail/Detail?PublicationID=P20150918088</v>
      </c>
    </row>
    <row r="3787" spans="1:11" ht="51" x14ac:dyDescent="0.4">
      <c r="A3787" s="10" t="s">
        <v>3508</v>
      </c>
      <c r="B3787" s="10" t="s">
        <v>3509</v>
      </c>
      <c r="C3787" s="10" t="s">
        <v>3473</v>
      </c>
      <c r="D3787" s="10" t="s">
        <v>3474</v>
      </c>
      <c r="E3787" s="10" t="s">
        <v>30</v>
      </c>
      <c r="F3787" s="10" t="s">
        <v>3510</v>
      </c>
      <c r="G3787" s="10" t="s">
        <v>23</v>
      </c>
      <c r="H3787" s="7" t="s">
        <v>24</v>
      </c>
      <c r="I3787" s="7" t="s">
        <v>25</v>
      </c>
      <c r="J3787" s="13" t="str">
        <f>HYPERLINK("https://www.airitibooks.com/Detail/Detail?PublicationID=P20150918089", "https://www.airitibooks.com/Detail/Detail?PublicationID=P20150918089")</f>
        <v>https://www.airitibooks.com/Detail/Detail?PublicationID=P20150918089</v>
      </c>
      <c r="K3787" s="13" t="str">
        <f>HYPERLINK("https://ntsu.idm.oclc.org/login?url=https://www.airitibooks.com/Detail/Detail?PublicationID=P20150918089", "https://ntsu.idm.oclc.org/login?url=https://www.airitibooks.com/Detail/Detail?PublicationID=P20150918089")</f>
        <v>https://ntsu.idm.oclc.org/login?url=https://www.airitibooks.com/Detail/Detail?PublicationID=P20150918089</v>
      </c>
    </row>
    <row r="3788" spans="1:11" ht="51" x14ac:dyDescent="0.4">
      <c r="A3788" s="10" t="s">
        <v>3511</v>
      </c>
      <c r="B3788" s="10" t="s">
        <v>3512</v>
      </c>
      <c r="C3788" s="10" t="s">
        <v>3473</v>
      </c>
      <c r="D3788" s="10" t="s">
        <v>3513</v>
      </c>
      <c r="E3788" s="10" t="s">
        <v>30</v>
      </c>
      <c r="F3788" s="10" t="s">
        <v>1122</v>
      </c>
      <c r="G3788" s="10" t="s">
        <v>23</v>
      </c>
      <c r="H3788" s="7" t="s">
        <v>24</v>
      </c>
      <c r="I3788" s="7" t="s">
        <v>25</v>
      </c>
      <c r="J3788" s="13" t="str">
        <f>HYPERLINK("https://www.airitibooks.com/Detail/Detail?PublicationID=P20150918090", "https://www.airitibooks.com/Detail/Detail?PublicationID=P20150918090")</f>
        <v>https://www.airitibooks.com/Detail/Detail?PublicationID=P20150918090</v>
      </c>
      <c r="K3788" s="13" t="str">
        <f>HYPERLINK("https://ntsu.idm.oclc.org/login?url=https://www.airitibooks.com/Detail/Detail?PublicationID=P20150918090", "https://ntsu.idm.oclc.org/login?url=https://www.airitibooks.com/Detail/Detail?PublicationID=P20150918090")</f>
        <v>https://ntsu.idm.oclc.org/login?url=https://www.airitibooks.com/Detail/Detail?PublicationID=P20150918090</v>
      </c>
    </row>
    <row r="3789" spans="1:11" ht="51" x14ac:dyDescent="0.4">
      <c r="A3789" s="10" t="s">
        <v>3514</v>
      </c>
      <c r="B3789" s="10" t="s">
        <v>3515</v>
      </c>
      <c r="C3789" s="10" t="s">
        <v>3473</v>
      </c>
      <c r="D3789" s="10" t="s">
        <v>3516</v>
      </c>
      <c r="E3789" s="10" t="s">
        <v>30</v>
      </c>
      <c r="F3789" s="10" t="s">
        <v>214</v>
      </c>
      <c r="G3789" s="10" t="s">
        <v>23</v>
      </c>
      <c r="H3789" s="7" t="s">
        <v>24</v>
      </c>
      <c r="I3789" s="7" t="s">
        <v>25</v>
      </c>
      <c r="J3789" s="13" t="str">
        <f>HYPERLINK("https://www.airitibooks.com/Detail/Detail?PublicationID=P20150918091", "https://www.airitibooks.com/Detail/Detail?PublicationID=P20150918091")</f>
        <v>https://www.airitibooks.com/Detail/Detail?PublicationID=P20150918091</v>
      </c>
      <c r="K3789" s="13" t="str">
        <f>HYPERLINK("https://ntsu.idm.oclc.org/login?url=https://www.airitibooks.com/Detail/Detail?PublicationID=P20150918091", "https://ntsu.idm.oclc.org/login?url=https://www.airitibooks.com/Detail/Detail?PublicationID=P20150918091")</f>
        <v>https://ntsu.idm.oclc.org/login?url=https://www.airitibooks.com/Detail/Detail?PublicationID=P20150918091</v>
      </c>
    </row>
    <row r="3790" spans="1:11" ht="51" x14ac:dyDescent="0.4">
      <c r="A3790" s="10" t="s">
        <v>3544</v>
      </c>
      <c r="B3790" s="10" t="s">
        <v>3545</v>
      </c>
      <c r="C3790" s="10" t="s">
        <v>212</v>
      </c>
      <c r="D3790" s="10" t="s">
        <v>671</v>
      </c>
      <c r="E3790" s="10" t="s">
        <v>30</v>
      </c>
      <c r="F3790" s="10" t="s">
        <v>1599</v>
      </c>
      <c r="G3790" s="10" t="s">
        <v>23</v>
      </c>
      <c r="H3790" s="7" t="s">
        <v>24</v>
      </c>
      <c r="I3790" s="7" t="s">
        <v>25</v>
      </c>
      <c r="J3790" s="13" t="str">
        <f>HYPERLINK("https://www.airitibooks.com/Detail/Detail?PublicationID=P20150921009", "https://www.airitibooks.com/Detail/Detail?PublicationID=P20150921009")</f>
        <v>https://www.airitibooks.com/Detail/Detail?PublicationID=P20150921009</v>
      </c>
      <c r="K3790" s="13" t="str">
        <f>HYPERLINK("https://ntsu.idm.oclc.org/login?url=https://www.airitibooks.com/Detail/Detail?PublicationID=P20150921009", "https://ntsu.idm.oclc.org/login?url=https://www.airitibooks.com/Detail/Detail?PublicationID=P20150921009")</f>
        <v>https://ntsu.idm.oclc.org/login?url=https://www.airitibooks.com/Detail/Detail?PublicationID=P20150921009</v>
      </c>
    </row>
    <row r="3791" spans="1:11" ht="51" x14ac:dyDescent="0.4">
      <c r="A3791" s="10" t="s">
        <v>3546</v>
      </c>
      <c r="B3791" s="10" t="s">
        <v>3547</v>
      </c>
      <c r="C3791" s="10" t="s">
        <v>212</v>
      </c>
      <c r="D3791" s="10" t="s">
        <v>671</v>
      </c>
      <c r="E3791" s="10" t="s">
        <v>30</v>
      </c>
      <c r="F3791" s="10" t="s">
        <v>3548</v>
      </c>
      <c r="G3791" s="10" t="s">
        <v>23</v>
      </c>
      <c r="H3791" s="7" t="s">
        <v>24</v>
      </c>
      <c r="I3791" s="7" t="s">
        <v>25</v>
      </c>
      <c r="J3791" s="13" t="str">
        <f>HYPERLINK("https://www.airitibooks.com/Detail/Detail?PublicationID=P20150921010", "https://www.airitibooks.com/Detail/Detail?PublicationID=P20150921010")</f>
        <v>https://www.airitibooks.com/Detail/Detail?PublicationID=P20150921010</v>
      </c>
      <c r="K3791" s="13" t="str">
        <f>HYPERLINK("https://ntsu.idm.oclc.org/login?url=https://www.airitibooks.com/Detail/Detail?PublicationID=P20150921010", "https://ntsu.idm.oclc.org/login?url=https://www.airitibooks.com/Detail/Detail?PublicationID=P20150921010")</f>
        <v>https://ntsu.idm.oclc.org/login?url=https://www.airitibooks.com/Detail/Detail?PublicationID=P20150921010</v>
      </c>
    </row>
    <row r="3792" spans="1:11" ht="51" x14ac:dyDescent="0.4">
      <c r="A3792" s="10" t="s">
        <v>3549</v>
      </c>
      <c r="B3792" s="10" t="s">
        <v>3550</v>
      </c>
      <c r="C3792" s="10" t="s">
        <v>212</v>
      </c>
      <c r="D3792" s="10" t="s">
        <v>671</v>
      </c>
      <c r="E3792" s="10" t="s">
        <v>30</v>
      </c>
      <c r="F3792" s="10" t="s">
        <v>1122</v>
      </c>
      <c r="G3792" s="10" t="s">
        <v>23</v>
      </c>
      <c r="H3792" s="7" t="s">
        <v>24</v>
      </c>
      <c r="I3792" s="7" t="s">
        <v>25</v>
      </c>
      <c r="J3792" s="13" t="str">
        <f>HYPERLINK("https://www.airitibooks.com/Detail/Detail?PublicationID=P20150921012", "https://www.airitibooks.com/Detail/Detail?PublicationID=P20150921012")</f>
        <v>https://www.airitibooks.com/Detail/Detail?PublicationID=P20150921012</v>
      </c>
      <c r="K3792" s="13" t="str">
        <f>HYPERLINK("https://ntsu.idm.oclc.org/login?url=https://www.airitibooks.com/Detail/Detail?PublicationID=P20150921012", "https://ntsu.idm.oclc.org/login?url=https://www.airitibooks.com/Detail/Detail?PublicationID=P20150921012")</f>
        <v>https://ntsu.idm.oclc.org/login?url=https://www.airitibooks.com/Detail/Detail?PublicationID=P20150921012</v>
      </c>
    </row>
    <row r="3793" spans="1:11" ht="51" x14ac:dyDescent="0.4">
      <c r="A3793" s="10" t="s">
        <v>3566</v>
      </c>
      <c r="B3793" s="10" t="s">
        <v>3567</v>
      </c>
      <c r="C3793" s="10" t="s">
        <v>1203</v>
      </c>
      <c r="D3793" s="10" t="s">
        <v>3568</v>
      </c>
      <c r="E3793" s="10" t="s">
        <v>30</v>
      </c>
      <c r="F3793" s="10" t="s">
        <v>3569</v>
      </c>
      <c r="G3793" s="10" t="s">
        <v>23</v>
      </c>
      <c r="H3793" s="7" t="s">
        <v>24</v>
      </c>
      <c r="I3793" s="7" t="s">
        <v>25</v>
      </c>
      <c r="J3793" s="13" t="str">
        <f>HYPERLINK("https://www.airitibooks.com/Detail/Detail?PublicationID=P20150921020", "https://www.airitibooks.com/Detail/Detail?PublicationID=P20150921020")</f>
        <v>https://www.airitibooks.com/Detail/Detail?PublicationID=P20150921020</v>
      </c>
      <c r="K3793" s="13" t="str">
        <f>HYPERLINK("https://ntsu.idm.oclc.org/login?url=https://www.airitibooks.com/Detail/Detail?PublicationID=P20150921020", "https://ntsu.idm.oclc.org/login?url=https://www.airitibooks.com/Detail/Detail?PublicationID=P20150921020")</f>
        <v>https://ntsu.idm.oclc.org/login?url=https://www.airitibooks.com/Detail/Detail?PublicationID=P20150921020</v>
      </c>
    </row>
    <row r="3794" spans="1:11" ht="51" x14ac:dyDescent="0.4">
      <c r="A3794" s="10" t="s">
        <v>3573</v>
      </c>
      <c r="B3794" s="10" t="s">
        <v>3574</v>
      </c>
      <c r="C3794" s="10" t="s">
        <v>439</v>
      </c>
      <c r="D3794" s="10" t="s">
        <v>2100</v>
      </c>
      <c r="E3794" s="10" t="s">
        <v>30</v>
      </c>
      <c r="F3794" s="10" t="s">
        <v>3575</v>
      </c>
      <c r="G3794" s="10" t="s">
        <v>23</v>
      </c>
      <c r="H3794" s="7" t="s">
        <v>24</v>
      </c>
      <c r="I3794" s="7" t="s">
        <v>25</v>
      </c>
      <c r="J3794" s="13" t="str">
        <f>HYPERLINK("https://www.airitibooks.com/Detail/Detail?PublicationID=P20150921024", "https://www.airitibooks.com/Detail/Detail?PublicationID=P20150921024")</f>
        <v>https://www.airitibooks.com/Detail/Detail?PublicationID=P20150921024</v>
      </c>
      <c r="K3794" s="13" t="str">
        <f>HYPERLINK("https://ntsu.idm.oclc.org/login?url=https://www.airitibooks.com/Detail/Detail?PublicationID=P20150921024", "https://ntsu.idm.oclc.org/login?url=https://www.airitibooks.com/Detail/Detail?PublicationID=P20150921024")</f>
        <v>https://ntsu.idm.oclc.org/login?url=https://www.airitibooks.com/Detail/Detail?PublicationID=P20150921024</v>
      </c>
    </row>
    <row r="3795" spans="1:11" ht="51" x14ac:dyDescent="0.4">
      <c r="A3795" s="10" t="s">
        <v>3576</v>
      </c>
      <c r="B3795" s="10" t="s">
        <v>3577</v>
      </c>
      <c r="C3795" s="10" t="s">
        <v>287</v>
      </c>
      <c r="D3795" s="10" t="s">
        <v>3578</v>
      </c>
      <c r="E3795" s="10" t="s">
        <v>30</v>
      </c>
      <c r="F3795" s="10" t="s">
        <v>299</v>
      </c>
      <c r="G3795" s="10" t="s">
        <v>23</v>
      </c>
      <c r="H3795" s="7" t="s">
        <v>24</v>
      </c>
      <c r="I3795" s="7" t="s">
        <v>25</v>
      </c>
      <c r="J3795" s="13" t="str">
        <f>HYPERLINK("https://www.airitibooks.com/Detail/Detail?PublicationID=P20150921025", "https://www.airitibooks.com/Detail/Detail?PublicationID=P20150921025")</f>
        <v>https://www.airitibooks.com/Detail/Detail?PublicationID=P20150921025</v>
      </c>
      <c r="K3795" s="13" t="str">
        <f>HYPERLINK("https://ntsu.idm.oclc.org/login?url=https://www.airitibooks.com/Detail/Detail?PublicationID=P20150921025", "https://ntsu.idm.oclc.org/login?url=https://www.airitibooks.com/Detail/Detail?PublicationID=P20150921025")</f>
        <v>https://ntsu.idm.oclc.org/login?url=https://www.airitibooks.com/Detail/Detail?PublicationID=P20150921025</v>
      </c>
    </row>
    <row r="3796" spans="1:11" ht="51" x14ac:dyDescent="0.4">
      <c r="A3796" s="10" t="s">
        <v>3579</v>
      </c>
      <c r="B3796" s="10" t="s">
        <v>3580</v>
      </c>
      <c r="C3796" s="10" t="s">
        <v>756</v>
      </c>
      <c r="D3796" s="10" t="s">
        <v>3581</v>
      </c>
      <c r="E3796" s="10" t="s">
        <v>30</v>
      </c>
      <c r="F3796" s="10" t="s">
        <v>762</v>
      </c>
      <c r="G3796" s="10" t="s">
        <v>23</v>
      </c>
      <c r="H3796" s="7" t="s">
        <v>24</v>
      </c>
      <c r="I3796" s="7" t="s">
        <v>25</v>
      </c>
      <c r="J3796" s="13" t="str">
        <f>HYPERLINK("https://www.airitibooks.com/Detail/Detail?PublicationID=P20150921036", "https://www.airitibooks.com/Detail/Detail?PublicationID=P20150921036")</f>
        <v>https://www.airitibooks.com/Detail/Detail?PublicationID=P20150921036</v>
      </c>
      <c r="K3796" s="13" t="str">
        <f>HYPERLINK("https://ntsu.idm.oclc.org/login?url=https://www.airitibooks.com/Detail/Detail?PublicationID=P20150921036", "https://ntsu.idm.oclc.org/login?url=https://www.airitibooks.com/Detail/Detail?PublicationID=P20150921036")</f>
        <v>https://ntsu.idm.oclc.org/login?url=https://www.airitibooks.com/Detail/Detail?PublicationID=P20150921036</v>
      </c>
    </row>
    <row r="3797" spans="1:11" ht="85" x14ac:dyDescent="0.4">
      <c r="A3797" s="10" t="s">
        <v>3582</v>
      </c>
      <c r="B3797" s="10" t="s">
        <v>3583</v>
      </c>
      <c r="C3797" s="10" t="s">
        <v>1484</v>
      </c>
      <c r="D3797" s="10" t="s">
        <v>3245</v>
      </c>
      <c r="E3797" s="10" t="s">
        <v>30</v>
      </c>
      <c r="F3797" s="10" t="s">
        <v>1917</v>
      </c>
      <c r="G3797" s="10" t="s">
        <v>23</v>
      </c>
      <c r="H3797" s="7" t="s">
        <v>24</v>
      </c>
      <c r="I3797" s="7" t="s">
        <v>25</v>
      </c>
      <c r="J3797" s="13" t="str">
        <f>HYPERLINK("https://www.airitibooks.com/Detail/Detail?PublicationID=P20150921037", "https://www.airitibooks.com/Detail/Detail?PublicationID=P20150921037")</f>
        <v>https://www.airitibooks.com/Detail/Detail?PublicationID=P20150921037</v>
      </c>
      <c r="K3797" s="13" t="str">
        <f>HYPERLINK("https://ntsu.idm.oclc.org/login?url=https://www.airitibooks.com/Detail/Detail?PublicationID=P20150921037", "https://ntsu.idm.oclc.org/login?url=https://www.airitibooks.com/Detail/Detail?PublicationID=P20150921037")</f>
        <v>https://ntsu.idm.oclc.org/login?url=https://www.airitibooks.com/Detail/Detail?PublicationID=P20150921037</v>
      </c>
    </row>
    <row r="3798" spans="1:11" ht="51" x14ac:dyDescent="0.4">
      <c r="A3798" s="10" t="s">
        <v>3584</v>
      </c>
      <c r="B3798" s="10" t="s">
        <v>3585</v>
      </c>
      <c r="C3798" s="10" t="s">
        <v>1484</v>
      </c>
      <c r="D3798" s="10" t="s">
        <v>3586</v>
      </c>
      <c r="E3798" s="10" t="s">
        <v>30</v>
      </c>
      <c r="F3798" s="10" t="s">
        <v>3587</v>
      </c>
      <c r="G3798" s="10" t="s">
        <v>23</v>
      </c>
      <c r="H3798" s="7" t="s">
        <v>24</v>
      </c>
      <c r="I3798" s="7" t="s">
        <v>25</v>
      </c>
      <c r="J3798" s="13" t="str">
        <f>HYPERLINK("https://www.airitibooks.com/Detail/Detail?PublicationID=P20150921038", "https://www.airitibooks.com/Detail/Detail?PublicationID=P20150921038")</f>
        <v>https://www.airitibooks.com/Detail/Detail?PublicationID=P20150921038</v>
      </c>
      <c r="K3798" s="13" t="str">
        <f>HYPERLINK("https://ntsu.idm.oclc.org/login?url=https://www.airitibooks.com/Detail/Detail?PublicationID=P20150921038", "https://ntsu.idm.oclc.org/login?url=https://www.airitibooks.com/Detail/Detail?PublicationID=P20150921038")</f>
        <v>https://ntsu.idm.oclc.org/login?url=https://www.airitibooks.com/Detail/Detail?PublicationID=P20150921038</v>
      </c>
    </row>
    <row r="3799" spans="1:11" ht="68" x14ac:dyDescent="0.4">
      <c r="A3799" s="10" t="s">
        <v>3588</v>
      </c>
      <c r="B3799" s="10" t="s">
        <v>3589</v>
      </c>
      <c r="C3799" s="10" t="s">
        <v>1484</v>
      </c>
      <c r="D3799" s="10" t="s">
        <v>3590</v>
      </c>
      <c r="E3799" s="10" t="s">
        <v>30</v>
      </c>
      <c r="F3799" s="10" t="s">
        <v>1994</v>
      </c>
      <c r="G3799" s="10" t="s">
        <v>23</v>
      </c>
      <c r="H3799" s="7" t="s">
        <v>24</v>
      </c>
      <c r="I3799" s="7" t="s">
        <v>25</v>
      </c>
      <c r="J3799" s="13" t="str">
        <f>HYPERLINK("https://www.airitibooks.com/Detail/Detail?PublicationID=P20150921039", "https://www.airitibooks.com/Detail/Detail?PublicationID=P20150921039")</f>
        <v>https://www.airitibooks.com/Detail/Detail?PublicationID=P20150921039</v>
      </c>
      <c r="K3799" s="13" t="str">
        <f>HYPERLINK("https://ntsu.idm.oclc.org/login?url=https://www.airitibooks.com/Detail/Detail?PublicationID=P20150921039", "https://ntsu.idm.oclc.org/login?url=https://www.airitibooks.com/Detail/Detail?PublicationID=P20150921039")</f>
        <v>https://ntsu.idm.oclc.org/login?url=https://www.airitibooks.com/Detail/Detail?PublicationID=P20150921039</v>
      </c>
    </row>
    <row r="3800" spans="1:11" ht="51" x14ac:dyDescent="0.4">
      <c r="A3800" s="10" t="s">
        <v>3610</v>
      </c>
      <c r="B3800" s="10" t="s">
        <v>3611</v>
      </c>
      <c r="C3800" s="10" t="s">
        <v>2367</v>
      </c>
      <c r="D3800" s="10" t="s">
        <v>3612</v>
      </c>
      <c r="E3800" s="10" t="s">
        <v>30</v>
      </c>
      <c r="F3800" s="10" t="s">
        <v>2492</v>
      </c>
      <c r="G3800" s="10" t="s">
        <v>23</v>
      </c>
      <c r="H3800" s="7" t="s">
        <v>24</v>
      </c>
      <c r="I3800" s="7" t="s">
        <v>25</v>
      </c>
      <c r="J3800" s="13" t="str">
        <f>HYPERLINK("https://www.airitibooks.com/Detail/Detail?PublicationID=P20150922014", "https://www.airitibooks.com/Detail/Detail?PublicationID=P20150922014")</f>
        <v>https://www.airitibooks.com/Detail/Detail?PublicationID=P20150922014</v>
      </c>
      <c r="K3800" s="13" t="str">
        <f>HYPERLINK("https://ntsu.idm.oclc.org/login?url=https://www.airitibooks.com/Detail/Detail?PublicationID=P20150922014", "https://ntsu.idm.oclc.org/login?url=https://www.airitibooks.com/Detail/Detail?PublicationID=P20150922014")</f>
        <v>https://ntsu.idm.oclc.org/login?url=https://www.airitibooks.com/Detail/Detail?PublicationID=P20150922014</v>
      </c>
    </row>
    <row r="3801" spans="1:11" ht="51" x14ac:dyDescent="0.4">
      <c r="A3801" s="10" t="s">
        <v>3663</v>
      </c>
      <c r="B3801" s="10" t="s">
        <v>3664</v>
      </c>
      <c r="C3801" s="10" t="s">
        <v>2367</v>
      </c>
      <c r="D3801" s="10" t="s">
        <v>3665</v>
      </c>
      <c r="E3801" s="10" t="s">
        <v>30</v>
      </c>
      <c r="F3801" s="10" t="s">
        <v>394</v>
      </c>
      <c r="G3801" s="10" t="s">
        <v>23</v>
      </c>
      <c r="H3801" s="7" t="s">
        <v>24</v>
      </c>
      <c r="I3801" s="7" t="s">
        <v>25</v>
      </c>
      <c r="J3801" s="13" t="str">
        <f>HYPERLINK("https://www.airitibooks.com/Detail/Detail?PublicationID=P20150922050", "https://www.airitibooks.com/Detail/Detail?PublicationID=P20150922050")</f>
        <v>https://www.airitibooks.com/Detail/Detail?PublicationID=P20150922050</v>
      </c>
      <c r="K3801" s="13" t="str">
        <f>HYPERLINK("https://ntsu.idm.oclc.org/login?url=https://www.airitibooks.com/Detail/Detail?PublicationID=P20150922050", "https://ntsu.idm.oclc.org/login?url=https://www.airitibooks.com/Detail/Detail?PublicationID=P20150922050")</f>
        <v>https://ntsu.idm.oclc.org/login?url=https://www.airitibooks.com/Detail/Detail?PublicationID=P20150922050</v>
      </c>
    </row>
    <row r="3802" spans="1:11" ht="51" x14ac:dyDescent="0.4">
      <c r="A3802" s="10" t="s">
        <v>3666</v>
      </c>
      <c r="B3802" s="10" t="s">
        <v>3667</v>
      </c>
      <c r="C3802" s="10" t="s">
        <v>2367</v>
      </c>
      <c r="D3802" s="10" t="s">
        <v>3665</v>
      </c>
      <c r="E3802" s="10" t="s">
        <v>30</v>
      </c>
      <c r="F3802" s="10" t="s">
        <v>394</v>
      </c>
      <c r="G3802" s="10" t="s">
        <v>23</v>
      </c>
      <c r="H3802" s="7" t="s">
        <v>24</v>
      </c>
      <c r="I3802" s="7" t="s">
        <v>25</v>
      </c>
      <c r="J3802" s="13" t="str">
        <f>HYPERLINK("https://www.airitibooks.com/Detail/Detail?PublicationID=P20150922055", "https://www.airitibooks.com/Detail/Detail?PublicationID=P20150922055")</f>
        <v>https://www.airitibooks.com/Detail/Detail?PublicationID=P20150922055</v>
      </c>
      <c r="K3802" s="13" t="str">
        <f>HYPERLINK("https://ntsu.idm.oclc.org/login?url=https://www.airitibooks.com/Detail/Detail?PublicationID=P20150922055", "https://ntsu.idm.oclc.org/login?url=https://www.airitibooks.com/Detail/Detail?PublicationID=P20150922055")</f>
        <v>https://ntsu.idm.oclc.org/login?url=https://www.airitibooks.com/Detail/Detail?PublicationID=P20150922055</v>
      </c>
    </row>
    <row r="3803" spans="1:11" ht="51" x14ac:dyDescent="0.4">
      <c r="A3803" s="10" t="s">
        <v>3699</v>
      </c>
      <c r="B3803" s="10" t="s">
        <v>3700</v>
      </c>
      <c r="C3803" s="10" t="s">
        <v>1160</v>
      </c>
      <c r="D3803" s="10" t="s">
        <v>1161</v>
      </c>
      <c r="E3803" s="10" t="s">
        <v>30</v>
      </c>
      <c r="F3803" s="10" t="s">
        <v>1164</v>
      </c>
      <c r="G3803" s="10" t="s">
        <v>23</v>
      </c>
      <c r="H3803" s="7" t="s">
        <v>24</v>
      </c>
      <c r="I3803" s="7" t="s">
        <v>25</v>
      </c>
      <c r="J3803" s="13" t="str">
        <f>HYPERLINK("https://www.airitibooks.com/Detail/Detail?PublicationID=P20150924051", "https://www.airitibooks.com/Detail/Detail?PublicationID=P20150924051")</f>
        <v>https://www.airitibooks.com/Detail/Detail?PublicationID=P20150924051</v>
      </c>
      <c r="K3803" s="13" t="str">
        <f>HYPERLINK("https://ntsu.idm.oclc.org/login?url=https://www.airitibooks.com/Detail/Detail?PublicationID=P20150924051", "https://ntsu.idm.oclc.org/login?url=https://www.airitibooks.com/Detail/Detail?PublicationID=P20150924051")</f>
        <v>https://ntsu.idm.oclc.org/login?url=https://www.airitibooks.com/Detail/Detail?PublicationID=P20150924051</v>
      </c>
    </row>
    <row r="3804" spans="1:11" ht="51" x14ac:dyDescent="0.4">
      <c r="A3804" s="10" t="s">
        <v>3716</v>
      </c>
      <c r="B3804" s="10" t="s">
        <v>3717</v>
      </c>
      <c r="C3804" s="10" t="s">
        <v>3705</v>
      </c>
      <c r="D3804" s="10" t="s">
        <v>3718</v>
      </c>
      <c r="E3804" s="10" t="s">
        <v>30</v>
      </c>
      <c r="F3804" s="10" t="s">
        <v>3719</v>
      </c>
      <c r="G3804" s="10" t="s">
        <v>23</v>
      </c>
      <c r="H3804" s="7" t="s">
        <v>24</v>
      </c>
      <c r="I3804" s="7" t="s">
        <v>25</v>
      </c>
      <c r="J3804" s="13" t="str">
        <f>HYPERLINK("https://www.airitibooks.com/Detail/Detail?PublicationID=P20151013041", "https://www.airitibooks.com/Detail/Detail?PublicationID=P20151013041")</f>
        <v>https://www.airitibooks.com/Detail/Detail?PublicationID=P20151013041</v>
      </c>
      <c r="K3804" s="13" t="str">
        <f>HYPERLINK("https://ntsu.idm.oclc.org/login?url=https://www.airitibooks.com/Detail/Detail?PublicationID=P20151013041", "https://ntsu.idm.oclc.org/login?url=https://www.airitibooks.com/Detail/Detail?PublicationID=P20151013041")</f>
        <v>https://ntsu.idm.oclc.org/login?url=https://www.airitibooks.com/Detail/Detail?PublicationID=P20151013041</v>
      </c>
    </row>
    <row r="3805" spans="1:11" ht="51" x14ac:dyDescent="0.4">
      <c r="A3805" s="10" t="s">
        <v>3777</v>
      </c>
      <c r="B3805" s="10" t="s">
        <v>3778</v>
      </c>
      <c r="C3805" s="10" t="s">
        <v>357</v>
      </c>
      <c r="D3805" s="10" t="s">
        <v>3779</v>
      </c>
      <c r="E3805" s="10" t="s">
        <v>30</v>
      </c>
      <c r="F3805" s="10" t="s">
        <v>565</v>
      </c>
      <c r="G3805" s="10" t="s">
        <v>23</v>
      </c>
      <c r="H3805" s="7" t="s">
        <v>24</v>
      </c>
      <c r="I3805" s="7" t="s">
        <v>25</v>
      </c>
      <c r="J3805" s="13" t="str">
        <f>HYPERLINK("https://www.airitibooks.com/Detail/Detail?PublicationID=P20151021180", "https://www.airitibooks.com/Detail/Detail?PublicationID=P20151021180")</f>
        <v>https://www.airitibooks.com/Detail/Detail?PublicationID=P20151021180</v>
      </c>
      <c r="K3805" s="13" t="str">
        <f>HYPERLINK("https://ntsu.idm.oclc.org/login?url=https://www.airitibooks.com/Detail/Detail?PublicationID=P20151021180", "https://ntsu.idm.oclc.org/login?url=https://www.airitibooks.com/Detail/Detail?PublicationID=P20151021180")</f>
        <v>https://ntsu.idm.oclc.org/login?url=https://www.airitibooks.com/Detail/Detail?PublicationID=P20151021180</v>
      </c>
    </row>
    <row r="3806" spans="1:11" ht="51" x14ac:dyDescent="0.4">
      <c r="A3806" s="10" t="s">
        <v>3780</v>
      </c>
      <c r="B3806" s="10" t="s">
        <v>3781</v>
      </c>
      <c r="C3806" s="10" t="s">
        <v>357</v>
      </c>
      <c r="D3806" s="10" t="s">
        <v>3776</v>
      </c>
      <c r="E3806" s="10" t="s">
        <v>30</v>
      </c>
      <c r="F3806" s="10" t="s">
        <v>565</v>
      </c>
      <c r="G3806" s="10" t="s">
        <v>23</v>
      </c>
      <c r="H3806" s="7" t="s">
        <v>24</v>
      </c>
      <c r="I3806" s="7" t="s">
        <v>25</v>
      </c>
      <c r="J3806" s="13" t="str">
        <f>HYPERLINK("https://www.airitibooks.com/Detail/Detail?PublicationID=P20151021181", "https://www.airitibooks.com/Detail/Detail?PublicationID=P20151021181")</f>
        <v>https://www.airitibooks.com/Detail/Detail?PublicationID=P20151021181</v>
      </c>
      <c r="K3806" s="13" t="str">
        <f>HYPERLINK("https://ntsu.idm.oclc.org/login?url=https://www.airitibooks.com/Detail/Detail?PublicationID=P20151021181", "https://ntsu.idm.oclc.org/login?url=https://www.airitibooks.com/Detail/Detail?PublicationID=P20151021181")</f>
        <v>https://ntsu.idm.oclc.org/login?url=https://www.airitibooks.com/Detail/Detail?PublicationID=P20151021181</v>
      </c>
    </row>
    <row r="3807" spans="1:11" ht="51" x14ac:dyDescent="0.4">
      <c r="A3807" s="10" t="s">
        <v>3782</v>
      </c>
      <c r="B3807" s="10" t="s">
        <v>3783</v>
      </c>
      <c r="C3807" s="10" t="s">
        <v>357</v>
      </c>
      <c r="D3807" s="10" t="s">
        <v>3776</v>
      </c>
      <c r="E3807" s="10" t="s">
        <v>30</v>
      </c>
      <c r="F3807" s="10" t="s">
        <v>565</v>
      </c>
      <c r="G3807" s="10" t="s">
        <v>23</v>
      </c>
      <c r="H3807" s="7" t="s">
        <v>24</v>
      </c>
      <c r="I3807" s="7" t="s">
        <v>25</v>
      </c>
      <c r="J3807" s="13" t="str">
        <f>HYPERLINK("https://www.airitibooks.com/Detail/Detail?PublicationID=P20151021183", "https://www.airitibooks.com/Detail/Detail?PublicationID=P20151021183")</f>
        <v>https://www.airitibooks.com/Detail/Detail?PublicationID=P20151021183</v>
      </c>
      <c r="K3807" s="13" t="str">
        <f>HYPERLINK("https://ntsu.idm.oclc.org/login?url=https://www.airitibooks.com/Detail/Detail?PublicationID=P20151021183", "https://ntsu.idm.oclc.org/login?url=https://www.airitibooks.com/Detail/Detail?PublicationID=P20151021183")</f>
        <v>https://ntsu.idm.oclc.org/login?url=https://www.airitibooks.com/Detail/Detail?PublicationID=P20151021183</v>
      </c>
    </row>
    <row r="3808" spans="1:11" ht="51" x14ac:dyDescent="0.4">
      <c r="A3808" s="10" t="s">
        <v>3834</v>
      </c>
      <c r="B3808" s="10" t="s">
        <v>3835</v>
      </c>
      <c r="C3808" s="10" t="s">
        <v>287</v>
      </c>
      <c r="D3808" s="10" t="s">
        <v>2847</v>
      </c>
      <c r="E3808" s="10" t="s">
        <v>30</v>
      </c>
      <c r="F3808" s="10" t="s">
        <v>1856</v>
      </c>
      <c r="G3808" s="10" t="s">
        <v>23</v>
      </c>
      <c r="H3808" s="7" t="s">
        <v>24</v>
      </c>
      <c r="I3808" s="7" t="s">
        <v>25</v>
      </c>
      <c r="J3808" s="13" t="str">
        <f>HYPERLINK("https://www.airitibooks.com/Detail/Detail?PublicationID=P20151028015", "https://www.airitibooks.com/Detail/Detail?PublicationID=P20151028015")</f>
        <v>https://www.airitibooks.com/Detail/Detail?PublicationID=P20151028015</v>
      </c>
      <c r="K3808" s="13" t="str">
        <f>HYPERLINK("https://ntsu.idm.oclc.org/login?url=https://www.airitibooks.com/Detail/Detail?PublicationID=P20151028015", "https://ntsu.idm.oclc.org/login?url=https://www.airitibooks.com/Detail/Detail?PublicationID=P20151028015")</f>
        <v>https://ntsu.idm.oclc.org/login?url=https://www.airitibooks.com/Detail/Detail?PublicationID=P20151028015</v>
      </c>
    </row>
    <row r="3809" spans="1:11" ht="51" x14ac:dyDescent="0.4">
      <c r="A3809" s="10" t="s">
        <v>3836</v>
      </c>
      <c r="B3809" s="10" t="s">
        <v>3837</v>
      </c>
      <c r="C3809" s="10" t="s">
        <v>287</v>
      </c>
      <c r="D3809" s="10" t="s">
        <v>2847</v>
      </c>
      <c r="E3809" s="10" t="s">
        <v>30</v>
      </c>
      <c r="F3809" s="10" t="s">
        <v>1856</v>
      </c>
      <c r="G3809" s="10" t="s">
        <v>23</v>
      </c>
      <c r="H3809" s="7" t="s">
        <v>24</v>
      </c>
      <c r="I3809" s="7" t="s">
        <v>25</v>
      </c>
      <c r="J3809" s="13" t="str">
        <f>HYPERLINK("https://www.airitibooks.com/Detail/Detail?PublicationID=P20151028016", "https://www.airitibooks.com/Detail/Detail?PublicationID=P20151028016")</f>
        <v>https://www.airitibooks.com/Detail/Detail?PublicationID=P20151028016</v>
      </c>
      <c r="K3809" s="13" t="str">
        <f>HYPERLINK("https://ntsu.idm.oclc.org/login?url=https://www.airitibooks.com/Detail/Detail?PublicationID=P20151028016", "https://ntsu.idm.oclc.org/login?url=https://www.airitibooks.com/Detail/Detail?PublicationID=P20151028016")</f>
        <v>https://ntsu.idm.oclc.org/login?url=https://www.airitibooks.com/Detail/Detail?PublicationID=P20151028016</v>
      </c>
    </row>
    <row r="3810" spans="1:11" ht="51" x14ac:dyDescent="0.4">
      <c r="A3810" s="10" t="s">
        <v>3846</v>
      </c>
      <c r="B3810" s="10" t="s">
        <v>3847</v>
      </c>
      <c r="C3810" s="10" t="s">
        <v>3473</v>
      </c>
      <c r="D3810" s="10" t="s">
        <v>3844</v>
      </c>
      <c r="E3810" s="10" t="s">
        <v>30</v>
      </c>
      <c r="F3810" s="10" t="s">
        <v>3848</v>
      </c>
      <c r="G3810" s="10" t="s">
        <v>23</v>
      </c>
      <c r="H3810" s="7" t="s">
        <v>24</v>
      </c>
      <c r="I3810" s="7" t="s">
        <v>25</v>
      </c>
      <c r="J3810" s="13" t="str">
        <f>HYPERLINK("https://www.airitibooks.com/Detail/Detail?PublicationID=P20151030003", "https://www.airitibooks.com/Detail/Detail?PublicationID=P20151030003")</f>
        <v>https://www.airitibooks.com/Detail/Detail?PublicationID=P20151030003</v>
      </c>
      <c r="K3810" s="13" t="str">
        <f>HYPERLINK("https://ntsu.idm.oclc.org/login?url=https://www.airitibooks.com/Detail/Detail?PublicationID=P20151030003", "https://ntsu.idm.oclc.org/login?url=https://www.airitibooks.com/Detail/Detail?PublicationID=P20151030003")</f>
        <v>https://ntsu.idm.oclc.org/login?url=https://www.airitibooks.com/Detail/Detail?PublicationID=P20151030003</v>
      </c>
    </row>
    <row r="3811" spans="1:11" ht="51" x14ac:dyDescent="0.4">
      <c r="A3811" s="10" t="s">
        <v>3891</v>
      </c>
      <c r="B3811" s="10" t="s">
        <v>3892</v>
      </c>
      <c r="C3811" s="10" t="s">
        <v>938</v>
      </c>
      <c r="D3811" s="10" t="s">
        <v>3893</v>
      </c>
      <c r="E3811" s="10" t="s">
        <v>30</v>
      </c>
      <c r="F3811" s="10" t="s">
        <v>720</v>
      </c>
      <c r="G3811" s="10" t="s">
        <v>23</v>
      </c>
      <c r="H3811" s="7" t="s">
        <v>24</v>
      </c>
      <c r="I3811" s="7" t="s">
        <v>25</v>
      </c>
      <c r="J3811" s="13" t="str">
        <f>HYPERLINK("https://www.airitibooks.com/Detail/Detail?PublicationID=P20151111038", "https://www.airitibooks.com/Detail/Detail?PublicationID=P20151111038")</f>
        <v>https://www.airitibooks.com/Detail/Detail?PublicationID=P20151111038</v>
      </c>
      <c r="K3811" s="13" t="str">
        <f>HYPERLINK("https://ntsu.idm.oclc.org/login?url=https://www.airitibooks.com/Detail/Detail?PublicationID=P20151111038", "https://ntsu.idm.oclc.org/login?url=https://www.airitibooks.com/Detail/Detail?PublicationID=P20151111038")</f>
        <v>https://ntsu.idm.oclc.org/login?url=https://www.airitibooks.com/Detail/Detail?PublicationID=P20151111038</v>
      </c>
    </row>
    <row r="3812" spans="1:11" ht="51" x14ac:dyDescent="0.4">
      <c r="A3812" s="10" t="s">
        <v>3905</v>
      </c>
      <c r="B3812" s="10" t="s">
        <v>3906</v>
      </c>
      <c r="C3812" s="10" t="s">
        <v>938</v>
      </c>
      <c r="D3812" s="10" t="s">
        <v>3907</v>
      </c>
      <c r="E3812" s="10" t="s">
        <v>30</v>
      </c>
      <c r="F3812" s="10" t="s">
        <v>1837</v>
      </c>
      <c r="G3812" s="10" t="s">
        <v>23</v>
      </c>
      <c r="H3812" s="7" t="s">
        <v>24</v>
      </c>
      <c r="I3812" s="7" t="s">
        <v>25</v>
      </c>
      <c r="J3812" s="13" t="str">
        <f>HYPERLINK("https://www.airitibooks.com/Detail/Detail?PublicationID=P20151111056", "https://www.airitibooks.com/Detail/Detail?PublicationID=P20151111056")</f>
        <v>https://www.airitibooks.com/Detail/Detail?PublicationID=P20151111056</v>
      </c>
      <c r="K3812" s="13" t="str">
        <f>HYPERLINK("https://ntsu.idm.oclc.org/login?url=https://www.airitibooks.com/Detail/Detail?PublicationID=P20151111056", "https://ntsu.idm.oclc.org/login?url=https://www.airitibooks.com/Detail/Detail?PublicationID=P20151111056")</f>
        <v>https://ntsu.idm.oclc.org/login?url=https://www.airitibooks.com/Detail/Detail?PublicationID=P20151111056</v>
      </c>
    </row>
    <row r="3813" spans="1:11" ht="85" x14ac:dyDescent="0.4">
      <c r="A3813" s="10" t="s">
        <v>3917</v>
      </c>
      <c r="B3813" s="10" t="s">
        <v>3918</v>
      </c>
      <c r="C3813" s="10" t="s">
        <v>3919</v>
      </c>
      <c r="D3813" s="10" t="s">
        <v>3920</v>
      </c>
      <c r="E3813" s="10" t="s">
        <v>30</v>
      </c>
      <c r="F3813" s="10" t="s">
        <v>3921</v>
      </c>
      <c r="G3813" s="10" t="s">
        <v>23</v>
      </c>
      <c r="H3813" s="7" t="s">
        <v>24</v>
      </c>
      <c r="I3813" s="7" t="s">
        <v>25</v>
      </c>
      <c r="J3813" s="13" t="str">
        <f>HYPERLINK("https://www.airitibooks.com/Detail/Detail?PublicationID=P20151111078", "https://www.airitibooks.com/Detail/Detail?PublicationID=P20151111078")</f>
        <v>https://www.airitibooks.com/Detail/Detail?PublicationID=P20151111078</v>
      </c>
      <c r="K3813" s="13" t="str">
        <f>HYPERLINK("https://ntsu.idm.oclc.org/login?url=https://www.airitibooks.com/Detail/Detail?PublicationID=P20151111078", "https://ntsu.idm.oclc.org/login?url=https://www.airitibooks.com/Detail/Detail?PublicationID=P20151111078")</f>
        <v>https://ntsu.idm.oclc.org/login?url=https://www.airitibooks.com/Detail/Detail?PublicationID=P20151111078</v>
      </c>
    </row>
    <row r="3814" spans="1:11" ht="51" x14ac:dyDescent="0.4">
      <c r="A3814" s="10" t="s">
        <v>3925</v>
      </c>
      <c r="B3814" s="10" t="s">
        <v>3926</v>
      </c>
      <c r="C3814" s="10" t="s">
        <v>756</v>
      </c>
      <c r="D3814" s="10" t="s">
        <v>3927</v>
      </c>
      <c r="E3814" s="10" t="s">
        <v>30</v>
      </c>
      <c r="F3814" s="10" t="s">
        <v>565</v>
      </c>
      <c r="G3814" s="10" t="s">
        <v>23</v>
      </c>
      <c r="H3814" s="7" t="s">
        <v>24</v>
      </c>
      <c r="I3814" s="7" t="s">
        <v>25</v>
      </c>
      <c r="J3814" s="13" t="str">
        <f>HYPERLINK("https://www.airitibooks.com/Detail/Detail?PublicationID=P20151111081", "https://www.airitibooks.com/Detail/Detail?PublicationID=P20151111081")</f>
        <v>https://www.airitibooks.com/Detail/Detail?PublicationID=P20151111081</v>
      </c>
      <c r="K3814" s="13" t="str">
        <f>HYPERLINK("https://ntsu.idm.oclc.org/login?url=https://www.airitibooks.com/Detail/Detail?PublicationID=P20151111081", "https://ntsu.idm.oclc.org/login?url=https://www.airitibooks.com/Detail/Detail?PublicationID=P20151111081")</f>
        <v>https://ntsu.idm.oclc.org/login?url=https://www.airitibooks.com/Detail/Detail?PublicationID=P20151111081</v>
      </c>
    </row>
    <row r="3815" spans="1:11" ht="51" x14ac:dyDescent="0.4">
      <c r="A3815" s="10" t="s">
        <v>3933</v>
      </c>
      <c r="B3815" s="10" t="s">
        <v>3934</v>
      </c>
      <c r="C3815" s="10" t="s">
        <v>613</v>
      </c>
      <c r="D3815" s="10" t="s">
        <v>3935</v>
      </c>
      <c r="E3815" s="10" t="s">
        <v>30</v>
      </c>
      <c r="F3815" s="10" t="s">
        <v>250</v>
      </c>
      <c r="G3815" s="10" t="s">
        <v>23</v>
      </c>
      <c r="H3815" s="7" t="s">
        <v>24</v>
      </c>
      <c r="I3815" s="7" t="s">
        <v>25</v>
      </c>
      <c r="J3815" s="13" t="str">
        <f>HYPERLINK("https://www.airitibooks.com/Detail/Detail?PublicationID=P20151111088", "https://www.airitibooks.com/Detail/Detail?PublicationID=P20151111088")</f>
        <v>https://www.airitibooks.com/Detail/Detail?PublicationID=P20151111088</v>
      </c>
      <c r="K3815" s="13" t="str">
        <f>HYPERLINK("https://ntsu.idm.oclc.org/login?url=https://www.airitibooks.com/Detail/Detail?PublicationID=P20151111088", "https://ntsu.idm.oclc.org/login?url=https://www.airitibooks.com/Detail/Detail?PublicationID=P20151111088")</f>
        <v>https://ntsu.idm.oclc.org/login?url=https://www.airitibooks.com/Detail/Detail?PublicationID=P20151111088</v>
      </c>
    </row>
    <row r="3816" spans="1:11" ht="51" x14ac:dyDescent="0.4">
      <c r="A3816" s="10" t="s">
        <v>4004</v>
      </c>
      <c r="B3816" s="10" t="s">
        <v>4005</v>
      </c>
      <c r="C3816" s="10" t="s">
        <v>800</v>
      </c>
      <c r="D3816" s="10" t="s">
        <v>1044</v>
      </c>
      <c r="E3816" s="10" t="s">
        <v>30</v>
      </c>
      <c r="F3816" s="10" t="s">
        <v>250</v>
      </c>
      <c r="G3816" s="10" t="s">
        <v>23</v>
      </c>
      <c r="H3816" s="7" t="s">
        <v>24</v>
      </c>
      <c r="I3816" s="7" t="s">
        <v>25</v>
      </c>
      <c r="J3816" s="13" t="str">
        <f>HYPERLINK("https://www.airitibooks.com/Detail/Detail?PublicationID=P20151201423", "https://www.airitibooks.com/Detail/Detail?PublicationID=P20151201423")</f>
        <v>https://www.airitibooks.com/Detail/Detail?PublicationID=P20151201423</v>
      </c>
      <c r="K3816" s="13" t="str">
        <f>HYPERLINK("https://ntsu.idm.oclc.org/login?url=https://www.airitibooks.com/Detail/Detail?PublicationID=P20151201423", "https://ntsu.idm.oclc.org/login?url=https://www.airitibooks.com/Detail/Detail?PublicationID=P20151201423")</f>
        <v>https://ntsu.idm.oclc.org/login?url=https://www.airitibooks.com/Detail/Detail?PublicationID=P20151201423</v>
      </c>
    </row>
    <row r="3817" spans="1:11" ht="68" x14ac:dyDescent="0.4">
      <c r="A3817" s="10" t="s">
        <v>4008</v>
      </c>
      <c r="B3817" s="10" t="s">
        <v>4009</v>
      </c>
      <c r="C3817" s="10" t="s">
        <v>791</v>
      </c>
      <c r="D3817" s="10" t="s">
        <v>1103</v>
      </c>
      <c r="E3817" s="10" t="s">
        <v>30</v>
      </c>
      <c r="F3817" s="10" t="s">
        <v>214</v>
      </c>
      <c r="G3817" s="10" t="s">
        <v>23</v>
      </c>
      <c r="H3817" s="7" t="s">
        <v>24</v>
      </c>
      <c r="I3817" s="7" t="s">
        <v>25</v>
      </c>
      <c r="J3817" s="13" t="str">
        <f>HYPERLINK("https://www.airitibooks.com/Detail/Detail?PublicationID=P20151201457", "https://www.airitibooks.com/Detail/Detail?PublicationID=P20151201457")</f>
        <v>https://www.airitibooks.com/Detail/Detail?PublicationID=P20151201457</v>
      </c>
      <c r="K3817" s="13" t="str">
        <f>HYPERLINK("https://ntsu.idm.oclc.org/login?url=https://www.airitibooks.com/Detail/Detail?PublicationID=P20151201457", "https://ntsu.idm.oclc.org/login?url=https://www.airitibooks.com/Detail/Detail?PublicationID=P20151201457")</f>
        <v>https://ntsu.idm.oclc.org/login?url=https://www.airitibooks.com/Detail/Detail?PublicationID=P20151201457</v>
      </c>
    </row>
    <row r="3818" spans="1:11" ht="51" x14ac:dyDescent="0.4">
      <c r="A3818" s="10" t="s">
        <v>4013</v>
      </c>
      <c r="B3818" s="10" t="s">
        <v>4014</v>
      </c>
      <c r="C3818" s="10" t="s">
        <v>791</v>
      </c>
      <c r="D3818" s="10" t="s">
        <v>4015</v>
      </c>
      <c r="E3818" s="10" t="s">
        <v>30</v>
      </c>
      <c r="F3818" s="10" t="s">
        <v>696</v>
      </c>
      <c r="G3818" s="10" t="s">
        <v>23</v>
      </c>
      <c r="H3818" s="7" t="s">
        <v>24</v>
      </c>
      <c r="I3818" s="7" t="s">
        <v>25</v>
      </c>
      <c r="J3818" s="13" t="str">
        <f>HYPERLINK("https://www.airitibooks.com/Detail/Detail?PublicationID=P20151201459", "https://www.airitibooks.com/Detail/Detail?PublicationID=P20151201459")</f>
        <v>https://www.airitibooks.com/Detail/Detail?PublicationID=P20151201459</v>
      </c>
      <c r="K3818" s="13" t="str">
        <f>HYPERLINK("https://ntsu.idm.oclc.org/login?url=https://www.airitibooks.com/Detail/Detail?PublicationID=P20151201459", "https://ntsu.idm.oclc.org/login?url=https://www.airitibooks.com/Detail/Detail?PublicationID=P20151201459")</f>
        <v>https://ntsu.idm.oclc.org/login?url=https://www.airitibooks.com/Detail/Detail?PublicationID=P20151201459</v>
      </c>
    </row>
    <row r="3819" spans="1:11" ht="51" x14ac:dyDescent="0.4">
      <c r="A3819" s="10" t="s">
        <v>4016</v>
      </c>
      <c r="B3819" s="10" t="s">
        <v>4017</v>
      </c>
      <c r="C3819" s="10" t="s">
        <v>680</v>
      </c>
      <c r="D3819" s="10" t="s">
        <v>4018</v>
      </c>
      <c r="E3819" s="10" t="s">
        <v>30</v>
      </c>
      <c r="F3819" s="10" t="s">
        <v>565</v>
      </c>
      <c r="G3819" s="10" t="s">
        <v>23</v>
      </c>
      <c r="H3819" s="7" t="s">
        <v>24</v>
      </c>
      <c r="I3819" s="7" t="s">
        <v>25</v>
      </c>
      <c r="J3819" s="13" t="str">
        <f>HYPERLINK("https://www.airitibooks.com/Detail/Detail?PublicationID=P20151201460", "https://www.airitibooks.com/Detail/Detail?PublicationID=P20151201460")</f>
        <v>https://www.airitibooks.com/Detail/Detail?PublicationID=P20151201460</v>
      </c>
      <c r="K3819" s="13" t="str">
        <f>HYPERLINK("https://ntsu.idm.oclc.org/login?url=https://www.airitibooks.com/Detail/Detail?PublicationID=P20151201460", "https://ntsu.idm.oclc.org/login?url=https://www.airitibooks.com/Detail/Detail?PublicationID=P20151201460")</f>
        <v>https://ntsu.idm.oclc.org/login?url=https://www.airitibooks.com/Detail/Detail?PublicationID=P20151201460</v>
      </c>
    </row>
    <row r="3820" spans="1:11" ht="51" x14ac:dyDescent="0.4">
      <c r="A3820" s="10" t="s">
        <v>4019</v>
      </c>
      <c r="B3820" s="10" t="s">
        <v>4020</v>
      </c>
      <c r="C3820" s="10" t="s">
        <v>938</v>
      </c>
      <c r="D3820" s="10" t="s">
        <v>4021</v>
      </c>
      <c r="E3820" s="10" t="s">
        <v>30</v>
      </c>
      <c r="F3820" s="10" t="s">
        <v>4022</v>
      </c>
      <c r="G3820" s="10" t="s">
        <v>23</v>
      </c>
      <c r="H3820" s="7" t="s">
        <v>24</v>
      </c>
      <c r="I3820" s="7" t="s">
        <v>25</v>
      </c>
      <c r="J3820" s="13" t="str">
        <f>HYPERLINK("https://www.airitibooks.com/Detail/Detail?PublicationID=P20151204011", "https://www.airitibooks.com/Detail/Detail?PublicationID=P20151204011")</f>
        <v>https://www.airitibooks.com/Detail/Detail?PublicationID=P20151204011</v>
      </c>
      <c r="K3820" s="13" t="str">
        <f>HYPERLINK("https://ntsu.idm.oclc.org/login?url=https://www.airitibooks.com/Detail/Detail?PublicationID=P20151204011", "https://ntsu.idm.oclc.org/login?url=https://www.airitibooks.com/Detail/Detail?PublicationID=P20151204011")</f>
        <v>https://ntsu.idm.oclc.org/login?url=https://www.airitibooks.com/Detail/Detail?PublicationID=P20151204011</v>
      </c>
    </row>
    <row r="3821" spans="1:11" ht="51" x14ac:dyDescent="0.4">
      <c r="A3821" s="10" t="s">
        <v>4039</v>
      </c>
      <c r="B3821" s="10" t="s">
        <v>4040</v>
      </c>
      <c r="C3821" s="10" t="s">
        <v>938</v>
      </c>
      <c r="D3821" s="10" t="s">
        <v>2142</v>
      </c>
      <c r="E3821" s="10" t="s">
        <v>30</v>
      </c>
      <c r="F3821" s="10" t="s">
        <v>4041</v>
      </c>
      <c r="G3821" s="10" t="s">
        <v>23</v>
      </c>
      <c r="H3821" s="7" t="s">
        <v>24</v>
      </c>
      <c r="I3821" s="7" t="s">
        <v>25</v>
      </c>
      <c r="J3821" s="13" t="str">
        <f>HYPERLINK("https://www.airitibooks.com/Detail/Detail?PublicationID=P20151204026", "https://www.airitibooks.com/Detail/Detail?PublicationID=P20151204026")</f>
        <v>https://www.airitibooks.com/Detail/Detail?PublicationID=P20151204026</v>
      </c>
      <c r="K3821" s="13" t="str">
        <f>HYPERLINK("https://ntsu.idm.oclc.org/login?url=https://www.airitibooks.com/Detail/Detail?PublicationID=P20151204026", "https://ntsu.idm.oclc.org/login?url=https://www.airitibooks.com/Detail/Detail?PublicationID=P20151204026")</f>
        <v>https://ntsu.idm.oclc.org/login?url=https://www.airitibooks.com/Detail/Detail?PublicationID=P20151204026</v>
      </c>
    </row>
    <row r="3822" spans="1:11" ht="51" x14ac:dyDescent="0.4">
      <c r="A3822" s="10" t="s">
        <v>4068</v>
      </c>
      <c r="B3822" s="10" t="s">
        <v>4069</v>
      </c>
      <c r="C3822" s="10" t="s">
        <v>212</v>
      </c>
      <c r="D3822" s="10" t="s">
        <v>671</v>
      </c>
      <c r="E3822" s="10" t="s">
        <v>30</v>
      </c>
      <c r="F3822" s="10" t="s">
        <v>672</v>
      </c>
      <c r="G3822" s="10" t="s">
        <v>23</v>
      </c>
      <c r="H3822" s="7" t="s">
        <v>24</v>
      </c>
      <c r="I3822" s="7" t="s">
        <v>25</v>
      </c>
      <c r="J3822" s="13" t="str">
        <f>HYPERLINK("https://www.airitibooks.com/Detail/Detail?PublicationID=P20151204056", "https://www.airitibooks.com/Detail/Detail?PublicationID=P20151204056")</f>
        <v>https://www.airitibooks.com/Detail/Detail?PublicationID=P20151204056</v>
      </c>
      <c r="K3822" s="13" t="str">
        <f>HYPERLINK("https://ntsu.idm.oclc.org/login?url=https://www.airitibooks.com/Detail/Detail?PublicationID=P20151204056", "https://ntsu.idm.oclc.org/login?url=https://www.airitibooks.com/Detail/Detail?PublicationID=P20151204056")</f>
        <v>https://ntsu.idm.oclc.org/login?url=https://www.airitibooks.com/Detail/Detail?PublicationID=P20151204056</v>
      </c>
    </row>
    <row r="3823" spans="1:11" ht="51" x14ac:dyDescent="0.4">
      <c r="A3823" s="10" t="s">
        <v>4322</v>
      </c>
      <c r="B3823" s="10" t="s">
        <v>4323</v>
      </c>
      <c r="C3823" s="10" t="s">
        <v>4324</v>
      </c>
      <c r="D3823" s="10" t="s">
        <v>4325</v>
      </c>
      <c r="E3823" s="10" t="s">
        <v>30</v>
      </c>
      <c r="F3823" s="10" t="s">
        <v>4326</v>
      </c>
      <c r="G3823" s="10" t="s">
        <v>23</v>
      </c>
      <c r="H3823" s="7" t="s">
        <v>24</v>
      </c>
      <c r="I3823" s="7" t="s">
        <v>25</v>
      </c>
      <c r="J3823" s="13" t="str">
        <f>HYPERLINK("https://www.airitibooks.com/Detail/Detail?PublicationID=P20160315228", "https://www.airitibooks.com/Detail/Detail?PublicationID=P20160315228")</f>
        <v>https://www.airitibooks.com/Detail/Detail?PublicationID=P20160315228</v>
      </c>
      <c r="K3823" s="13" t="str">
        <f>HYPERLINK("https://ntsu.idm.oclc.org/login?url=https://www.airitibooks.com/Detail/Detail?PublicationID=P20160315228", "https://ntsu.idm.oclc.org/login?url=https://www.airitibooks.com/Detail/Detail?PublicationID=P20160315228")</f>
        <v>https://ntsu.idm.oclc.org/login?url=https://www.airitibooks.com/Detail/Detail?PublicationID=P20160315228</v>
      </c>
    </row>
    <row r="3824" spans="1:11" ht="51" x14ac:dyDescent="0.4">
      <c r="A3824" s="10" t="s">
        <v>4327</v>
      </c>
      <c r="B3824" s="10" t="s">
        <v>4328</v>
      </c>
      <c r="C3824" s="10" t="s">
        <v>4324</v>
      </c>
      <c r="D3824" s="10" t="s">
        <v>4325</v>
      </c>
      <c r="E3824" s="10" t="s">
        <v>30</v>
      </c>
      <c r="F3824" s="10" t="s">
        <v>4326</v>
      </c>
      <c r="G3824" s="10" t="s">
        <v>23</v>
      </c>
      <c r="H3824" s="7" t="s">
        <v>24</v>
      </c>
      <c r="I3824" s="7" t="s">
        <v>25</v>
      </c>
      <c r="J3824" s="13" t="str">
        <f>HYPERLINK("https://www.airitibooks.com/Detail/Detail?PublicationID=P20160315229", "https://www.airitibooks.com/Detail/Detail?PublicationID=P20160315229")</f>
        <v>https://www.airitibooks.com/Detail/Detail?PublicationID=P20160315229</v>
      </c>
      <c r="K3824" s="13" t="str">
        <f>HYPERLINK("https://ntsu.idm.oclc.org/login?url=https://www.airitibooks.com/Detail/Detail?PublicationID=P20160315229", "https://ntsu.idm.oclc.org/login?url=https://www.airitibooks.com/Detail/Detail?PublicationID=P20160315229")</f>
        <v>https://ntsu.idm.oclc.org/login?url=https://www.airitibooks.com/Detail/Detail?PublicationID=P20160315229</v>
      </c>
    </row>
    <row r="3825" spans="1:11" ht="51" x14ac:dyDescent="0.4">
      <c r="A3825" s="10" t="s">
        <v>4329</v>
      </c>
      <c r="B3825" s="10" t="s">
        <v>4330</v>
      </c>
      <c r="C3825" s="10" t="s">
        <v>4324</v>
      </c>
      <c r="D3825" s="10" t="s">
        <v>4325</v>
      </c>
      <c r="E3825" s="10" t="s">
        <v>30</v>
      </c>
      <c r="F3825" s="10" t="s">
        <v>4326</v>
      </c>
      <c r="G3825" s="10" t="s">
        <v>23</v>
      </c>
      <c r="H3825" s="7" t="s">
        <v>24</v>
      </c>
      <c r="I3825" s="7" t="s">
        <v>25</v>
      </c>
      <c r="J3825" s="13" t="str">
        <f>HYPERLINK("https://www.airitibooks.com/Detail/Detail?PublicationID=P20160315230", "https://www.airitibooks.com/Detail/Detail?PublicationID=P20160315230")</f>
        <v>https://www.airitibooks.com/Detail/Detail?PublicationID=P20160315230</v>
      </c>
      <c r="K3825" s="13" t="str">
        <f>HYPERLINK("https://ntsu.idm.oclc.org/login?url=https://www.airitibooks.com/Detail/Detail?PublicationID=P20160315230", "https://ntsu.idm.oclc.org/login?url=https://www.airitibooks.com/Detail/Detail?PublicationID=P20160315230")</f>
        <v>https://ntsu.idm.oclc.org/login?url=https://www.airitibooks.com/Detail/Detail?PublicationID=P20160315230</v>
      </c>
    </row>
    <row r="3826" spans="1:11" ht="51" x14ac:dyDescent="0.4">
      <c r="A3826" s="10" t="s">
        <v>4331</v>
      </c>
      <c r="B3826" s="10" t="s">
        <v>4332</v>
      </c>
      <c r="C3826" s="10" t="s">
        <v>4324</v>
      </c>
      <c r="D3826" s="10" t="s">
        <v>4325</v>
      </c>
      <c r="E3826" s="10" t="s">
        <v>30</v>
      </c>
      <c r="F3826" s="10" t="s">
        <v>4326</v>
      </c>
      <c r="G3826" s="10" t="s">
        <v>23</v>
      </c>
      <c r="H3826" s="7" t="s">
        <v>24</v>
      </c>
      <c r="I3826" s="7" t="s">
        <v>25</v>
      </c>
      <c r="J3826" s="13" t="str">
        <f>HYPERLINK("https://www.airitibooks.com/Detail/Detail?PublicationID=P20160315231", "https://www.airitibooks.com/Detail/Detail?PublicationID=P20160315231")</f>
        <v>https://www.airitibooks.com/Detail/Detail?PublicationID=P20160315231</v>
      </c>
      <c r="K3826" s="13" t="str">
        <f>HYPERLINK("https://ntsu.idm.oclc.org/login?url=https://www.airitibooks.com/Detail/Detail?PublicationID=P20160315231", "https://ntsu.idm.oclc.org/login?url=https://www.airitibooks.com/Detail/Detail?PublicationID=P20160315231")</f>
        <v>https://ntsu.idm.oclc.org/login?url=https://www.airitibooks.com/Detail/Detail?PublicationID=P20160315231</v>
      </c>
    </row>
    <row r="3827" spans="1:11" ht="51" x14ac:dyDescent="0.4">
      <c r="A3827" s="10" t="s">
        <v>4333</v>
      </c>
      <c r="B3827" s="10" t="s">
        <v>4334</v>
      </c>
      <c r="C3827" s="10" t="s">
        <v>4324</v>
      </c>
      <c r="D3827" s="10" t="s">
        <v>4325</v>
      </c>
      <c r="E3827" s="10" t="s">
        <v>30</v>
      </c>
      <c r="F3827" s="10" t="s">
        <v>4326</v>
      </c>
      <c r="G3827" s="10" t="s">
        <v>23</v>
      </c>
      <c r="H3827" s="7" t="s">
        <v>24</v>
      </c>
      <c r="I3827" s="7" t="s">
        <v>25</v>
      </c>
      <c r="J3827" s="13" t="str">
        <f>HYPERLINK("https://www.airitibooks.com/Detail/Detail?PublicationID=P20160315232", "https://www.airitibooks.com/Detail/Detail?PublicationID=P20160315232")</f>
        <v>https://www.airitibooks.com/Detail/Detail?PublicationID=P20160315232</v>
      </c>
      <c r="K3827" s="13" t="str">
        <f>HYPERLINK("https://ntsu.idm.oclc.org/login?url=https://www.airitibooks.com/Detail/Detail?PublicationID=P20160315232", "https://ntsu.idm.oclc.org/login?url=https://www.airitibooks.com/Detail/Detail?PublicationID=P20160315232")</f>
        <v>https://ntsu.idm.oclc.org/login?url=https://www.airitibooks.com/Detail/Detail?PublicationID=P20160315232</v>
      </c>
    </row>
    <row r="3828" spans="1:11" ht="51" x14ac:dyDescent="0.4">
      <c r="A3828" s="10" t="s">
        <v>4335</v>
      </c>
      <c r="B3828" s="10" t="s">
        <v>4336</v>
      </c>
      <c r="C3828" s="10" t="s">
        <v>4324</v>
      </c>
      <c r="D3828" s="10" t="s">
        <v>4325</v>
      </c>
      <c r="E3828" s="10" t="s">
        <v>30</v>
      </c>
      <c r="F3828" s="10" t="s">
        <v>4326</v>
      </c>
      <c r="G3828" s="10" t="s">
        <v>23</v>
      </c>
      <c r="H3828" s="7" t="s">
        <v>24</v>
      </c>
      <c r="I3828" s="7" t="s">
        <v>25</v>
      </c>
      <c r="J3828" s="13" t="str">
        <f>HYPERLINK("https://www.airitibooks.com/Detail/Detail?PublicationID=P20160315233", "https://www.airitibooks.com/Detail/Detail?PublicationID=P20160315233")</f>
        <v>https://www.airitibooks.com/Detail/Detail?PublicationID=P20160315233</v>
      </c>
      <c r="K3828" s="13" t="str">
        <f>HYPERLINK("https://ntsu.idm.oclc.org/login?url=https://www.airitibooks.com/Detail/Detail?PublicationID=P20160315233", "https://ntsu.idm.oclc.org/login?url=https://www.airitibooks.com/Detail/Detail?PublicationID=P20160315233")</f>
        <v>https://ntsu.idm.oclc.org/login?url=https://www.airitibooks.com/Detail/Detail?PublicationID=P20160315233</v>
      </c>
    </row>
    <row r="3829" spans="1:11" ht="51" x14ac:dyDescent="0.4">
      <c r="A3829" s="10" t="s">
        <v>4337</v>
      </c>
      <c r="B3829" s="10" t="s">
        <v>4338</v>
      </c>
      <c r="C3829" s="10" t="s">
        <v>4324</v>
      </c>
      <c r="D3829" s="10" t="s">
        <v>4325</v>
      </c>
      <c r="E3829" s="10" t="s">
        <v>30</v>
      </c>
      <c r="F3829" s="10" t="s">
        <v>4326</v>
      </c>
      <c r="G3829" s="10" t="s">
        <v>23</v>
      </c>
      <c r="H3829" s="7" t="s">
        <v>24</v>
      </c>
      <c r="I3829" s="7" t="s">
        <v>25</v>
      </c>
      <c r="J3829" s="13" t="str">
        <f>HYPERLINK("https://www.airitibooks.com/Detail/Detail?PublicationID=P20160315234", "https://www.airitibooks.com/Detail/Detail?PublicationID=P20160315234")</f>
        <v>https://www.airitibooks.com/Detail/Detail?PublicationID=P20160315234</v>
      </c>
      <c r="K3829" s="13" t="str">
        <f>HYPERLINK("https://ntsu.idm.oclc.org/login?url=https://www.airitibooks.com/Detail/Detail?PublicationID=P20160315234", "https://ntsu.idm.oclc.org/login?url=https://www.airitibooks.com/Detail/Detail?PublicationID=P20160315234")</f>
        <v>https://ntsu.idm.oclc.org/login?url=https://www.airitibooks.com/Detail/Detail?PublicationID=P20160315234</v>
      </c>
    </row>
    <row r="3830" spans="1:11" ht="51" x14ac:dyDescent="0.4">
      <c r="A3830" s="10" t="s">
        <v>4339</v>
      </c>
      <c r="B3830" s="10" t="s">
        <v>4340</v>
      </c>
      <c r="C3830" s="10" t="s">
        <v>4324</v>
      </c>
      <c r="D3830" s="10" t="s">
        <v>4325</v>
      </c>
      <c r="E3830" s="10" t="s">
        <v>30</v>
      </c>
      <c r="F3830" s="10" t="s">
        <v>4326</v>
      </c>
      <c r="G3830" s="10" t="s">
        <v>23</v>
      </c>
      <c r="H3830" s="7" t="s">
        <v>24</v>
      </c>
      <c r="I3830" s="7" t="s">
        <v>25</v>
      </c>
      <c r="J3830" s="13" t="str">
        <f>HYPERLINK("https://www.airitibooks.com/Detail/Detail?PublicationID=P20160315235", "https://www.airitibooks.com/Detail/Detail?PublicationID=P20160315235")</f>
        <v>https://www.airitibooks.com/Detail/Detail?PublicationID=P20160315235</v>
      </c>
      <c r="K3830" s="13" t="str">
        <f>HYPERLINK("https://ntsu.idm.oclc.org/login?url=https://www.airitibooks.com/Detail/Detail?PublicationID=P20160315235", "https://ntsu.idm.oclc.org/login?url=https://www.airitibooks.com/Detail/Detail?PublicationID=P20160315235")</f>
        <v>https://ntsu.idm.oclc.org/login?url=https://www.airitibooks.com/Detail/Detail?PublicationID=P20160315235</v>
      </c>
    </row>
    <row r="3831" spans="1:11" ht="51" x14ac:dyDescent="0.4">
      <c r="A3831" s="10" t="s">
        <v>4341</v>
      </c>
      <c r="B3831" s="10" t="s">
        <v>4342</v>
      </c>
      <c r="C3831" s="10" t="s">
        <v>4324</v>
      </c>
      <c r="D3831" s="10" t="s">
        <v>4325</v>
      </c>
      <c r="E3831" s="10" t="s">
        <v>30</v>
      </c>
      <c r="F3831" s="10" t="s">
        <v>4326</v>
      </c>
      <c r="G3831" s="10" t="s">
        <v>23</v>
      </c>
      <c r="H3831" s="7" t="s">
        <v>24</v>
      </c>
      <c r="I3831" s="7" t="s">
        <v>25</v>
      </c>
      <c r="J3831" s="13" t="str">
        <f>HYPERLINK("https://www.airitibooks.com/Detail/Detail?PublicationID=P20160315236", "https://www.airitibooks.com/Detail/Detail?PublicationID=P20160315236")</f>
        <v>https://www.airitibooks.com/Detail/Detail?PublicationID=P20160315236</v>
      </c>
      <c r="K3831" s="13" t="str">
        <f>HYPERLINK("https://ntsu.idm.oclc.org/login?url=https://www.airitibooks.com/Detail/Detail?PublicationID=P20160315236", "https://ntsu.idm.oclc.org/login?url=https://www.airitibooks.com/Detail/Detail?PublicationID=P20160315236")</f>
        <v>https://ntsu.idm.oclc.org/login?url=https://www.airitibooks.com/Detail/Detail?PublicationID=P20160315236</v>
      </c>
    </row>
    <row r="3832" spans="1:11" ht="51" x14ac:dyDescent="0.4">
      <c r="A3832" s="10" t="s">
        <v>4343</v>
      </c>
      <c r="B3832" s="10" t="s">
        <v>4344</v>
      </c>
      <c r="C3832" s="10" t="s">
        <v>4324</v>
      </c>
      <c r="D3832" s="10" t="s">
        <v>4325</v>
      </c>
      <c r="E3832" s="10" t="s">
        <v>30</v>
      </c>
      <c r="F3832" s="10" t="s">
        <v>4326</v>
      </c>
      <c r="G3832" s="10" t="s">
        <v>23</v>
      </c>
      <c r="H3832" s="7" t="s">
        <v>24</v>
      </c>
      <c r="I3832" s="7" t="s">
        <v>25</v>
      </c>
      <c r="J3832" s="13" t="str">
        <f>HYPERLINK("https://www.airitibooks.com/Detail/Detail?PublicationID=P20160315237", "https://www.airitibooks.com/Detail/Detail?PublicationID=P20160315237")</f>
        <v>https://www.airitibooks.com/Detail/Detail?PublicationID=P20160315237</v>
      </c>
      <c r="K3832" s="13" t="str">
        <f>HYPERLINK("https://ntsu.idm.oclc.org/login?url=https://www.airitibooks.com/Detail/Detail?PublicationID=P20160315237", "https://ntsu.idm.oclc.org/login?url=https://www.airitibooks.com/Detail/Detail?PublicationID=P20160315237")</f>
        <v>https://ntsu.idm.oclc.org/login?url=https://www.airitibooks.com/Detail/Detail?PublicationID=P20160315237</v>
      </c>
    </row>
    <row r="3833" spans="1:11" ht="51" x14ac:dyDescent="0.4">
      <c r="A3833" s="10" t="s">
        <v>4345</v>
      </c>
      <c r="B3833" s="10" t="s">
        <v>4346</v>
      </c>
      <c r="C3833" s="10" t="s">
        <v>4324</v>
      </c>
      <c r="D3833" s="10" t="s">
        <v>4325</v>
      </c>
      <c r="E3833" s="10" t="s">
        <v>30</v>
      </c>
      <c r="F3833" s="10" t="s">
        <v>4326</v>
      </c>
      <c r="G3833" s="10" t="s">
        <v>23</v>
      </c>
      <c r="H3833" s="7" t="s">
        <v>24</v>
      </c>
      <c r="I3833" s="7" t="s">
        <v>25</v>
      </c>
      <c r="J3833" s="13" t="str">
        <f>HYPERLINK("https://www.airitibooks.com/Detail/Detail?PublicationID=P20160315238", "https://www.airitibooks.com/Detail/Detail?PublicationID=P20160315238")</f>
        <v>https://www.airitibooks.com/Detail/Detail?PublicationID=P20160315238</v>
      </c>
      <c r="K3833" s="13" t="str">
        <f>HYPERLINK("https://ntsu.idm.oclc.org/login?url=https://www.airitibooks.com/Detail/Detail?PublicationID=P20160315238", "https://ntsu.idm.oclc.org/login?url=https://www.airitibooks.com/Detail/Detail?PublicationID=P20160315238")</f>
        <v>https://ntsu.idm.oclc.org/login?url=https://www.airitibooks.com/Detail/Detail?PublicationID=P20160315238</v>
      </c>
    </row>
    <row r="3834" spans="1:11" ht="51" x14ac:dyDescent="0.4">
      <c r="A3834" s="10" t="s">
        <v>4347</v>
      </c>
      <c r="B3834" s="10" t="s">
        <v>4348</v>
      </c>
      <c r="C3834" s="10" t="s">
        <v>4324</v>
      </c>
      <c r="D3834" s="10" t="s">
        <v>4325</v>
      </c>
      <c r="E3834" s="10" t="s">
        <v>30</v>
      </c>
      <c r="F3834" s="10" t="s">
        <v>4326</v>
      </c>
      <c r="G3834" s="10" t="s">
        <v>23</v>
      </c>
      <c r="H3834" s="7" t="s">
        <v>24</v>
      </c>
      <c r="I3834" s="7" t="s">
        <v>25</v>
      </c>
      <c r="J3834" s="13" t="str">
        <f>HYPERLINK("https://www.airitibooks.com/Detail/Detail?PublicationID=P20160315240", "https://www.airitibooks.com/Detail/Detail?PublicationID=P20160315240")</f>
        <v>https://www.airitibooks.com/Detail/Detail?PublicationID=P20160315240</v>
      </c>
      <c r="K3834" s="13" t="str">
        <f>HYPERLINK("https://ntsu.idm.oclc.org/login?url=https://www.airitibooks.com/Detail/Detail?PublicationID=P20160315240", "https://ntsu.idm.oclc.org/login?url=https://www.airitibooks.com/Detail/Detail?PublicationID=P20160315240")</f>
        <v>https://ntsu.idm.oclc.org/login?url=https://www.airitibooks.com/Detail/Detail?PublicationID=P20160315240</v>
      </c>
    </row>
    <row r="3835" spans="1:11" ht="51" x14ac:dyDescent="0.4">
      <c r="A3835" s="10" t="s">
        <v>4349</v>
      </c>
      <c r="B3835" s="10" t="s">
        <v>4350</v>
      </c>
      <c r="C3835" s="10" t="s">
        <v>4324</v>
      </c>
      <c r="D3835" s="10" t="s">
        <v>4325</v>
      </c>
      <c r="E3835" s="10" t="s">
        <v>30</v>
      </c>
      <c r="F3835" s="10" t="s">
        <v>4326</v>
      </c>
      <c r="G3835" s="10" t="s">
        <v>23</v>
      </c>
      <c r="H3835" s="7" t="s">
        <v>24</v>
      </c>
      <c r="I3835" s="7" t="s">
        <v>25</v>
      </c>
      <c r="J3835" s="13" t="str">
        <f>HYPERLINK("https://www.airitibooks.com/Detail/Detail?PublicationID=P20160315241", "https://www.airitibooks.com/Detail/Detail?PublicationID=P20160315241")</f>
        <v>https://www.airitibooks.com/Detail/Detail?PublicationID=P20160315241</v>
      </c>
      <c r="K3835" s="13" t="str">
        <f>HYPERLINK("https://ntsu.idm.oclc.org/login?url=https://www.airitibooks.com/Detail/Detail?PublicationID=P20160315241", "https://ntsu.idm.oclc.org/login?url=https://www.airitibooks.com/Detail/Detail?PublicationID=P20160315241")</f>
        <v>https://ntsu.idm.oclc.org/login?url=https://www.airitibooks.com/Detail/Detail?PublicationID=P20160315241</v>
      </c>
    </row>
    <row r="3836" spans="1:11" ht="51" x14ac:dyDescent="0.4">
      <c r="A3836" s="10" t="s">
        <v>4351</v>
      </c>
      <c r="B3836" s="10" t="s">
        <v>4352</v>
      </c>
      <c r="C3836" s="10" t="s">
        <v>819</v>
      </c>
      <c r="D3836" s="10" t="s">
        <v>4353</v>
      </c>
      <c r="E3836" s="10" t="s">
        <v>30</v>
      </c>
      <c r="F3836" s="10" t="s">
        <v>793</v>
      </c>
      <c r="G3836" s="10" t="s">
        <v>23</v>
      </c>
      <c r="H3836" s="7" t="s">
        <v>24</v>
      </c>
      <c r="I3836" s="7" t="s">
        <v>25</v>
      </c>
      <c r="J3836" s="13" t="str">
        <f>HYPERLINK("https://www.airitibooks.com/Detail/Detail?PublicationID=P20160315246", "https://www.airitibooks.com/Detail/Detail?PublicationID=P20160315246")</f>
        <v>https://www.airitibooks.com/Detail/Detail?PublicationID=P20160315246</v>
      </c>
      <c r="K3836" s="13" t="str">
        <f>HYPERLINK("https://ntsu.idm.oclc.org/login?url=https://www.airitibooks.com/Detail/Detail?PublicationID=P20160315246", "https://ntsu.idm.oclc.org/login?url=https://www.airitibooks.com/Detail/Detail?PublicationID=P20160315246")</f>
        <v>https://ntsu.idm.oclc.org/login?url=https://www.airitibooks.com/Detail/Detail?PublicationID=P20160315246</v>
      </c>
    </row>
    <row r="3837" spans="1:11" ht="51" x14ac:dyDescent="0.4">
      <c r="A3837" s="10" t="s">
        <v>4361</v>
      </c>
      <c r="B3837" s="10" t="s">
        <v>4362</v>
      </c>
      <c r="C3837" s="10" t="s">
        <v>2558</v>
      </c>
      <c r="D3837" s="10" t="s">
        <v>4363</v>
      </c>
      <c r="E3837" s="10" t="s">
        <v>30</v>
      </c>
      <c r="F3837" s="10" t="s">
        <v>250</v>
      </c>
      <c r="G3837" s="10" t="s">
        <v>23</v>
      </c>
      <c r="H3837" s="7" t="s">
        <v>24</v>
      </c>
      <c r="I3837" s="7" t="s">
        <v>25</v>
      </c>
      <c r="J3837" s="13" t="str">
        <f>HYPERLINK("https://www.airitibooks.com/Detail/Detail?PublicationID=P20160315273", "https://www.airitibooks.com/Detail/Detail?PublicationID=P20160315273")</f>
        <v>https://www.airitibooks.com/Detail/Detail?PublicationID=P20160315273</v>
      </c>
      <c r="K3837" s="13" t="str">
        <f>HYPERLINK("https://ntsu.idm.oclc.org/login?url=https://www.airitibooks.com/Detail/Detail?PublicationID=P20160315273", "https://ntsu.idm.oclc.org/login?url=https://www.airitibooks.com/Detail/Detail?PublicationID=P20160315273")</f>
        <v>https://ntsu.idm.oclc.org/login?url=https://www.airitibooks.com/Detail/Detail?PublicationID=P20160315273</v>
      </c>
    </row>
    <row r="3838" spans="1:11" ht="51" x14ac:dyDescent="0.4">
      <c r="A3838" s="10" t="s">
        <v>4364</v>
      </c>
      <c r="B3838" s="10" t="s">
        <v>4365</v>
      </c>
      <c r="C3838" s="10" t="s">
        <v>2558</v>
      </c>
      <c r="D3838" s="10" t="s">
        <v>4363</v>
      </c>
      <c r="E3838" s="10" t="s">
        <v>30</v>
      </c>
      <c r="F3838" s="10" t="s">
        <v>250</v>
      </c>
      <c r="G3838" s="10" t="s">
        <v>23</v>
      </c>
      <c r="H3838" s="7" t="s">
        <v>24</v>
      </c>
      <c r="I3838" s="7" t="s">
        <v>25</v>
      </c>
      <c r="J3838" s="13" t="str">
        <f>HYPERLINK("https://www.airitibooks.com/Detail/Detail?PublicationID=P20160315274", "https://www.airitibooks.com/Detail/Detail?PublicationID=P20160315274")</f>
        <v>https://www.airitibooks.com/Detail/Detail?PublicationID=P20160315274</v>
      </c>
      <c r="K3838" s="13" t="str">
        <f>HYPERLINK("https://ntsu.idm.oclc.org/login?url=https://www.airitibooks.com/Detail/Detail?PublicationID=P20160315274", "https://ntsu.idm.oclc.org/login?url=https://www.airitibooks.com/Detail/Detail?PublicationID=P20160315274")</f>
        <v>https://ntsu.idm.oclc.org/login?url=https://www.airitibooks.com/Detail/Detail?PublicationID=P20160315274</v>
      </c>
    </row>
    <row r="3839" spans="1:11" ht="51" x14ac:dyDescent="0.4">
      <c r="A3839" s="10" t="s">
        <v>4377</v>
      </c>
      <c r="B3839" s="10" t="s">
        <v>4378</v>
      </c>
      <c r="C3839" s="10" t="s">
        <v>1986</v>
      </c>
      <c r="D3839" s="10" t="s">
        <v>3228</v>
      </c>
      <c r="E3839" s="10" t="s">
        <v>30</v>
      </c>
      <c r="F3839" s="10" t="s">
        <v>720</v>
      </c>
      <c r="G3839" s="10" t="s">
        <v>23</v>
      </c>
      <c r="H3839" s="7" t="s">
        <v>24</v>
      </c>
      <c r="I3839" s="7" t="s">
        <v>25</v>
      </c>
      <c r="J3839" s="13" t="str">
        <f>HYPERLINK("https://www.airitibooks.com/Detail/Detail?PublicationID=P20160319053", "https://www.airitibooks.com/Detail/Detail?PublicationID=P20160319053")</f>
        <v>https://www.airitibooks.com/Detail/Detail?PublicationID=P20160319053</v>
      </c>
      <c r="K3839" s="13" t="str">
        <f>HYPERLINK("https://ntsu.idm.oclc.org/login?url=https://www.airitibooks.com/Detail/Detail?PublicationID=P20160319053", "https://ntsu.idm.oclc.org/login?url=https://www.airitibooks.com/Detail/Detail?PublicationID=P20160319053")</f>
        <v>https://ntsu.idm.oclc.org/login?url=https://www.airitibooks.com/Detail/Detail?PublicationID=P20160319053</v>
      </c>
    </row>
    <row r="3840" spans="1:11" ht="51" x14ac:dyDescent="0.4">
      <c r="A3840" s="10" t="s">
        <v>4379</v>
      </c>
      <c r="B3840" s="10" t="s">
        <v>4380</v>
      </c>
      <c r="C3840" s="10" t="s">
        <v>1986</v>
      </c>
      <c r="D3840" s="10" t="s">
        <v>4381</v>
      </c>
      <c r="E3840" s="10" t="s">
        <v>30</v>
      </c>
      <c r="F3840" s="10" t="s">
        <v>720</v>
      </c>
      <c r="G3840" s="10" t="s">
        <v>23</v>
      </c>
      <c r="H3840" s="7" t="s">
        <v>24</v>
      </c>
      <c r="I3840" s="7" t="s">
        <v>25</v>
      </c>
      <c r="J3840" s="13" t="str">
        <f>HYPERLINK("https://www.airitibooks.com/Detail/Detail?PublicationID=P20160319054", "https://www.airitibooks.com/Detail/Detail?PublicationID=P20160319054")</f>
        <v>https://www.airitibooks.com/Detail/Detail?PublicationID=P20160319054</v>
      </c>
      <c r="K3840" s="13" t="str">
        <f>HYPERLINK("https://ntsu.idm.oclc.org/login?url=https://www.airitibooks.com/Detail/Detail?PublicationID=P20160319054", "https://ntsu.idm.oclc.org/login?url=https://www.airitibooks.com/Detail/Detail?PublicationID=P20160319054")</f>
        <v>https://ntsu.idm.oclc.org/login?url=https://www.airitibooks.com/Detail/Detail?PublicationID=P20160319054</v>
      </c>
    </row>
    <row r="3841" spans="1:11" ht="85" x14ac:dyDescent="0.4">
      <c r="A3841" s="10" t="s">
        <v>4382</v>
      </c>
      <c r="B3841" s="10" t="s">
        <v>4383</v>
      </c>
      <c r="C3841" s="10" t="s">
        <v>1986</v>
      </c>
      <c r="D3841" s="10" t="s">
        <v>4384</v>
      </c>
      <c r="E3841" s="10" t="s">
        <v>30</v>
      </c>
      <c r="F3841" s="10" t="s">
        <v>4385</v>
      </c>
      <c r="G3841" s="10" t="s">
        <v>23</v>
      </c>
      <c r="H3841" s="7" t="s">
        <v>24</v>
      </c>
      <c r="I3841" s="7" t="s">
        <v>25</v>
      </c>
      <c r="J3841" s="13" t="str">
        <f>HYPERLINK("https://www.airitibooks.com/Detail/Detail?PublicationID=P20160319055", "https://www.airitibooks.com/Detail/Detail?PublicationID=P20160319055")</f>
        <v>https://www.airitibooks.com/Detail/Detail?PublicationID=P20160319055</v>
      </c>
      <c r="K3841" s="13" t="str">
        <f>HYPERLINK("https://ntsu.idm.oclc.org/login?url=https://www.airitibooks.com/Detail/Detail?PublicationID=P20160319055", "https://ntsu.idm.oclc.org/login?url=https://www.airitibooks.com/Detail/Detail?PublicationID=P20160319055")</f>
        <v>https://ntsu.idm.oclc.org/login?url=https://www.airitibooks.com/Detail/Detail?PublicationID=P20160319055</v>
      </c>
    </row>
    <row r="3842" spans="1:11" ht="51" x14ac:dyDescent="0.4">
      <c r="A3842" s="10" t="s">
        <v>4386</v>
      </c>
      <c r="B3842" s="10" t="s">
        <v>4387</v>
      </c>
      <c r="C3842" s="10" t="s">
        <v>1986</v>
      </c>
      <c r="D3842" s="10" t="s">
        <v>4388</v>
      </c>
      <c r="E3842" s="10" t="s">
        <v>30</v>
      </c>
      <c r="F3842" s="10" t="s">
        <v>720</v>
      </c>
      <c r="G3842" s="10" t="s">
        <v>23</v>
      </c>
      <c r="H3842" s="7" t="s">
        <v>24</v>
      </c>
      <c r="I3842" s="7" t="s">
        <v>25</v>
      </c>
      <c r="J3842" s="13" t="str">
        <f>HYPERLINK("https://www.airitibooks.com/Detail/Detail?PublicationID=P20160319056", "https://www.airitibooks.com/Detail/Detail?PublicationID=P20160319056")</f>
        <v>https://www.airitibooks.com/Detail/Detail?PublicationID=P20160319056</v>
      </c>
      <c r="K3842" s="13" t="str">
        <f>HYPERLINK("https://ntsu.idm.oclc.org/login?url=https://www.airitibooks.com/Detail/Detail?PublicationID=P20160319056", "https://ntsu.idm.oclc.org/login?url=https://www.airitibooks.com/Detail/Detail?PublicationID=P20160319056")</f>
        <v>https://ntsu.idm.oclc.org/login?url=https://www.airitibooks.com/Detail/Detail?PublicationID=P20160319056</v>
      </c>
    </row>
    <row r="3843" spans="1:11" ht="51" x14ac:dyDescent="0.4">
      <c r="A3843" s="10" t="s">
        <v>4389</v>
      </c>
      <c r="B3843" s="10" t="s">
        <v>4390</v>
      </c>
      <c r="C3843" s="10" t="s">
        <v>1986</v>
      </c>
      <c r="D3843" s="10" t="s">
        <v>4391</v>
      </c>
      <c r="E3843" s="10" t="s">
        <v>30</v>
      </c>
      <c r="F3843" s="10" t="s">
        <v>214</v>
      </c>
      <c r="G3843" s="10" t="s">
        <v>23</v>
      </c>
      <c r="H3843" s="7" t="s">
        <v>24</v>
      </c>
      <c r="I3843" s="7" t="s">
        <v>25</v>
      </c>
      <c r="J3843" s="13" t="str">
        <f>HYPERLINK("https://www.airitibooks.com/Detail/Detail?PublicationID=P20160319057", "https://www.airitibooks.com/Detail/Detail?PublicationID=P20160319057")</f>
        <v>https://www.airitibooks.com/Detail/Detail?PublicationID=P20160319057</v>
      </c>
      <c r="K3843" s="13" t="str">
        <f>HYPERLINK("https://ntsu.idm.oclc.org/login?url=https://www.airitibooks.com/Detail/Detail?PublicationID=P20160319057", "https://ntsu.idm.oclc.org/login?url=https://www.airitibooks.com/Detail/Detail?PublicationID=P20160319057")</f>
        <v>https://ntsu.idm.oclc.org/login?url=https://www.airitibooks.com/Detail/Detail?PublicationID=P20160319057</v>
      </c>
    </row>
    <row r="3844" spans="1:11" ht="51" x14ac:dyDescent="0.4">
      <c r="A3844" s="10" t="s">
        <v>4392</v>
      </c>
      <c r="B3844" s="10" t="s">
        <v>4393</v>
      </c>
      <c r="C3844" s="10" t="s">
        <v>1986</v>
      </c>
      <c r="D3844" s="10" t="s">
        <v>4394</v>
      </c>
      <c r="E3844" s="10" t="s">
        <v>30</v>
      </c>
      <c r="F3844" s="10" t="s">
        <v>720</v>
      </c>
      <c r="G3844" s="10" t="s">
        <v>23</v>
      </c>
      <c r="H3844" s="7" t="s">
        <v>24</v>
      </c>
      <c r="I3844" s="7" t="s">
        <v>25</v>
      </c>
      <c r="J3844" s="13" t="str">
        <f>HYPERLINK("https://www.airitibooks.com/Detail/Detail?PublicationID=P20160319058", "https://www.airitibooks.com/Detail/Detail?PublicationID=P20160319058")</f>
        <v>https://www.airitibooks.com/Detail/Detail?PublicationID=P20160319058</v>
      </c>
      <c r="K3844" s="13" t="str">
        <f>HYPERLINK("https://ntsu.idm.oclc.org/login?url=https://www.airitibooks.com/Detail/Detail?PublicationID=P20160319058", "https://ntsu.idm.oclc.org/login?url=https://www.airitibooks.com/Detail/Detail?PublicationID=P20160319058")</f>
        <v>https://ntsu.idm.oclc.org/login?url=https://www.airitibooks.com/Detail/Detail?PublicationID=P20160319058</v>
      </c>
    </row>
    <row r="3845" spans="1:11" ht="51" x14ac:dyDescent="0.4">
      <c r="A3845" s="10" t="s">
        <v>4395</v>
      </c>
      <c r="B3845" s="10" t="s">
        <v>4396</v>
      </c>
      <c r="C3845" s="10" t="s">
        <v>1986</v>
      </c>
      <c r="D3845" s="10" t="s">
        <v>4397</v>
      </c>
      <c r="E3845" s="10" t="s">
        <v>30</v>
      </c>
      <c r="F3845" s="10" t="s">
        <v>394</v>
      </c>
      <c r="G3845" s="10" t="s">
        <v>23</v>
      </c>
      <c r="H3845" s="7" t="s">
        <v>24</v>
      </c>
      <c r="I3845" s="7" t="s">
        <v>25</v>
      </c>
      <c r="J3845" s="13" t="str">
        <f>HYPERLINK("https://www.airitibooks.com/Detail/Detail?PublicationID=P20160319059", "https://www.airitibooks.com/Detail/Detail?PublicationID=P20160319059")</f>
        <v>https://www.airitibooks.com/Detail/Detail?PublicationID=P20160319059</v>
      </c>
      <c r="K3845" s="13" t="str">
        <f>HYPERLINK("https://ntsu.idm.oclc.org/login?url=https://www.airitibooks.com/Detail/Detail?PublicationID=P20160319059", "https://ntsu.idm.oclc.org/login?url=https://www.airitibooks.com/Detail/Detail?PublicationID=P20160319059")</f>
        <v>https://ntsu.idm.oclc.org/login?url=https://www.airitibooks.com/Detail/Detail?PublicationID=P20160319059</v>
      </c>
    </row>
    <row r="3846" spans="1:11" ht="51" x14ac:dyDescent="0.4">
      <c r="A3846" s="10" t="s">
        <v>4398</v>
      </c>
      <c r="B3846" s="10" t="s">
        <v>4399</v>
      </c>
      <c r="C3846" s="10" t="s">
        <v>1986</v>
      </c>
      <c r="D3846" s="10" t="s">
        <v>4400</v>
      </c>
      <c r="E3846" s="10" t="s">
        <v>30</v>
      </c>
      <c r="F3846" s="10" t="s">
        <v>214</v>
      </c>
      <c r="G3846" s="10" t="s">
        <v>23</v>
      </c>
      <c r="H3846" s="7" t="s">
        <v>24</v>
      </c>
      <c r="I3846" s="7" t="s">
        <v>25</v>
      </c>
      <c r="J3846" s="13" t="str">
        <f>HYPERLINK("https://www.airitibooks.com/Detail/Detail?PublicationID=P20160319060", "https://www.airitibooks.com/Detail/Detail?PublicationID=P20160319060")</f>
        <v>https://www.airitibooks.com/Detail/Detail?PublicationID=P20160319060</v>
      </c>
      <c r="K3846" s="13" t="str">
        <f>HYPERLINK("https://ntsu.idm.oclc.org/login?url=https://www.airitibooks.com/Detail/Detail?PublicationID=P20160319060", "https://ntsu.idm.oclc.org/login?url=https://www.airitibooks.com/Detail/Detail?PublicationID=P20160319060")</f>
        <v>https://ntsu.idm.oclc.org/login?url=https://www.airitibooks.com/Detail/Detail?PublicationID=P20160319060</v>
      </c>
    </row>
    <row r="3847" spans="1:11" ht="51" x14ac:dyDescent="0.4">
      <c r="A3847" s="10" t="s">
        <v>4401</v>
      </c>
      <c r="B3847" s="10" t="s">
        <v>4402</v>
      </c>
      <c r="C3847" s="10" t="s">
        <v>1986</v>
      </c>
      <c r="D3847" s="10" t="s">
        <v>4403</v>
      </c>
      <c r="E3847" s="10" t="s">
        <v>30</v>
      </c>
      <c r="F3847" s="10" t="s">
        <v>394</v>
      </c>
      <c r="G3847" s="10" t="s">
        <v>23</v>
      </c>
      <c r="H3847" s="7" t="s">
        <v>24</v>
      </c>
      <c r="I3847" s="7" t="s">
        <v>25</v>
      </c>
      <c r="J3847" s="13" t="str">
        <f>HYPERLINK("https://www.airitibooks.com/Detail/Detail?PublicationID=P20160319061", "https://www.airitibooks.com/Detail/Detail?PublicationID=P20160319061")</f>
        <v>https://www.airitibooks.com/Detail/Detail?PublicationID=P20160319061</v>
      </c>
      <c r="K3847" s="13" t="str">
        <f>HYPERLINK("https://ntsu.idm.oclc.org/login?url=https://www.airitibooks.com/Detail/Detail?PublicationID=P20160319061", "https://ntsu.idm.oclc.org/login?url=https://www.airitibooks.com/Detail/Detail?PublicationID=P20160319061")</f>
        <v>https://ntsu.idm.oclc.org/login?url=https://www.airitibooks.com/Detail/Detail?PublicationID=P20160319061</v>
      </c>
    </row>
    <row r="3848" spans="1:11" ht="51" x14ac:dyDescent="0.4">
      <c r="A3848" s="10" t="s">
        <v>4421</v>
      </c>
      <c r="B3848" s="10" t="s">
        <v>4422</v>
      </c>
      <c r="C3848" s="10" t="s">
        <v>544</v>
      </c>
      <c r="D3848" s="10" t="s">
        <v>4423</v>
      </c>
      <c r="E3848" s="10" t="s">
        <v>30</v>
      </c>
      <c r="F3848" s="10" t="s">
        <v>4425</v>
      </c>
      <c r="G3848" s="10" t="s">
        <v>23</v>
      </c>
      <c r="H3848" s="7" t="s">
        <v>24</v>
      </c>
      <c r="I3848" s="7" t="s">
        <v>25</v>
      </c>
      <c r="J3848" s="13" t="str">
        <f>HYPERLINK("https://www.airitibooks.com/Detail/Detail?PublicationID=P20160319116", "https://www.airitibooks.com/Detail/Detail?PublicationID=P20160319116")</f>
        <v>https://www.airitibooks.com/Detail/Detail?PublicationID=P20160319116</v>
      </c>
      <c r="K3848" s="13" t="str">
        <f>HYPERLINK("https://ntsu.idm.oclc.org/login?url=https://www.airitibooks.com/Detail/Detail?PublicationID=P20160319116", "https://ntsu.idm.oclc.org/login?url=https://www.airitibooks.com/Detail/Detail?PublicationID=P20160319116")</f>
        <v>https://ntsu.idm.oclc.org/login?url=https://www.airitibooks.com/Detail/Detail?PublicationID=P20160319116</v>
      </c>
    </row>
    <row r="3849" spans="1:11" ht="51" x14ac:dyDescent="0.4">
      <c r="A3849" s="10" t="s">
        <v>4426</v>
      </c>
      <c r="B3849" s="10" t="s">
        <v>4427</v>
      </c>
      <c r="C3849" s="10" t="s">
        <v>544</v>
      </c>
      <c r="D3849" s="10" t="s">
        <v>4428</v>
      </c>
      <c r="E3849" s="10" t="s">
        <v>30</v>
      </c>
      <c r="F3849" s="10" t="s">
        <v>4429</v>
      </c>
      <c r="G3849" s="10" t="s">
        <v>23</v>
      </c>
      <c r="H3849" s="7" t="s">
        <v>24</v>
      </c>
      <c r="I3849" s="7" t="s">
        <v>25</v>
      </c>
      <c r="J3849" s="13" t="str">
        <f>HYPERLINK("https://www.airitibooks.com/Detail/Detail?PublicationID=P20160319120", "https://www.airitibooks.com/Detail/Detail?PublicationID=P20160319120")</f>
        <v>https://www.airitibooks.com/Detail/Detail?PublicationID=P20160319120</v>
      </c>
      <c r="K3849" s="13" t="str">
        <f>HYPERLINK("https://ntsu.idm.oclc.org/login?url=https://www.airitibooks.com/Detail/Detail?PublicationID=P20160319120", "https://ntsu.idm.oclc.org/login?url=https://www.airitibooks.com/Detail/Detail?PublicationID=P20160319120")</f>
        <v>https://ntsu.idm.oclc.org/login?url=https://www.airitibooks.com/Detail/Detail?PublicationID=P20160319120</v>
      </c>
    </row>
    <row r="3850" spans="1:11" ht="51" x14ac:dyDescent="0.4">
      <c r="A3850" s="10" t="s">
        <v>4430</v>
      </c>
      <c r="B3850" s="10" t="s">
        <v>4431</v>
      </c>
      <c r="C3850" s="10" t="s">
        <v>544</v>
      </c>
      <c r="D3850" s="10" t="s">
        <v>4432</v>
      </c>
      <c r="E3850" s="10" t="s">
        <v>30</v>
      </c>
      <c r="F3850" s="10" t="s">
        <v>4433</v>
      </c>
      <c r="G3850" s="10" t="s">
        <v>23</v>
      </c>
      <c r="H3850" s="7" t="s">
        <v>24</v>
      </c>
      <c r="I3850" s="7" t="s">
        <v>25</v>
      </c>
      <c r="J3850" s="13" t="str">
        <f>HYPERLINK("https://www.airitibooks.com/Detail/Detail?PublicationID=P20160319121", "https://www.airitibooks.com/Detail/Detail?PublicationID=P20160319121")</f>
        <v>https://www.airitibooks.com/Detail/Detail?PublicationID=P20160319121</v>
      </c>
      <c r="K3850" s="13" t="str">
        <f>HYPERLINK("https://ntsu.idm.oclc.org/login?url=https://www.airitibooks.com/Detail/Detail?PublicationID=P20160319121", "https://ntsu.idm.oclc.org/login?url=https://www.airitibooks.com/Detail/Detail?PublicationID=P20160319121")</f>
        <v>https://ntsu.idm.oclc.org/login?url=https://www.airitibooks.com/Detail/Detail?PublicationID=P20160319121</v>
      </c>
    </row>
    <row r="3851" spans="1:11" ht="51" x14ac:dyDescent="0.4">
      <c r="A3851" s="10" t="s">
        <v>4434</v>
      </c>
      <c r="B3851" s="10" t="s">
        <v>4435</v>
      </c>
      <c r="C3851" s="10" t="s">
        <v>544</v>
      </c>
      <c r="D3851" s="10" t="s">
        <v>4436</v>
      </c>
      <c r="E3851" s="10" t="s">
        <v>30</v>
      </c>
      <c r="F3851" s="10" t="s">
        <v>4437</v>
      </c>
      <c r="G3851" s="10" t="s">
        <v>23</v>
      </c>
      <c r="H3851" s="7" t="s">
        <v>24</v>
      </c>
      <c r="I3851" s="7" t="s">
        <v>25</v>
      </c>
      <c r="J3851" s="13" t="str">
        <f>HYPERLINK("https://www.airitibooks.com/Detail/Detail?PublicationID=P20160319122", "https://www.airitibooks.com/Detail/Detail?PublicationID=P20160319122")</f>
        <v>https://www.airitibooks.com/Detail/Detail?PublicationID=P20160319122</v>
      </c>
      <c r="K3851" s="13" t="str">
        <f>HYPERLINK("https://ntsu.idm.oclc.org/login?url=https://www.airitibooks.com/Detail/Detail?PublicationID=P20160319122", "https://ntsu.idm.oclc.org/login?url=https://www.airitibooks.com/Detail/Detail?PublicationID=P20160319122")</f>
        <v>https://ntsu.idm.oclc.org/login?url=https://www.airitibooks.com/Detail/Detail?PublicationID=P20160319122</v>
      </c>
    </row>
    <row r="3852" spans="1:11" ht="51" x14ac:dyDescent="0.4">
      <c r="A3852" s="10" t="s">
        <v>4438</v>
      </c>
      <c r="B3852" s="10" t="s">
        <v>4439</v>
      </c>
      <c r="C3852" s="10" t="s">
        <v>819</v>
      </c>
      <c r="D3852" s="10" t="s">
        <v>4440</v>
      </c>
      <c r="E3852" s="10" t="s">
        <v>30</v>
      </c>
      <c r="F3852" s="10" t="s">
        <v>4441</v>
      </c>
      <c r="G3852" s="10" t="s">
        <v>23</v>
      </c>
      <c r="H3852" s="7" t="s">
        <v>24</v>
      </c>
      <c r="I3852" s="7" t="s">
        <v>25</v>
      </c>
      <c r="J3852" s="13" t="str">
        <f>HYPERLINK("https://www.airitibooks.com/Detail/Detail?PublicationID=P20160319126", "https://www.airitibooks.com/Detail/Detail?PublicationID=P20160319126")</f>
        <v>https://www.airitibooks.com/Detail/Detail?PublicationID=P20160319126</v>
      </c>
      <c r="K3852" s="13" t="str">
        <f>HYPERLINK("https://ntsu.idm.oclc.org/login?url=https://www.airitibooks.com/Detail/Detail?PublicationID=P20160319126", "https://ntsu.idm.oclc.org/login?url=https://www.airitibooks.com/Detail/Detail?PublicationID=P20160319126")</f>
        <v>https://ntsu.idm.oclc.org/login?url=https://www.airitibooks.com/Detail/Detail?PublicationID=P20160319126</v>
      </c>
    </row>
    <row r="3853" spans="1:11" ht="51" x14ac:dyDescent="0.4">
      <c r="A3853" s="10" t="s">
        <v>4442</v>
      </c>
      <c r="B3853" s="10" t="s">
        <v>4443</v>
      </c>
      <c r="C3853" s="10" t="s">
        <v>791</v>
      </c>
      <c r="D3853" s="10" t="s">
        <v>2451</v>
      </c>
      <c r="E3853" s="10" t="s">
        <v>30</v>
      </c>
      <c r="F3853" s="10" t="s">
        <v>696</v>
      </c>
      <c r="G3853" s="10" t="s">
        <v>23</v>
      </c>
      <c r="H3853" s="7" t="s">
        <v>24</v>
      </c>
      <c r="I3853" s="7" t="s">
        <v>25</v>
      </c>
      <c r="J3853" s="13" t="str">
        <f>HYPERLINK("https://www.airitibooks.com/Detail/Detail?PublicationID=P20160319130", "https://www.airitibooks.com/Detail/Detail?PublicationID=P20160319130")</f>
        <v>https://www.airitibooks.com/Detail/Detail?PublicationID=P20160319130</v>
      </c>
      <c r="K3853" s="13" t="str">
        <f>HYPERLINK("https://ntsu.idm.oclc.org/login?url=https://www.airitibooks.com/Detail/Detail?PublicationID=P20160319130", "https://ntsu.idm.oclc.org/login?url=https://www.airitibooks.com/Detail/Detail?PublicationID=P20160319130")</f>
        <v>https://ntsu.idm.oclc.org/login?url=https://www.airitibooks.com/Detail/Detail?PublicationID=P20160319130</v>
      </c>
    </row>
    <row r="3854" spans="1:11" ht="51" x14ac:dyDescent="0.4">
      <c r="A3854" s="10" t="s">
        <v>4446</v>
      </c>
      <c r="B3854" s="10" t="s">
        <v>4447</v>
      </c>
      <c r="C3854" s="10" t="s">
        <v>1667</v>
      </c>
      <c r="D3854" s="10" t="s">
        <v>4448</v>
      </c>
      <c r="E3854" s="10" t="s">
        <v>30</v>
      </c>
      <c r="F3854" s="10" t="s">
        <v>2737</v>
      </c>
      <c r="G3854" s="10" t="s">
        <v>23</v>
      </c>
      <c r="H3854" s="7" t="s">
        <v>24</v>
      </c>
      <c r="I3854" s="7" t="s">
        <v>25</v>
      </c>
      <c r="J3854" s="13" t="str">
        <f>HYPERLINK("https://www.airitibooks.com/Detail/Detail?PublicationID=P20160413001", "https://www.airitibooks.com/Detail/Detail?PublicationID=P20160413001")</f>
        <v>https://www.airitibooks.com/Detail/Detail?PublicationID=P20160413001</v>
      </c>
      <c r="K3854" s="13" t="str">
        <f>HYPERLINK("https://ntsu.idm.oclc.org/login?url=https://www.airitibooks.com/Detail/Detail?PublicationID=P20160413001", "https://ntsu.idm.oclc.org/login?url=https://www.airitibooks.com/Detail/Detail?PublicationID=P20160413001")</f>
        <v>https://ntsu.idm.oclc.org/login?url=https://www.airitibooks.com/Detail/Detail?PublicationID=P20160413001</v>
      </c>
    </row>
    <row r="3855" spans="1:11" ht="51" x14ac:dyDescent="0.4">
      <c r="A3855" s="10" t="s">
        <v>4449</v>
      </c>
      <c r="B3855" s="10" t="s">
        <v>4450</v>
      </c>
      <c r="C3855" s="10" t="s">
        <v>1262</v>
      </c>
      <c r="D3855" s="10" t="s">
        <v>4451</v>
      </c>
      <c r="E3855" s="10" t="s">
        <v>30</v>
      </c>
      <c r="F3855" s="10" t="s">
        <v>4041</v>
      </c>
      <c r="G3855" s="10" t="s">
        <v>23</v>
      </c>
      <c r="H3855" s="7" t="s">
        <v>24</v>
      </c>
      <c r="I3855" s="7" t="s">
        <v>25</v>
      </c>
      <c r="J3855" s="13" t="str">
        <f>HYPERLINK("https://www.airitibooks.com/Detail/Detail?PublicationID=P20160413003", "https://www.airitibooks.com/Detail/Detail?PublicationID=P20160413003")</f>
        <v>https://www.airitibooks.com/Detail/Detail?PublicationID=P20160413003</v>
      </c>
      <c r="K3855" s="13" t="str">
        <f>HYPERLINK("https://ntsu.idm.oclc.org/login?url=https://www.airitibooks.com/Detail/Detail?PublicationID=P20160413003", "https://ntsu.idm.oclc.org/login?url=https://www.airitibooks.com/Detail/Detail?PublicationID=P20160413003")</f>
        <v>https://ntsu.idm.oclc.org/login?url=https://www.airitibooks.com/Detail/Detail?PublicationID=P20160413003</v>
      </c>
    </row>
    <row r="3856" spans="1:11" ht="51" x14ac:dyDescent="0.4">
      <c r="A3856" s="10" t="s">
        <v>4485</v>
      </c>
      <c r="B3856" s="10" t="s">
        <v>4486</v>
      </c>
      <c r="C3856" s="10" t="s">
        <v>544</v>
      </c>
      <c r="D3856" s="10" t="s">
        <v>4487</v>
      </c>
      <c r="E3856" s="10" t="s">
        <v>30</v>
      </c>
      <c r="F3856" s="10" t="s">
        <v>4488</v>
      </c>
      <c r="G3856" s="10" t="s">
        <v>23</v>
      </c>
      <c r="H3856" s="7" t="s">
        <v>24</v>
      </c>
      <c r="I3856" s="7" t="s">
        <v>25</v>
      </c>
      <c r="J3856" s="13" t="str">
        <f>HYPERLINK("https://www.airitibooks.com/Detail/Detail?PublicationID=P20160421101", "https://www.airitibooks.com/Detail/Detail?PublicationID=P20160421101")</f>
        <v>https://www.airitibooks.com/Detail/Detail?PublicationID=P20160421101</v>
      </c>
      <c r="K3856" s="13" t="str">
        <f>HYPERLINK("https://ntsu.idm.oclc.org/login?url=https://www.airitibooks.com/Detail/Detail?PublicationID=P20160421101", "https://ntsu.idm.oclc.org/login?url=https://www.airitibooks.com/Detail/Detail?PublicationID=P20160421101")</f>
        <v>https://ntsu.idm.oclc.org/login?url=https://www.airitibooks.com/Detail/Detail?PublicationID=P20160421101</v>
      </c>
    </row>
    <row r="3857" spans="1:11" ht="51" x14ac:dyDescent="0.4">
      <c r="A3857" s="10" t="s">
        <v>4647</v>
      </c>
      <c r="B3857" s="10" t="s">
        <v>4648</v>
      </c>
      <c r="C3857" s="10" t="s">
        <v>1986</v>
      </c>
      <c r="D3857" s="10" t="s">
        <v>4649</v>
      </c>
      <c r="E3857" s="10" t="s">
        <v>30</v>
      </c>
      <c r="F3857" s="10" t="s">
        <v>214</v>
      </c>
      <c r="G3857" s="10" t="s">
        <v>23</v>
      </c>
      <c r="H3857" s="7" t="s">
        <v>24</v>
      </c>
      <c r="I3857" s="7" t="s">
        <v>25</v>
      </c>
      <c r="J3857" s="13" t="str">
        <f>HYPERLINK("https://www.airitibooks.com/Detail/Detail?PublicationID=P20160601067", "https://www.airitibooks.com/Detail/Detail?PublicationID=P20160601067")</f>
        <v>https://www.airitibooks.com/Detail/Detail?PublicationID=P20160601067</v>
      </c>
      <c r="K3857" s="13" t="str">
        <f>HYPERLINK("https://ntsu.idm.oclc.org/login?url=https://www.airitibooks.com/Detail/Detail?PublicationID=P20160601067", "https://ntsu.idm.oclc.org/login?url=https://www.airitibooks.com/Detail/Detail?PublicationID=P20160601067")</f>
        <v>https://ntsu.idm.oclc.org/login?url=https://www.airitibooks.com/Detail/Detail?PublicationID=P20160601067</v>
      </c>
    </row>
    <row r="3858" spans="1:11" ht="85" x14ac:dyDescent="0.4">
      <c r="A3858" s="10" t="s">
        <v>4650</v>
      </c>
      <c r="B3858" s="10" t="s">
        <v>4651</v>
      </c>
      <c r="C3858" s="10" t="s">
        <v>1986</v>
      </c>
      <c r="D3858" s="10" t="s">
        <v>4652</v>
      </c>
      <c r="E3858" s="10" t="s">
        <v>30</v>
      </c>
      <c r="F3858" s="10" t="s">
        <v>4653</v>
      </c>
      <c r="G3858" s="10" t="s">
        <v>23</v>
      </c>
      <c r="H3858" s="7" t="s">
        <v>24</v>
      </c>
      <c r="I3858" s="7" t="s">
        <v>25</v>
      </c>
      <c r="J3858" s="13" t="str">
        <f>HYPERLINK("https://www.airitibooks.com/Detail/Detail?PublicationID=P20160601068", "https://www.airitibooks.com/Detail/Detail?PublicationID=P20160601068")</f>
        <v>https://www.airitibooks.com/Detail/Detail?PublicationID=P20160601068</v>
      </c>
      <c r="K3858" s="13" t="str">
        <f>HYPERLINK("https://ntsu.idm.oclc.org/login?url=https://www.airitibooks.com/Detail/Detail?PublicationID=P20160601068", "https://ntsu.idm.oclc.org/login?url=https://www.airitibooks.com/Detail/Detail?PublicationID=P20160601068")</f>
        <v>https://ntsu.idm.oclc.org/login?url=https://www.airitibooks.com/Detail/Detail?PublicationID=P20160601068</v>
      </c>
    </row>
    <row r="3859" spans="1:11" ht="51" x14ac:dyDescent="0.4">
      <c r="A3859" s="10" t="s">
        <v>4656</v>
      </c>
      <c r="B3859" s="10" t="s">
        <v>4657</v>
      </c>
      <c r="C3859" s="10" t="s">
        <v>1986</v>
      </c>
      <c r="D3859" s="10" t="s">
        <v>4658</v>
      </c>
      <c r="E3859" s="10" t="s">
        <v>30</v>
      </c>
      <c r="F3859" s="10" t="s">
        <v>214</v>
      </c>
      <c r="G3859" s="10" t="s">
        <v>23</v>
      </c>
      <c r="H3859" s="7" t="s">
        <v>24</v>
      </c>
      <c r="I3859" s="7" t="s">
        <v>25</v>
      </c>
      <c r="J3859" s="13" t="str">
        <f>HYPERLINK("https://www.airitibooks.com/Detail/Detail?PublicationID=P20160601070", "https://www.airitibooks.com/Detail/Detail?PublicationID=P20160601070")</f>
        <v>https://www.airitibooks.com/Detail/Detail?PublicationID=P20160601070</v>
      </c>
      <c r="K3859" s="13" t="str">
        <f>HYPERLINK("https://ntsu.idm.oclc.org/login?url=https://www.airitibooks.com/Detail/Detail?PublicationID=P20160601070", "https://ntsu.idm.oclc.org/login?url=https://www.airitibooks.com/Detail/Detail?PublicationID=P20160601070")</f>
        <v>https://ntsu.idm.oclc.org/login?url=https://www.airitibooks.com/Detail/Detail?PublicationID=P20160601070</v>
      </c>
    </row>
    <row r="3860" spans="1:11" ht="51" x14ac:dyDescent="0.4">
      <c r="A3860" s="10" t="s">
        <v>4681</v>
      </c>
      <c r="B3860" s="10" t="s">
        <v>4682</v>
      </c>
      <c r="C3860" s="10" t="s">
        <v>2515</v>
      </c>
      <c r="D3860" s="10" t="s">
        <v>4683</v>
      </c>
      <c r="E3860" s="10" t="s">
        <v>30</v>
      </c>
      <c r="F3860" s="10" t="s">
        <v>762</v>
      </c>
      <c r="G3860" s="10" t="s">
        <v>23</v>
      </c>
      <c r="H3860" s="7" t="s">
        <v>24</v>
      </c>
      <c r="I3860" s="7" t="s">
        <v>25</v>
      </c>
      <c r="J3860" s="13" t="str">
        <f>HYPERLINK("https://www.airitibooks.com/Detail/Detail?PublicationID=P20160603013", "https://www.airitibooks.com/Detail/Detail?PublicationID=P20160603013")</f>
        <v>https://www.airitibooks.com/Detail/Detail?PublicationID=P20160603013</v>
      </c>
      <c r="K3860" s="13" t="str">
        <f>HYPERLINK("https://ntsu.idm.oclc.org/login?url=https://www.airitibooks.com/Detail/Detail?PublicationID=P20160603013", "https://ntsu.idm.oclc.org/login?url=https://www.airitibooks.com/Detail/Detail?PublicationID=P20160603013")</f>
        <v>https://ntsu.idm.oclc.org/login?url=https://www.airitibooks.com/Detail/Detail?PublicationID=P20160603013</v>
      </c>
    </row>
    <row r="3861" spans="1:11" ht="51" x14ac:dyDescent="0.4">
      <c r="A3861" s="10" t="s">
        <v>4684</v>
      </c>
      <c r="B3861" s="10" t="s">
        <v>4685</v>
      </c>
      <c r="C3861" s="10" t="s">
        <v>2515</v>
      </c>
      <c r="D3861" s="10" t="s">
        <v>4686</v>
      </c>
      <c r="E3861" s="10" t="s">
        <v>30</v>
      </c>
      <c r="F3861" s="10" t="s">
        <v>4687</v>
      </c>
      <c r="G3861" s="10" t="s">
        <v>23</v>
      </c>
      <c r="H3861" s="7" t="s">
        <v>24</v>
      </c>
      <c r="I3861" s="7" t="s">
        <v>25</v>
      </c>
      <c r="J3861" s="13" t="str">
        <f>HYPERLINK("https://www.airitibooks.com/Detail/Detail?PublicationID=P20160603014", "https://www.airitibooks.com/Detail/Detail?PublicationID=P20160603014")</f>
        <v>https://www.airitibooks.com/Detail/Detail?PublicationID=P20160603014</v>
      </c>
      <c r="K3861" s="13" t="str">
        <f>HYPERLINK("https://ntsu.idm.oclc.org/login?url=https://www.airitibooks.com/Detail/Detail?PublicationID=P20160603014", "https://ntsu.idm.oclc.org/login?url=https://www.airitibooks.com/Detail/Detail?PublicationID=P20160603014")</f>
        <v>https://ntsu.idm.oclc.org/login?url=https://www.airitibooks.com/Detail/Detail?PublicationID=P20160603014</v>
      </c>
    </row>
    <row r="3862" spans="1:11" ht="51" x14ac:dyDescent="0.4">
      <c r="A3862" s="10" t="s">
        <v>4692</v>
      </c>
      <c r="B3862" s="10" t="s">
        <v>4693</v>
      </c>
      <c r="C3862" s="10" t="s">
        <v>2515</v>
      </c>
      <c r="D3862" s="10" t="s">
        <v>4694</v>
      </c>
      <c r="E3862" s="10" t="s">
        <v>30</v>
      </c>
      <c r="F3862" s="10" t="s">
        <v>4695</v>
      </c>
      <c r="G3862" s="10" t="s">
        <v>23</v>
      </c>
      <c r="H3862" s="7" t="s">
        <v>24</v>
      </c>
      <c r="I3862" s="7" t="s">
        <v>25</v>
      </c>
      <c r="J3862" s="13" t="str">
        <f>HYPERLINK("https://www.airitibooks.com/Detail/Detail?PublicationID=P20160603016", "https://www.airitibooks.com/Detail/Detail?PublicationID=P20160603016")</f>
        <v>https://www.airitibooks.com/Detail/Detail?PublicationID=P20160603016</v>
      </c>
      <c r="K3862" s="13" t="str">
        <f>HYPERLINK("https://ntsu.idm.oclc.org/login?url=https://www.airitibooks.com/Detail/Detail?PublicationID=P20160603016", "https://ntsu.idm.oclc.org/login?url=https://www.airitibooks.com/Detail/Detail?PublicationID=P20160603016")</f>
        <v>https://ntsu.idm.oclc.org/login?url=https://www.airitibooks.com/Detail/Detail?PublicationID=P20160603016</v>
      </c>
    </row>
    <row r="3863" spans="1:11" ht="51" x14ac:dyDescent="0.4">
      <c r="A3863" s="10" t="s">
        <v>4700</v>
      </c>
      <c r="B3863" s="10" t="s">
        <v>4701</v>
      </c>
      <c r="C3863" s="10" t="s">
        <v>2515</v>
      </c>
      <c r="D3863" s="10" t="s">
        <v>4698</v>
      </c>
      <c r="E3863" s="10" t="s">
        <v>30</v>
      </c>
      <c r="F3863" s="10" t="s">
        <v>4699</v>
      </c>
      <c r="G3863" s="10" t="s">
        <v>23</v>
      </c>
      <c r="H3863" s="7" t="s">
        <v>24</v>
      </c>
      <c r="I3863" s="7" t="s">
        <v>25</v>
      </c>
      <c r="J3863" s="13" t="str">
        <f>HYPERLINK("https://www.airitibooks.com/Detail/Detail?PublicationID=P20160603018", "https://www.airitibooks.com/Detail/Detail?PublicationID=P20160603018")</f>
        <v>https://www.airitibooks.com/Detail/Detail?PublicationID=P20160603018</v>
      </c>
      <c r="K3863" s="13" t="str">
        <f>HYPERLINK("https://ntsu.idm.oclc.org/login?url=https://www.airitibooks.com/Detail/Detail?PublicationID=P20160603018", "https://ntsu.idm.oclc.org/login?url=https://www.airitibooks.com/Detail/Detail?PublicationID=P20160603018")</f>
        <v>https://ntsu.idm.oclc.org/login?url=https://www.airitibooks.com/Detail/Detail?PublicationID=P20160603018</v>
      </c>
    </row>
    <row r="3864" spans="1:11" ht="51" x14ac:dyDescent="0.4">
      <c r="A3864" s="10" t="s">
        <v>4709</v>
      </c>
      <c r="B3864" s="10" t="s">
        <v>4710</v>
      </c>
      <c r="C3864" s="10" t="s">
        <v>2515</v>
      </c>
      <c r="D3864" s="10" t="s">
        <v>4711</v>
      </c>
      <c r="E3864" s="10" t="s">
        <v>30</v>
      </c>
      <c r="F3864" s="10" t="s">
        <v>4712</v>
      </c>
      <c r="G3864" s="10" t="s">
        <v>23</v>
      </c>
      <c r="H3864" s="7" t="s">
        <v>24</v>
      </c>
      <c r="I3864" s="7" t="s">
        <v>25</v>
      </c>
      <c r="J3864" s="13" t="str">
        <f>HYPERLINK("https://www.airitibooks.com/Detail/Detail?PublicationID=P20160603022", "https://www.airitibooks.com/Detail/Detail?PublicationID=P20160603022")</f>
        <v>https://www.airitibooks.com/Detail/Detail?PublicationID=P20160603022</v>
      </c>
      <c r="K3864" s="13" t="str">
        <f>HYPERLINK("https://ntsu.idm.oclc.org/login?url=https://www.airitibooks.com/Detail/Detail?PublicationID=P20160603022", "https://ntsu.idm.oclc.org/login?url=https://www.airitibooks.com/Detail/Detail?PublicationID=P20160603022")</f>
        <v>https://ntsu.idm.oclc.org/login?url=https://www.airitibooks.com/Detail/Detail?PublicationID=P20160603022</v>
      </c>
    </row>
    <row r="3865" spans="1:11" ht="51" x14ac:dyDescent="0.4">
      <c r="A3865" s="10" t="s">
        <v>4893</v>
      </c>
      <c r="B3865" s="10" t="s">
        <v>4894</v>
      </c>
      <c r="C3865" s="10" t="s">
        <v>4873</v>
      </c>
      <c r="D3865" s="10" t="s">
        <v>4895</v>
      </c>
      <c r="E3865" s="10" t="s">
        <v>30</v>
      </c>
      <c r="F3865" s="10" t="s">
        <v>250</v>
      </c>
      <c r="G3865" s="10" t="s">
        <v>23</v>
      </c>
      <c r="H3865" s="7" t="s">
        <v>24</v>
      </c>
      <c r="I3865" s="7" t="s">
        <v>25</v>
      </c>
      <c r="J3865" s="13" t="str">
        <f>HYPERLINK("https://www.airitibooks.com/Detail/Detail?PublicationID=P20160715169", "https://www.airitibooks.com/Detail/Detail?PublicationID=P20160715169")</f>
        <v>https://www.airitibooks.com/Detail/Detail?PublicationID=P20160715169</v>
      </c>
      <c r="K3865" s="13" t="str">
        <f>HYPERLINK("https://ntsu.idm.oclc.org/login?url=https://www.airitibooks.com/Detail/Detail?PublicationID=P20160715169", "https://ntsu.idm.oclc.org/login?url=https://www.airitibooks.com/Detail/Detail?PublicationID=P20160715169")</f>
        <v>https://ntsu.idm.oclc.org/login?url=https://www.airitibooks.com/Detail/Detail?PublicationID=P20160715169</v>
      </c>
    </row>
    <row r="3866" spans="1:11" ht="51" x14ac:dyDescent="0.4">
      <c r="A3866" s="10" t="s">
        <v>4983</v>
      </c>
      <c r="B3866" s="10" t="s">
        <v>4984</v>
      </c>
      <c r="C3866" s="10" t="s">
        <v>419</v>
      </c>
      <c r="D3866" s="10" t="s">
        <v>4985</v>
      </c>
      <c r="E3866" s="10" t="s">
        <v>30</v>
      </c>
      <c r="F3866" s="10" t="s">
        <v>4986</v>
      </c>
      <c r="G3866" s="10" t="s">
        <v>23</v>
      </c>
      <c r="H3866" s="7" t="s">
        <v>24</v>
      </c>
      <c r="I3866" s="7" t="s">
        <v>25</v>
      </c>
      <c r="J3866" s="13" t="str">
        <f>HYPERLINK("https://www.airitibooks.com/Detail/Detail?PublicationID=P20160723040", "https://www.airitibooks.com/Detail/Detail?PublicationID=P20160723040")</f>
        <v>https://www.airitibooks.com/Detail/Detail?PublicationID=P20160723040</v>
      </c>
      <c r="K3866" s="13" t="str">
        <f>HYPERLINK("https://ntsu.idm.oclc.org/login?url=https://www.airitibooks.com/Detail/Detail?PublicationID=P20160723040", "https://ntsu.idm.oclc.org/login?url=https://www.airitibooks.com/Detail/Detail?PublicationID=P20160723040")</f>
        <v>https://ntsu.idm.oclc.org/login?url=https://www.airitibooks.com/Detail/Detail?PublicationID=P20160723040</v>
      </c>
    </row>
    <row r="3867" spans="1:11" ht="51" x14ac:dyDescent="0.4">
      <c r="A3867" s="10" t="s">
        <v>5016</v>
      </c>
      <c r="B3867" s="10" t="s">
        <v>5017</v>
      </c>
      <c r="C3867" s="10" t="s">
        <v>738</v>
      </c>
      <c r="D3867" s="10" t="s">
        <v>5018</v>
      </c>
      <c r="E3867" s="10" t="s">
        <v>30</v>
      </c>
      <c r="F3867" s="10" t="s">
        <v>762</v>
      </c>
      <c r="G3867" s="10" t="s">
        <v>23</v>
      </c>
      <c r="H3867" s="7" t="s">
        <v>24</v>
      </c>
      <c r="I3867" s="7" t="s">
        <v>25</v>
      </c>
      <c r="J3867" s="13" t="str">
        <f>HYPERLINK("https://www.airitibooks.com/Detail/Detail?PublicationID=P20160723105", "https://www.airitibooks.com/Detail/Detail?PublicationID=P20160723105")</f>
        <v>https://www.airitibooks.com/Detail/Detail?PublicationID=P20160723105</v>
      </c>
      <c r="K3867" s="13" t="str">
        <f>HYPERLINK("https://ntsu.idm.oclc.org/login?url=https://www.airitibooks.com/Detail/Detail?PublicationID=P20160723105", "https://ntsu.idm.oclc.org/login?url=https://www.airitibooks.com/Detail/Detail?PublicationID=P20160723105")</f>
        <v>https://ntsu.idm.oclc.org/login?url=https://www.airitibooks.com/Detail/Detail?PublicationID=P20160723105</v>
      </c>
    </row>
    <row r="3868" spans="1:11" ht="51" x14ac:dyDescent="0.4">
      <c r="A3868" s="10" t="s">
        <v>5305</v>
      </c>
      <c r="B3868" s="10" t="s">
        <v>5306</v>
      </c>
      <c r="C3868" s="10" t="s">
        <v>5307</v>
      </c>
      <c r="D3868" s="10" t="s">
        <v>5308</v>
      </c>
      <c r="E3868" s="10" t="s">
        <v>30</v>
      </c>
      <c r="F3868" s="10" t="s">
        <v>4433</v>
      </c>
      <c r="G3868" s="10" t="s">
        <v>23</v>
      </c>
      <c r="H3868" s="7" t="s">
        <v>24</v>
      </c>
      <c r="I3868" s="7" t="s">
        <v>25</v>
      </c>
      <c r="J3868" s="13" t="str">
        <f>HYPERLINK("https://www.airitibooks.com/Detail/Detail?PublicationID=P20160901009", "https://www.airitibooks.com/Detail/Detail?PublicationID=P20160901009")</f>
        <v>https://www.airitibooks.com/Detail/Detail?PublicationID=P20160901009</v>
      </c>
      <c r="K3868" s="13" t="str">
        <f>HYPERLINK("https://ntsu.idm.oclc.org/login?url=https://www.airitibooks.com/Detail/Detail?PublicationID=P20160901009", "https://ntsu.idm.oclc.org/login?url=https://www.airitibooks.com/Detail/Detail?PublicationID=P20160901009")</f>
        <v>https://ntsu.idm.oclc.org/login?url=https://www.airitibooks.com/Detail/Detail?PublicationID=P20160901009</v>
      </c>
    </row>
    <row r="3869" spans="1:11" ht="51" x14ac:dyDescent="0.4">
      <c r="A3869" s="10" t="s">
        <v>5309</v>
      </c>
      <c r="B3869" s="10" t="s">
        <v>5310</v>
      </c>
      <c r="C3869" s="10" t="s">
        <v>5307</v>
      </c>
      <c r="D3869" s="10" t="s">
        <v>5308</v>
      </c>
      <c r="E3869" s="10" t="s">
        <v>30</v>
      </c>
      <c r="F3869" s="10" t="s">
        <v>4433</v>
      </c>
      <c r="G3869" s="10" t="s">
        <v>23</v>
      </c>
      <c r="H3869" s="7" t="s">
        <v>24</v>
      </c>
      <c r="I3869" s="7" t="s">
        <v>25</v>
      </c>
      <c r="J3869" s="13" t="str">
        <f>HYPERLINK("https://www.airitibooks.com/Detail/Detail?PublicationID=P20160901010", "https://www.airitibooks.com/Detail/Detail?PublicationID=P20160901010")</f>
        <v>https://www.airitibooks.com/Detail/Detail?PublicationID=P20160901010</v>
      </c>
      <c r="K3869" s="13" t="str">
        <f>HYPERLINK("https://ntsu.idm.oclc.org/login?url=https://www.airitibooks.com/Detail/Detail?PublicationID=P20160901010", "https://ntsu.idm.oclc.org/login?url=https://www.airitibooks.com/Detail/Detail?PublicationID=P20160901010")</f>
        <v>https://ntsu.idm.oclc.org/login?url=https://www.airitibooks.com/Detail/Detail?PublicationID=P20160901010</v>
      </c>
    </row>
    <row r="3870" spans="1:11" ht="51" x14ac:dyDescent="0.4">
      <c r="A3870" s="10" t="s">
        <v>5319</v>
      </c>
      <c r="B3870" s="10" t="s">
        <v>5320</v>
      </c>
      <c r="C3870" s="10" t="s">
        <v>5307</v>
      </c>
      <c r="D3870" s="10" t="s">
        <v>5308</v>
      </c>
      <c r="E3870" s="10" t="s">
        <v>30</v>
      </c>
      <c r="F3870" s="10" t="s">
        <v>1164</v>
      </c>
      <c r="G3870" s="10" t="s">
        <v>23</v>
      </c>
      <c r="H3870" s="7" t="s">
        <v>24</v>
      </c>
      <c r="I3870" s="7" t="s">
        <v>25</v>
      </c>
      <c r="J3870" s="13" t="str">
        <f>HYPERLINK("https://www.airitibooks.com/Detail/Detail?PublicationID=P20160901022", "https://www.airitibooks.com/Detail/Detail?PublicationID=P20160901022")</f>
        <v>https://www.airitibooks.com/Detail/Detail?PublicationID=P20160901022</v>
      </c>
      <c r="K3870" s="13" t="str">
        <f>HYPERLINK("https://ntsu.idm.oclc.org/login?url=https://www.airitibooks.com/Detail/Detail?PublicationID=P20160901022", "https://ntsu.idm.oclc.org/login?url=https://www.airitibooks.com/Detail/Detail?PublicationID=P20160901022")</f>
        <v>https://ntsu.idm.oclc.org/login?url=https://www.airitibooks.com/Detail/Detail?PublicationID=P20160901022</v>
      </c>
    </row>
    <row r="3871" spans="1:11" ht="51" x14ac:dyDescent="0.4">
      <c r="A3871" s="10" t="s">
        <v>5547</v>
      </c>
      <c r="B3871" s="10" t="s">
        <v>5548</v>
      </c>
      <c r="C3871" s="10" t="s">
        <v>3832</v>
      </c>
      <c r="D3871" s="10" t="s">
        <v>5549</v>
      </c>
      <c r="E3871" s="10" t="s">
        <v>30</v>
      </c>
      <c r="F3871" s="10" t="s">
        <v>5550</v>
      </c>
      <c r="G3871" s="10" t="s">
        <v>23</v>
      </c>
      <c r="H3871" s="7" t="s">
        <v>24</v>
      </c>
      <c r="I3871" s="7" t="s">
        <v>25</v>
      </c>
      <c r="J3871" s="13" t="str">
        <f>HYPERLINK("https://www.airitibooks.com/Detail/Detail?PublicationID=P20160913109", "https://www.airitibooks.com/Detail/Detail?PublicationID=P20160913109")</f>
        <v>https://www.airitibooks.com/Detail/Detail?PublicationID=P20160913109</v>
      </c>
      <c r="K3871" s="13" t="str">
        <f>HYPERLINK("https://ntsu.idm.oclc.org/login?url=https://www.airitibooks.com/Detail/Detail?PublicationID=P20160913109", "https://ntsu.idm.oclc.org/login?url=https://www.airitibooks.com/Detail/Detail?PublicationID=P20160913109")</f>
        <v>https://ntsu.idm.oclc.org/login?url=https://www.airitibooks.com/Detail/Detail?PublicationID=P20160913109</v>
      </c>
    </row>
    <row r="3872" spans="1:11" ht="51" x14ac:dyDescent="0.4">
      <c r="A3872" s="10" t="s">
        <v>5592</v>
      </c>
      <c r="B3872" s="10" t="s">
        <v>5593</v>
      </c>
      <c r="C3872" s="10" t="s">
        <v>5582</v>
      </c>
      <c r="D3872" s="10" t="s">
        <v>5594</v>
      </c>
      <c r="E3872" s="10" t="s">
        <v>30</v>
      </c>
      <c r="F3872" s="10" t="s">
        <v>565</v>
      </c>
      <c r="G3872" s="10" t="s">
        <v>23</v>
      </c>
      <c r="H3872" s="7" t="s">
        <v>24</v>
      </c>
      <c r="I3872" s="7" t="s">
        <v>25</v>
      </c>
      <c r="J3872" s="13" t="str">
        <f>HYPERLINK("https://www.airitibooks.com/Detail/Detail?PublicationID=P20161004041", "https://www.airitibooks.com/Detail/Detail?PublicationID=P20161004041")</f>
        <v>https://www.airitibooks.com/Detail/Detail?PublicationID=P20161004041</v>
      </c>
      <c r="K3872" s="13" t="str">
        <f>HYPERLINK("https://ntsu.idm.oclc.org/login?url=https://www.airitibooks.com/Detail/Detail?PublicationID=P20161004041", "https://ntsu.idm.oclc.org/login?url=https://www.airitibooks.com/Detail/Detail?PublicationID=P20161004041")</f>
        <v>https://ntsu.idm.oclc.org/login?url=https://www.airitibooks.com/Detail/Detail?PublicationID=P20161004041</v>
      </c>
    </row>
    <row r="3873" spans="1:11" ht="68" x14ac:dyDescent="0.4">
      <c r="A3873" s="10" t="s">
        <v>5634</v>
      </c>
      <c r="B3873" s="10" t="s">
        <v>5635</v>
      </c>
      <c r="C3873" s="10" t="s">
        <v>707</v>
      </c>
      <c r="D3873" s="10" t="s">
        <v>5636</v>
      </c>
      <c r="E3873" s="10" t="s">
        <v>30</v>
      </c>
      <c r="F3873" s="10" t="s">
        <v>1917</v>
      </c>
      <c r="G3873" s="10" t="s">
        <v>23</v>
      </c>
      <c r="H3873" s="7" t="s">
        <v>24</v>
      </c>
      <c r="I3873" s="7" t="s">
        <v>25</v>
      </c>
      <c r="J3873" s="13" t="str">
        <f>HYPERLINK("https://www.airitibooks.com/Detail/Detail?PublicationID=P20161014003", "https://www.airitibooks.com/Detail/Detail?PublicationID=P20161014003")</f>
        <v>https://www.airitibooks.com/Detail/Detail?PublicationID=P20161014003</v>
      </c>
      <c r="K3873" s="13" t="str">
        <f>HYPERLINK("https://ntsu.idm.oclc.org/login?url=https://www.airitibooks.com/Detail/Detail?PublicationID=P20161014003", "https://ntsu.idm.oclc.org/login?url=https://www.airitibooks.com/Detail/Detail?PublicationID=P20161014003")</f>
        <v>https://ntsu.idm.oclc.org/login?url=https://www.airitibooks.com/Detail/Detail?PublicationID=P20161014003</v>
      </c>
    </row>
    <row r="3874" spans="1:11" ht="51" x14ac:dyDescent="0.4">
      <c r="A3874" s="10" t="s">
        <v>5670</v>
      </c>
      <c r="B3874" s="10" t="s">
        <v>5671</v>
      </c>
      <c r="C3874" s="10" t="s">
        <v>3473</v>
      </c>
      <c r="D3874" s="10" t="s">
        <v>5672</v>
      </c>
      <c r="E3874" s="10" t="s">
        <v>30</v>
      </c>
      <c r="F3874" s="10" t="s">
        <v>5521</v>
      </c>
      <c r="G3874" s="10" t="s">
        <v>23</v>
      </c>
      <c r="H3874" s="7" t="s">
        <v>24</v>
      </c>
      <c r="I3874" s="7" t="s">
        <v>25</v>
      </c>
      <c r="J3874" s="13" t="str">
        <f>HYPERLINK("https://www.airitibooks.com/Detail/Detail?PublicationID=P20161130029", "https://www.airitibooks.com/Detail/Detail?PublicationID=P20161130029")</f>
        <v>https://www.airitibooks.com/Detail/Detail?PublicationID=P20161130029</v>
      </c>
      <c r="K3874" s="13" t="str">
        <f>HYPERLINK("https://ntsu.idm.oclc.org/login?url=https://www.airitibooks.com/Detail/Detail?PublicationID=P20161130029", "https://ntsu.idm.oclc.org/login?url=https://www.airitibooks.com/Detail/Detail?PublicationID=P20161130029")</f>
        <v>https://ntsu.idm.oclc.org/login?url=https://www.airitibooks.com/Detail/Detail?PublicationID=P20161130029</v>
      </c>
    </row>
    <row r="3875" spans="1:11" ht="51" x14ac:dyDescent="0.4">
      <c r="A3875" s="10" t="s">
        <v>5687</v>
      </c>
      <c r="B3875" s="10" t="s">
        <v>5688</v>
      </c>
      <c r="C3875" s="10" t="s">
        <v>3473</v>
      </c>
      <c r="D3875" s="10" t="s">
        <v>5672</v>
      </c>
      <c r="E3875" s="10" t="s">
        <v>30</v>
      </c>
      <c r="F3875" s="10" t="s">
        <v>214</v>
      </c>
      <c r="G3875" s="10" t="s">
        <v>23</v>
      </c>
      <c r="H3875" s="7" t="s">
        <v>24</v>
      </c>
      <c r="I3875" s="7" t="s">
        <v>25</v>
      </c>
      <c r="J3875" s="13" t="str">
        <f>HYPERLINK("https://www.airitibooks.com/Detail/Detail?PublicationID=P20161202002", "https://www.airitibooks.com/Detail/Detail?PublicationID=P20161202002")</f>
        <v>https://www.airitibooks.com/Detail/Detail?PublicationID=P20161202002</v>
      </c>
      <c r="K3875" s="13" t="str">
        <f>HYPERLINK("https://ntsu.idm.oclc.org/login?url=https://www.airitibooks.com/Detail/Detail?PublicationID=P20161202002", "https://ntsu.idm.oclc.org/login?url=https://www.airitibooks.com/Detail/Detail?PublicationID=P20161202002")</f>
        <v>https://ntsu.idm.oclc.org/login?url=https://www.airitibooks.com/Detail/Detail?PublicationID=P20161202002</v>
      </c>
    </row>
    <row r="3876" spans="1:11" ht="51" x14ac:dyDescent="0.4">
      <c r="A3876" s="10" t="s">
        <v>7855</v>
      </c>
      <c r="B3876" s="10" t="s">
        <v>7856</v>
      </c>
      <c r="C3876" s="10" t="s">
        <v>3473</v>
      </c>
      <c r="D3876" s="10" t="s">
        <v>3474</v>
      </c>
      <c r="E3876" s="10" t="s">
        <v>30</v>
      </c>
      <c r="F3876" s="10" t="s">
        <v>1122</v>
      </c>
      <c r="G3876" s="10" t="s">
        <v>23</v>
      </c>
      <c r="H3876" s="7" t="s">
        <v>24</v>
      </c>
      <c r="I3876" s="7" t="s">
        <v>25</v>
      </c>
      <c r="J3876" s="13" t="str">
        <f>HYPERLINK("https://www.airitibooks.com/Detail/Detail?PublicationID=P20171129021", "https://www.airitibooks.com/Detail/Detail?PublicationID=P20171129021")</f>
        <v>https://www.airitibooks.com/Detail/Detail?PublicationID=P20171129021</v>
      </c>
      <c r="K3876" s="13" t="str">
        <f>HYPERLINK("https://ntsu.idm.oclc.org/login?url=https://www.airitibooks.com/Detail/Detail?PublicationID=P20171129021", "https://ntsu.idm.oclc.org/login?url=https://www.airitibooks.com/Detail/Detail?PublicationID=P20171129021")</f>
        <v>https://ntsu.idm.oclc.org/login?url=https://www.airitibooks.com/Detail/Detail?PublicationID=P20171129021</v>
      </c>
    </row>
    <row r="3877" spans="1:11" ht="51" x14ac:dyDescent="0.4">
      <c r="A3877" s="10" t="s">
        <v>7857</v>
      </c>
      <c r="B3877" s="10" t="s">
        <v>7858</v>
      </c>
      <c r="C3877" s="10" t="s">
        <v>3473</v>
      </c>
      <c r="D3877" s="10" t="s">
        <v>3924</v>
      </c>
      <c r="E3877" s="10" t="s">
        <v>30</v>
      </c>
      <c r="F3877" s="10" t="s">
        <v>1127</v>
      </c>
      <c r="G3877" s="10" t="s">
        <v>23</v>
      </c>
      <c r="H3877" s="7" t="s">
        <v>24</v>
      </c>
      <c r="I3877" s="7" t="s">
        <v>25</v>
      </c>
      <c r="J3877" s="13" t="str">
        <f>HYPERLINK("https://www.airitibooks.com/Detail/Detail?PublicationID=P20171129022", "https://www.airitibooks.com/Detail/Detail?PublicationID=P20171129022")</f>
        <v>https://www.airitibooks.com/Detail/Detail?PublicationID=P20171129022</v>
      </c>
      <c r="K3877" s="13" t="str">
        <f>HYPERLINK("https://ntsu.idm.oclc.org/login?url=https://www.airitibooks.com/Detail/Detail?PublicationID=P20171129022", "https://ntsu.idm.oclc.org/login?url=https://www.airitibooks.com/Detail/Detail?PublicationID=P20171129022")</f>
        <v>https://ntsu.idm.oclc.org/login?url=https://www.airitibooks.com/Detail/Detail?PublicationID=P20171129022</v>
      </c>
    </row>
    <row r="3878" spans="1:11" ht="68" x14ac:dyDescent="0.4">
      <c r="A3878" s="10" t="s">
        <v>7859</v>
      </c>
      <c r="B3878" s="10" t="s">
        <v>7860</v>
      </c>
      <c r="C3878" s="10" t="s">
        <v>3473</v>
      </c>
      <c r="D3878" s="10" t="s">
        <v>7861</v>
      </c>
      <c r="E3878" s="10" t="s">
        <v>30</v>
      </c>
      <c r="F3878" s="10" t="s">
        <v>3860</v>
      </c>
      <c r="G3878" s="10" t="s">
        <v>23</v>
      </c>
      <c r="H3878" s="7" t="s">
        <v>24</v>
      </c>
      <c r="I3878" s="7" t="s">
        <v>25</v>
      </c>
      <c r="J3878" s="13" t="str">
        <f>HYPERLINK("https://www.airitibooks.com/Detail/Detail?PublicationID=P20171129023", "https://www.airitibooks.com/Detail/Detail?PublicationID=P20171129023")</f>
        <v>https://www.airitibooks.com/Detail/Detail?PublicationID=P20171129023</v>
      </c>
      <c r="K3878" s="13" t="str">
        <f>HYPERLINK("https://ntsu.idm.oclc.org/login?url=https://www.airitibooks.com/Detail/Detail?PublicationID=P20171129023", "https://ntsu.idm.oclc.org/login?url=https://www.airitibooks.com/Detail/Detail?PublicationID=P20171129023")</f>
        <v>https://ntsu.idm.oclc.org/login?url=https://www.airitibooks.com/Detail/Detail?PublicationID=P20171129023</v>
      </c>
    </row>
    <row r="3879" spans="1:11" ht="51" x14ac:dyDescent="0.4">
      <c r="A3879" s="10" t="s">
        <v>7862</v>
      </c>
      <c r="B3879" s="10" t="s">
        <v>7863</v>
      </c>
      <c r="C3879" s="10" t="s">
        <v>7294</v>
      </c>
      <c r="D3879" s="10" t="s">
        <v>7864</v>
      </c>
      <c r="E3879" s="10" t="s">
        <v>30</v>
      </c>
      <c r="F3879" s="10" t="s">
        <v>2492</v>
      </c>
      <c r="G3879" s="10" t="s">
        <v>23</v>
      </c>
      <c r="H3879" s="7" t="s">
        <v>24</v>
      </c>
      <c r="I3879" s="7" t="s">
        <v>25</v>
      </c>
      <c r="J3879" s="13" t="str">
        <f>HYPERLINK("https://www.airitibooks.com/Detail/Detail?PublicationID=P20171129024", "https://www.airitibooks.com/Detail/Detail?PublicationID=P20171129024")</f>
        <v>https://www.airitibooks.com/Detail/Detail?PublicationID=P20171129024</v>
      </c>
      <c r="K3879" s="13" t="str">
        <f>HYPERLINK("https://ntsu.idm.oclc.org/login?url=https://www.airitibooks.com/Detail/Detail?PublicationID=P20171129024", "https://ntsu.idm.oclc.org/login?url=https://www.airitibooks.com/Detail/Detail?PublicationID=P20171129024")</f>
        <v>https://ntsu.idm.oclc.org/login?url=https://www.airitibooks.com/Detail/Detail?PublicationID=P20171129024</v>
      </c>
    </row>
    <row r="3880" spans="1:11" ht="51" x14ac:dyDescent="0.4">
      <c r="A3880" s="10" t="s">
        <v>7865</v>
      </c>
      <c r="B3880" s="10" t="s">
        <v>7866</v>
      </c>
      <c r="C3880" s="10" t="s">
        <v>7294</v>
      </c>
      <c r="D3880" s="10" t="s">
        <v>7864</v>
      </c>
      <c r="E3880" s="10" t="s">
        <v>30</v>
      </c>
      <c r="F3880" s="10" t="s">
        <v>2492</v>
      </c>
      <c r="G3880" s="10" t="s">
        <v>23</v>
      </c>
      <c r="H3880" s="7" t="s">
        <v>24</v>
      </c>
      <c r="I3880" s="7" t="s">
        <v>25</v>
      </c>
      <c r="J3880" s="13" t="str">
        <f>HYPERLINK("https://www.airitibooks.com/Detail/Detail?PublicationID=P20171129025", "https://www.airitibooks.com/Detail/Detail?PublicationID=P20171129025")</f>
        <v>https://www.airitibooks.com/Detail/Detail?PublicationID=P20171129025</v>
      </c>
      <c r="K3880" s="13" t="str">
        <f>HYPERLINK("https://ntsu.idm.oclc.org/login?url=https://www.airitibooks.com/Detail/Detail?PublicationID=P20171129025", "https://ntsu.idm.oclc.org/login?url=https://www.airitibooks.com/Detail/Detail?PublicationID=P20171129025")</f>
        <v>https://ntsu.idm.oclc.org/login?url=https://www.airitibooks.com/Detail/Detail?PublicationID=P20171129025</v>
      </c>
    </row>
    <row r="3881" spans="1:11" ht="68" x14ac:dyDescent="0.4">
      <c r="A3881" s="10" t="s">
        <v>7867</v>
      </c>
      <c r="B3881" s="10" t="s">
        <v>7868</v>
      </c>
      <c r="C3881" s="10" t="s">
        <v>7294</v>
      </c>
      <c r="D3881" s="10" t="s">
        <v>7295</v>
      </c>
      <c r="E3881" s="10" t="s">
        <v>30</v>
      </c>
      <c r="F3881" s="10" t="s">
        <v>7869</v>
      </c>
      <c r="G3881" s="10" t="s">
        <v>23</v>
      </c>
      <c r="H3881" s="7" t="s">
        <v>24</v>
      </c>
      <c r="I3881" s="7" t="s">
        <v>25</v>
      </c>
      <c r="J3881" s="13" t="str">
        <f>HYPERLINK("https://www.airitibooks.com/Detail/Detail?PublicationID=P20171129026", "https://www.airitibooks.com/Detail/Detail?PublicationID=P20171129026")</f>
        <v>https://www.airitibooks.com/Detail/Detail?PublicationID=P20171129026</v>
      </c>
      <c r="K3881" s="13" t="str">
        <f>HYPERLINK("https://ntsu.idm.oclc.org/login?url=https://www.airitibooks.com/Detail/Detail?PublicationID=P20171129026", "https://ntsu.idm.oclc.org/login?url=https://www.airitibooks.com/Detail/Detail?PublicationID=P20171129026")</f>
        <v>https://ntsu.idm.oclc.org/login?url=https://www.airitibooks.com/Detail/Detail?PublicationID=P20171129026</v>
      </c>
    </row>
    <row r="3882" spans="1:11" ht="68" x14ac:dyDescent="0.4">
      <c r="A3882" s="10" t="s">
        <v>7870</v>
      </c>
      <c r="B3882" s="10" t="s">
        <v>7871</v>
      </c>
      <c r="C3882" s="10" t="s">
        <v>3473</v>
      </c>
      <c r="D3882" s="10" t="s">
        <v>5672</v>
      </c>
      <c r="E3882" s="10" t="s">
        <v>30</v>
      </c>
      <c r="F3882" s="10" t="s">
        <v>214</v>
      </c>
      <c r="G3882" s="10" t="s">
        <v>23</v>
      </c>
      <c r="H3882" s="7" t="s">
        <v>24</v>
      </c>
      <c r="I3882" s="7" t="s">
        <v>25</v>
      </c>
      <c r="J3882" s="13" t="str">
        <f>HYPERLINK("https://www.airitibooks.com/Detail/Detail?PublicationID=P20171129027", "https://www.airitibooks.com/Detail/Detail?PublicationID=P20171129027")</f>
        <v>https://www.airitibooks.com/Detail/Detail?PublicationID=P20171129027</v>
      </c>
      <c r="K3882" s="13" t="str">
        <f>HYPERLINK("https://ntsu.idm.oclc.org/login?url=https://www.airitibooks.com/Detail/Detail?PublicationID=P20171129027", "https://ntsu.idm.oclc.org/login?url=https://www.airitibooks.com/Detail/Detail?PublicationID=P20171129027")</f>
        <v>https://ntsu.idm.oclc.org/login?url=https://www.airitibooks.com/Detail/Detail?PublicationID=P20171129027</v>
      </c>
    </row>
    <row r="3883" spans="1:11" ht="68" x14ac:dyDescent="0.4">
      <c r="A3883" s="10" t="s">
        <v>7908</v>
      </c>
      <c r="B3883" s="10" t="s">
        <v>7909</v>
      </c>
      <c r="C3883" s="10" t="s">
        <v>3473</v>
      </c>
      <c r="D3883" s="10" t="s">
        <v>7910</v>
      </c>
      <c r="E3883" s="10" t="s">
        <v>30</v>
      </c>
      <c r="F3883" s="10" t="s">
        <v>7911</v>
      </c>
      <c r="G3883" s="10" t="s">
        <v>23</v>
      </c>
      <c r="H3883" s="7" t="s">
        <v>24</v>
      </c>
      <c r="I3883" s="7" t="s">
        <v>25</v>
      </c>
      <c r="J3883" s="13" t="str">
        <f>HYPERLINK("https://www.airitibooks.com/Detail/Detail?PublicationID=P20171129047", "https://www.airitibooks.com/Detail/Detail?PublicationID=P20171129047")</f>
        <v>https://www.airitibooks.com/Detail/Detail?PublicationID=P20171129047</v>
      </c>
      <c r="K3883" s="13" t="str">
        <f>HYPERLINK("https://ntsu.idm.oclc.org/login?url=https://www.airitibooks.com/Detail/Detail?PublicationID=P20171129047", "https://ntsu.idm.oclc.org/login?url=https://www.airitibooks.com/Detail/Detail?PublicationID=P20171129047")</f>
        <v>https://ntsu.idm.oclc.org/login?url=https://www.airitibooks.com/Detail/Detail?PublicationID=P20171129047</v>
      </c>
    </row>
    <row r="3884" spans="1:11" ht="51" x14ac:dyDescent="0.4">
      <c r="A3884" s="10" t="s">
        <v>3478</v>
      </c>
      <c r="B3884" s="10" t="s">
        <v>7912</v>
      </c>
      <c r="C3884" s="10" t="s">
        <v>3473</v>
      </c>
      <c r="D3884" s="10" t="s">
        <v>7913</v>
      </c>
      <c r="E3884" s="10" t="s">
        <v>30</v>
      </c>
      <c r="F3884" s="10" t="s">
        <v>214</v>
      </c>
      <c r="G3884" s="10" t="s">
        <v>23</v>
      </c>
      <c r="H3884" s="7" t="s">
        <v>24</v>
      </c>
      <c r="I3884" s="7" t="s">
        <v>25</v>
      </c>
      <c r="J3884" s="13" t="str">
        <f>HYPERLINK("https://www.airitibooks.com/Detail/Detail?PublicationID=P20171129050", "https://www.airitibooks.com/Detail/Detail?PublicationID=P20171129050")</f>
        <v>https://www.airitibooks.com/Detail/Detail?PublicationID=P20171129050</v>
      </c>
      <c r="K3884" s="13" t="str">
        <f>HYPERLINK("https://ntsu.idm.oclc.org/login?url=https://www.airitibooks.com/Detail/Detail?PublicationID=P20171129050", "https://ntsu.idm.oclc.org/login?url=https://www.airitibooks.com/Detail/Detail?PublicationID=P20171129050")</f>
        <v>https://ntsu.idm.oclc.org/login?url=https://www.airitibooks.com/Detail/Detail?PublicationID=P20171129050</v>
      </c>
    </row>
    <row r="3885" spans="1:11" ht="68" x14ac:dyDescent="0.4">
      <c r="A3885" s="10" t="s">
        <v>7957</v>
      </c>
      <c r="B3885" s="10" t="s">
        <v>7958</v>
      </c>
      <c r="C3885" s="10" t="s">
        <v>3473</v>
      </c>
      <c r="D3885" s="10" t="s">
        <v>3500</v>
      </c>
      <c r="E3885" s="10" t="s">
        <v>30</v>
      </c>
      <c r="F3885" s="10" t="s">
        <v>122</v>
      </c>
      <c r="G3885" s="10" t="s">
        <v>23</v>
      </c>
      <c r="H3885" s="7" t="s">
        <v>24</v>
      </c>
      <c r="I3885" s="7" t="s">
        <v>25</v>
      </c>
      <c r="J3885" s="13" t="str">
        <f>HYPERLINK("https://www.airitibooks.com/Detail/Detail?PublicationID=P20171129129", "https://www.airitibooks.com/Detail/Detail?PublicationID=P20171129129")</f>
        <v>https://www.airitibooks.com/Detail/Detail?PublicationID=P20171129129</v>
      </c>
      <c r="K3885" s="13" t="str">
        <f>HYPERLINK("https://ntsu.idm.oclc.org/login?url=https://www.airitibooks.com/Detail/Detail?PublicationID=P20171129129", "https://ntsu.idm.oclc.org/login?url=https://www.airitibooks.com/Detail/Detail?PublicationID=P20171129129")</f>
        <v>https://ntsu.idm.oclc.org/login?url=https://www.airitibooks.com/Detail/Detail?PublicationID=P20171129129</v>
      </c>
    </row>
    <row r="3886" spans="1:11" ht="68" x14ac:dyDescent="0.4">
      <c r="A3886" s="10" t="s">
        <v>7959</v>
      </c>
      <c r="B3886" s="10" t="s">
        <v>7960</v>
      </c>
      <c r="C3886" s="10" t="s">
        <v>3473</v>
      </c>
      <c r="D3886" s="10" t="s">
        <v>3477</v>
      </c>
      <c r="E3886" s="10" t="s">
        <v>30</v>
      </c>
      <c r="F3886" s="10" t="s">
        <v>7920</v>
      </c>
      <c r="G3886" s="10" t="s">
        <v>23</v>
      </c>
      <c r="H3886" s="7" t="s">
        <v>24</v>
      </c>
      <c r="I3886" s="7" t="s">
        <v>25</v>
      </c>
      <c r="J3886" s="13" t="str">
        <f>HYPERLINK("https://www.airitibooks.com/Detail/Detail?PublicationID=P20171129130", "https://www.airitibooks.com/Detail/Detail?PublicationID=P20171129130")</f>
        <v>https://www.airitibooks.com/Detail/Detail?PublicationID=P20171129130</v>
      </c>
      <c r="K3886" s="13" t="str">
        <f>HYPERLINK("https://ntsu.idm.oclc.org/login?url=https://www.airitibooks.com/Detail/Detail?PublicationID=P20171129130", "https://ntsu.idm.oclc.org/login?url=https://www.airitibooks.com/Detail/Detail?PublicationID=P20171129130")</f>
        <v>https://ntsu.idm.oclc.org/login?url=https://www.airitibooks.com/Detail/Detail?PublicationID=P20171129130</v>
      </c>
    </row>
    <row r="3887" spans="1:11" ht="68" x14ac:dyDescent="0.4">
      <c r="A3887" s="10" t="s">
        <v>7961</v>
      </c>
      <c r="B3887" s="10" t="s">
        <v>7962</v>
      </c>
      <c r="C3887" s="10" t="s">
        <v>3473</v>
      </c>
      <c r="D3887" s="10" t="s">
        <v>3924</v>
      </c>
      <c r="E3887" s="10" t="s">
        <v>30</v>
      </c>
      <c r="F3887" s="10" t="s">
        <v>7963</v>
      </c>
      <c r="G3887" s="10" t="s">
        <v>23</v>
      </c>
      <c r="H3887" s="7" t="s">
        <v>24</v>
      </c>
      <c r="I3887" s="7" t="s">
        <v>25</v>
      </c>
      <c r="J3887" s="13" t="str">
        <f>HYPERLINK("https://www.airitibooks.com/Detail/Detail?PublicationID=P20171129132", "https://www.airitibooks.com/Detail/Detail?PublicationID=P20171129132")</f>
        <v>https://www.airitibooks.com/Detail/Detail?PublicationID=P20171129132</v>
      </c>
      <c r="K3887" s="13" t="str">
        <f>HYPERLINK("https://ntsu.idm.oclc.org/login?url=https://www.airitibooks.com/Detail/Detail?PublicationID=P20171129132", "https://ntsu.idm.oclc.org/login?url=https://www.airitibooks.com/Detail/Detail?PublicationID=P20171129132")</f>
        <v>https://ntsu.idm.oclc.org/login?url=https://www.airitibooks.com/Detail/Detail?PublicationID=P20171129132</v>
      </c>
    </row>
    <row r="3888" spans="1:11" ht="51" x14ac:dyDescent="0.4">
      <c r="A3888" s="10" t="s">
        <v>7964</v>
      </c>
      <c r="B3888" s="10" t="s">
        <v>7965</v>
      </c>
      <c r="C3888" s="10" t="s">
        <v>3473</v>
      </c>
      <c r="D3888" s="10" t="s">
        <v>3477</v>
      </c>
      <c r="E3888" s="10" t="s">
        <v>30</v>
      </c>
      <c r="F3888" s="10" t="s">
        <v>2660</v>
      </c>
      <c r="G3888" s="10" t="s">
        <v>23</v>
      </c>
      <c r="H3888" s="7" t="s">
        <v>24</v>
      </c>
      <c r="I3888" s="7" t="s">
        <v>25</v>
      </c>
      <c r="J3888" s="13" t="str">
        <f>HYPERLINK("https://www.airitibooks.com/Detail/Detail?PublicationID=P20171129133", "https://www.airitibooks.com/Detail/Detail?PublicationID=P20171129133")</f>
        <v>https://www.airitibooks.com/Detail/Detail?PublicationID=P20171129133</v>
      </c>
      <c r="K3888" s="13" t="str">
        <f>HYPERLINK("https://ntsu.idm.oclc.org/login?url=https://www.airitibooks.com/Detail/Detail?PublicationID=P20171129133", "https://ntsu.idm.oclc.org/login?url=https://www.airitibooks.com/Detail/Detail?PublicationID=P20171129133")</f>
        <v>https://ntsu.idm.oclc.org/login?url=https://www.airitibooks.com/Detail/Detail?PublicationID=P20171129133</v>
      </c>
    </row>
    <row r="3889" spans="1:11" ht="51" x14ac:dyDescent="0.4">
      <c r="A3889" s="10" t="s">
        <v>9248</v>
      </c>
      <c r="B3889" s="10" t="s">
        <v>9249</v>
      </c>
      <c r="C3889" s="10" t="s">
        <v>7294</v>
      </c>
      <c r="D3889" s="10" t="s">
        <v>9250</v>
      </c>
      <c r="E3889" s="10" t="s">
        <v>30</v>
      </c>
      <c r="F3889" s="10" t="s">
        <v>394</v>
      </c>
      <c r="G3889" s="10" t="s">
        <v>23</v>
      </c>
      <c r="H3889" s="7" t="s">
        <v>24</v>
      </c>
      <c r="I3889" s="7" t="s">
        <v>25</v>
      </c>
      <c r="J3889" s="13" t="str">
        <f>HYPERLINK("https://www.airitibooks.com/Detail/Detail?PublicationID=P20180521035", "https://www.airitibooks.com/Detail/Detail?PublicationID=P20180521035")</f>
        <v>https://www.airitibooks.com/Detail/Detail?PublicationID=P20180521035</v>
      </c>
      <c r="K3889" s="13" t="str">
        <f>HYPERLINK("https://ntsu.idm.oclc.org/login?url=https://www.airitibooks.com/Detail/Detail?PublicationID=P20180521035", "https://ntsu.idm.oclc.org/login?url=https://www.airitibooks.com/Detail/Detail?PublicationID=P20180521035")</f>
        <v>https://ntsu.idm.oclc.org/login?url=https://www.airitibooks.com/Detail/Detail?PublicationID=P20180521035</v>
      </c>
    </row>
    <row r="3890" spans="1:11" ht="51" x14ac:dyDescent="0.4">
      <c r="A3890" s="10" t="s">
        <v>9447</v>
      </c>
      <c r="B3890" s="10" t="s">
        <v>9448</v>
      </c>
      <c r="C3890" s="10" t="s">
        <v>4120</v>
      </c>
      <c r="D3890" s="10" t="s">
        <v>9449</v>
      </c>
      <c r="E3890" s="10" t="s">
        <v>30</v>
      </c>
      <c r="F3890" s="10" t="s">
        <v>9450</v>
      </c>
      <c r="G3890" s="10" t="s">
        <v>23</v>
      </c>
      <c r="H3890" s="7" t="s">
        <v>24</v>
      </c>
      <c r="I3890" s="7" t="s">
        <v>25</v>
      </c>
      <c r="J3890" s="13" t="str">
        <f>HYPERLINK("https://www.airitibooks.com/Detail/Detail?PublicationID=P20180620012", "https://www.airitibooks.com/Detail/Detail?PublicationID=P20180620012")</f>
        <v>https://www.airitibooks.com/Detail/Detail?PublicationID=P20180620012</v>
      </c>
      <c r="K3890" s="13" t="str">
        <f>HYPERLINK("https://ntsu.idm.oclc.org/login?url=https://www.airitibooks.com/Detail/Detail?PublicationID=P20180620012", "https://ntsu.idm.oclc.org/login?url=https://www.airitibooks.com/Detail/Detail?PublicationID=P20180620012")</f>
        <v>https://ntsu.idm.oclc.org/login?url=https://www.airitibooks.com/Detail/Detail?PublicationID=P20180620012</v>
      </c>
    </row>
    <row r="3891" spans="1:11" ht="51" x14ac:dyDescent="0.4">
      <c r="A3891" s="10" t="s">
        <v>9461</v>
      </c>
      <c r="B3891" s="10" t="s">
        <v>9462</v>
      </c>
      <c r="C3891" s="10" t="s">
        <v>4120</v>
      </c>
      <c r="D3891" s="10" t="s">
        <v>9463</v>
      </c>
      <c r="E3891" s="10" t="s">
        <v>30</v>
      </c>
      <c r="F3891" s="10" t="s">
        <v>762</v>
      </c>
      <c r="G3891" s="10" t="s">
        <v>23</v>
      </c>
      <c r="H3891" s="7" t="s">
        <v>24</v>
      </c>
      <c r="I3891" s="7" t="s">
        <v>25</v>
      </c>
      <c r="J3891" s="13" t="str">
        <f>HYPERLINK("https://www.airitibooks.com/Detail/Detail?PublicationID=P20180625031", "https://www.airitibooks.com/Detail/Detail?PublicationID=P20180625031")</f>
        <v>https://www.airitibooks.com/Detail/Detail?PublicationID=P20180625031</v>
      </c>
      <c r="K3891" s="13" t="str">
        <f>HYPERLINK("https://ntsu.idm.oclc.org/login?url=https://www.airitibooks.com/Detail/Detail?PublicationID=P20180625031", "https://ntsu.idm.oclc.org/login?url=https://www.airitibooks.com/Detail/Detail?PublicationID=P20180625031")</f>
        <v>https://ntsu.idm.oclc.org/login?url=https://www.airitibooks.com/Detail/Detail?PublicationID=P20180625031</v>
      </c>
    </row>
    <row r="3892" spans="1:11" ht="51" x14ac:dyDescent="0.4">
      <c r="A3892" s="10" t="s">
        <v>9464</v>
      </c>
      <c r="B3892" s="10" t="s">
        <v>9465</v>
      </c>
      <c r="C3892" s="10" t="s">
        <v>5050</v>
      </c>
      <c r="D3892" s="10" t="s">
        <v>9466</v>
      </c>
      <c r="E3892" s="10" t="s">
        <v>30</v>
      </c>
      <c r="F3892" s="10" t="s">
        <v>762</v>
      </c>
      <c r="G3892" s="10" t="s">
        <v>23</v>
      </c>
      <c r="H3892" s="7" t="s">
        <v>24</v>
      </c>
      <c r="I3892" s="7" t="s">
        <v>25</v>
      </c>
      <c r="J3892" s="13" t="str">
        <f>HYPERLINK("https://www.airitibooks.com/Detail/Detail?PublicationID=P20180625060", "https://www.airitibooks.com/Detail/Detail?PublicationID=P20180625060")</f>
        <v>https://www.airitibooks.com/Detail/Detail?PublicationID=P20180625060</v>
      </c>
      <c r="K3892" s="13" t="str">
        <f>HYPERLINK("https://ntsu.idm.oclc.org/login?url=https://www.airitibooks.com/Detail/Detail?PublicationID=P20180625060", "https://ntsu.idm.oclc.org/login?url=https://www.airitibooks.com/Detail/Detail?PublicationID=P20180625060")</f>
        <v>https://ntsu.idm.oclc.org/login?url=https://www.airitibooks.com/Detail/Detail?PublicationID=P20180625060</v>
      </c>
    </row>
    <row r="3893" spans="1:11" ht="51" x14ac:dyDescent="0.4">
      <c r="A3893" s="10" t="s">
        <v>9467</v>
      </c>
      <c r="B3893" s="10" t="s">
        <v>9468</v>
      </c>
      <c r="C3893" s="10" t="s">
        <v>5050</v>
      </c>
      <c r="D3893" s="10" t="s">
        <v>9469</v>
      </c>
      <c r="E3893" s="10" t="s">
        <v>30</v>
      </c>
      <c r="F3893" s="10" t="s">
        <v>762</v>
      </c>
      <c r="G3893" s="10" t="s">
        <v>23</v>
      </c>
      <c r="H3893" s="7" t="s">
        <v>24</v>
      </c>
      <c r="I3893" s="7" t="s">
        <v>25</v>
      </c>
      <c r="J3893" s="13" t="str">
        <f>HYPERLINK("https://www.airitibooks.com/Detail/Detail?PublicationID=P20180625076", "https://www.airitibooks.com/Detail/Detail?PublicationID=P20180625076")</f>
        <v>https://www.airitibooks.com/Detail/Detail?PublicationID=P20180625076</v>
      </c>
      <c r="K3893" s="13" t="str">
        <f>HYPERLINK("https://ntsu.idm.oclc.org/login?url=https://www.airitibooks.com/Detail/Detail?PublicationID=P20180625076", "https://ntsu.idm.oclc.org/login?url=https://www.airitibooks.com/Detail/Detail?PublicationID=P20180625076")</f>
        <v>https://ntsu.idm.oclc.org/login?url=https://www.airitibooks.com/Detail/Detail?PublicationID=P20180625076</v>
      </c>
    </row>
    <row r="3894" spans="1:11" ht="51" x14ac:dyDescent="0.4">
      <c r="A3894" s="10" t="s">
        <v>9478</v>
      </c>
      <c r="B3894" s="10" t="s">
        <v>9479</v>
      </c>
      <c r="C3894" s="10" t="s">
        <v>5050</v>
      </c>
      <c r="D3894" s="10" t="s">
        <v>9480</v>
      </c>
      <c r="E3894" s="10" t="s">
        <v>30</v>
      </c>
      <c r="F3894" s="10" t="s">
        <v>250</v>
      </c>
      <c r="G3894" s="10" t="s">
        <v>23</v>
      </c>
      <c r="H3894" s="7" t="s">
        <v>24</v>
      </c>
      <c r="I3894" s="7" t="s">
        <v>25</v>
      </c>
      <c r="J3894" s="13" t="str">
        <f>HYPERLINK("https://www.airitibooks.com/Detail/Detail?PublicationID=P20180627010", "https://www.airitibooks.com/Detail/Detail?PublicationID=P20180627010")</f>
        <v>https://www.airitibooks.com/Detail/Detail?PublicationID=P20180627010</v>
      </c>
      <c r="K3894" s="13" t="str">
        <f>HYPERLINK("https://ntsu.idm.oclc.org/login?url=https://www.airitibooks.com/Detail/Detail?PublicationID=P20180627010", "https://ntsu.idm.oclc.org/login?url=https://www.airitibooks.com/Detail/Detail?PublicationID=P20180627010")</f>
        <v>https://ntsu.idm.oclc.org/login?url=https://www.airitibooks.com/Detail/Detail?PublicationID=P20180627010</v>
      </c>
    </row>
    <row r="3895" spans="1:11" ht="51" x14ac:dyDescent="0.4">
      <c r="A3895" s="10" t="s">
        <v>9481</v>
      </c>
      <c r="B3895" s="10" t="s">
        <v>9482</v>
      </c>
      <c r="C3895" s="10" t="s">
        <v>5050</v>
      </c>
      <c r="D3895" s="10" t="s">
        <v>9483</v>
      </c>
      <c r="E3895" s="10" t="s">
        <v>30</v>
      </c>
      <c r="F3895" s="10" t="s">
        <v>762</v>
      </c>
      <c r="G3895" s="10" t="s">
        <v>23</v>
      </c>
      <c r="H3895" s="7" t="s">
        <v>24</v>
      </c>
      <c r="I3895" s="7" t="s">
        <v>25</v>
      </c>
      <c r="J3895" s="13" t="str">
        <f>HYPERLINK("https://www.airitibooks.com/Detail/Detail?PublicationID=P20180627012", "https://www.airitibooks.com/Detail/Detail?PublicationID=P20180627012")</f>
        <v>https://www.airitibooks.com/Detail/Detail?PublicationID=P20180627012</v>
      </c>
      <c r="K3895" s="13" t="str">
        <f>HYPERLINK("https://ntsu.idm.oclc.org/login?url=https://www.airitibooks.com/Detail/Detail?PublicationID=P20180627012", "https://ntsu.idm.oclc.org/login?url=https://www.airitibooks.com/Detail/Detail?PublicationID=P20180627012")</f>
        <v>https://ntsu.idm.oclc.org/login?url=https://www.airitibooks.com/Detail/Detail?PublicationID=P20180627012</v>
      </c>
    </row>
    <row r="3896" spans="1:11" ht="51" x14ac:dyDescent="0.4">
      <c r="A3896" s="10" t="s">
        <v>9484</v>
      </c>
      <c r="B3896" s="10" t="s">
        <v>9485</v>
      </c>
      <c r="C3896" s="10" t="s">
        <v>5050</v>
      </c>
      <c r="D3896" s="10" t="s">
        <v>9486</v>
      </c>
      <c r="E3896" s="10" t="s">
        <v>30</v>
      </c>
      <c r="F3896" s="10" t="s">
        <v>250</v>
      </c>
      <c r="G3896" s="10" t="s">
        <v>23</v>
      </c>
      <c r="H3896" s="7" t="s">
        <v>24</v>
      </c>
      <c r="I3896" s="7" t="s">
        <v>25</v>
      </c>
      <c r="J3896" s="13" t="str">
        <f>HYPERLINK("https://www.airitibooks.com/Detail/Detail?PublicationID=P20180627013", "https://www.airitibooks.com/Detail/Detail?PublicationID=P20180627013")</f>
        <v>https://www.airitibooks.com/Detail/Detail?PublicationID=P20180627013</v>
      </c>
      <c r="K3896" s="13" t="str">
        <f>HYPERLINK("https://ntsu.idm.oclc.org/login?url=https://www.airitibooks.com/Detail/Detail?PublicationID=P20180627013", "https://ntsu.idm.oclc.org/login?url=https://www.airitibooks.com/Detail/Detail?PublicationID=P20180627013")</f>
        <v>https://ntsu.idm.oclc.org/login?url=https://www.airitibooks.com/Detail/Detail?PublicationID=P20180627013</v>
      </c>
    </row>
    <row r="3897" spans="1:11" ht="51" x14ac:dyDescent="0.4">
      <c r="A3897" s="10" t="s">
        <v>9492</v>
      </c>
      <c r="B3897" s="10" t="s">
        <v>9493</v>
      </c>
      <c r="C3897" s="10" t="s">
        <v>5050</v>
      </c>
      <c r="D3897" s="10" t="s">
        <v>9494</v>
      </c>
      <c r="E3897" s="10" t="s">
        <v>30</v>
      </c>
      <c r="F3897" s="10" t="s">
        <v>565</v>
      </c>
      <c r="G3897" s="10" t="s">
        <v>23</v>
      </c>
      <c r="H3897" s="7" t="s">
        <v>24</v>
      </c>
      <c r="I3897" s="7" t="s">
        <v>25</v>
      </c>
      <c r="J3897" s="13" t="str">
        <f>HYPERLINK("https://www.airitibooks.com/Detail/Detail?PublicationID=P20180627026", "https://www.airitibooks.com/Detail/Detail?PublicationID=P20180627026")</f>
        <v>https://www.airitibooks.com/Detail/Detail?PublicationID=P20180627026</v>
      </c>
      <c r="K3897" s="13" t="str">
        <f>HYPERLINK("https://ntsu.idm.oclc.org/login?url=https://www.airitibooks.com/Detail/Detail?PublicationID=P20180627026", "https://ntsu.idm.oclc.org/login?url=https://www.airitibooks.com/Detail/Detail?PublicationID=P20180627026")</f>
        <v>https://ntsu.idm.oclc.org/login?url=https://www.airitibooks.com/Detail/Detail?PublicationID=P20180627026</v>
      </c>
    </row>
    <row r="3898" spans="1:11" ht="51" x14ac:dyDescent="0.4">
      <c r="A3898" s="10" t="s">
        <v>9495</v>
      </c>
      <c r="B3898" s="10" t="s">
        <v>9496</v>
      </c>
      <c r="C3898" s="10" t="s">
        <v>5050</v>
      </c>
      <c r="D3898" s="10" t="s">
        <v>9497</v>
      </c>
      <c r="E3898" s="10" t="s">
        <v>30</v>
      </c>
      <c r="F3898" s="10" t="s">
        <v>9498</v>
      </c>
      <c r="G3898" s="10" t="s">
        <v>23</v>
      </c>
      <c r="H3898" s="7" t="s">
        <v>24</v>
      </c>
      <c r="I3898" s="7" t="s">
        <v>25</v>
      </c>
      <c r="J3898" s="13" t="str">
        <f>HYPERLINK("https://www.airitibooks.com/Detail/Detail?PublicationID=P20180627027", "https://www.airitibooks.com/Detail/Detail?PublicationID=P20180627027")</f>
        <v>https://www.airitibooks.com/Detail/Detail?PublicationID=P20180627027</v>
      </c>
      <c r="K3898" s="13" t="str">
        <f>HYPERLINK("https://ntsu.idm.oclc.org/login?url=https://www.airitibooks.com/Detail/Detail?PublicationID=P20180627027", "https://ntsu.idm.oclc.org/login?url=https://www.airitibooks.com/Detail/Detail?PublicationID=P20180627027")</f>
        <v>https://ntsu.idm.oclc.org/login?url=https://www.airitibooks.com/Detail/Detail?PublicationID=P20180627027</v>
      </c>
    </row>
    <row r="3899" spans="1:11" ht="51" x14ac:dyDescent="0.4">
      <c r="A3899" s="10" t="s">
        <v>9571</v>
      </c>
      <c r="B3899" s="10" t="s">
        <v>9572</v>
      </c>
      <c r="C3899" s="10" t="s">
        <v>5050</v>
      </c>
      <c r="D3899" s="10" t="s">
        <v>9573</v>
      </c>
      <c r="E3899" s="10" t="s">
        <v>30</v>
      </c>
      <c r="F3899" s="10" t="s">
        <v>565</v>
      </c>
      <c r="G3899" s="10" t="s">
        <v>23</v>
      </c>
      <c r="H3899" s="7" t="s">
        <v>24</v>
      </c>
      <c r="I3899" s="7" t="s">
        <v>25</v>
      </c>
      <c r="J3899" s="13" t="str">
        <f>HYPERLINK("https://www.airitibooks.com/Detail/Detail?PublicationID=P20180807009", "https://www.airitibooks.com/Detail/Detail?PublicationID=P20180807009")</f>
        <v>https://www.airitibooks.com/Detail/Detail?PublicationID=P20180807009</v>
      </c>
      <c r="K3899" s="13" t="str">
        <f>HYPERLINK("https://ntsu.idm.oclc.org/login?url=https://www.airitibooks.com/Detail/Detail?PublicationID=P20180807009", "https://ntsu.idm.oclc.org/login?url=https://www.airitibooks.com/Detail/Detail?PublicationID=P20180807009")</f>
        <v>https://ntsu.idm.oclc.org/login?url=https://www.airitibooks.com/Detail/Detail?PublicationID=P20180807009</v>
      </c>
    </row>
    <row r="3900" spans="1:11" ht="51" x14ac:dyDescent="0.4">
      <c r="A3900" s="10" t="s">
        <v>9642</v>
      </c>
      <c r="B3900" s="10" t="s">
        <v>9643</v>
      </c>
      <c r="C3900" s="10" t="s">
        <v>9644</v>
      </c>
      <c r="D3900" s="10" t="s">
        <v>9645</v>
      </c>
      <c r="E3900" s="10" t="s">
        <v>30</v>
      </c>
      <c r="F3900" s="10" t="s">
        <v>9646</v>
      </c>
      <c r="G3900" s="10" t="s">
        <v>23</v>
      </c>
      <c r="H3900" s="7" t="s">
        <v>24</v>
      </c>
      <c r="I3900" s="7" t="s">
        <v>25</v>
      </c>
      <c r="J3900" s="13" t="str">
        <f>HYPERLINK("https://www.airitibooks.com/Detail/Detail?PublicationID=P20180813076", "https://www.airitibooks.com/Detail/Detail?PublicationID=P20180813076")</f>
        <v>https://www.airitibooks.com/Detail/Detail?PublicationID=P20180813076</v>
      </c>
      <c r="K3900" s="13" t="str">
        <f>HYPERLINK("https://ntsu.idm.oclc.org/login?url=https://www.airitibooks.com/Detail/Detail?PublicationID=P20180813076", "https://ntsu.idm.oclc.org/login?url=https://www.airitibooks.com/Detail/Detail?PublicationID=P20180813076")</f>
        <v>https://ntsu.idm.oclc.org/login?url=https://www.airitibooks.com/Detail/Detail?PublicationID=P20180813076</v>
      </c>
    </row>
    <row r="3901" spans="1:11" ht="51" x14ac:dyDescent="0.4">
      <c r="A3901" s="10" t="s">
        <v>9649</v>
      </c>
      <c r="B3901" s="10" t="s">
        <v>9650</v>
      </c>
      <c r="C3901" s="10" t="s">
        <v>9644</v>
      </c>
      <c r="D3901" s="10" t="s">
        <v>9651</v>
      </c>
      <c r="E3901" s="10" t="s">
        <v>30</v>
      </c>
      <c r="F3901" s="10" t="s">
        <v>9646</v>
      </c>
      <c r="G3901" s="10" t="s">
        <v>23</v>
      </c>
      <c r="H3901" s="7" t="s">
        <v>24</v>
      </c>
      <c r="I3901" s="7" t="s">
        <v>25</v>
      </c>
      <c r="J3901" s="13" t="str">
        <f>HYPERLINK("https://www.airitibooks.com/Detail/Detail?PublicationID=P20180814014", "https://www.airitibooks.com/Detail/Detail?PublicationID=P20180814014")</f>
        <v>https://www.airitibooks.com/Detail/Detail?PublicationID=P20180814014</v>
      </c>
      <c r="K3901" s="13" t="str">
        <f>HYPERLINK("https://ntsu.idm.oclc.org/login?url=https://www.airitibooks.com/Detail/Detail?PublicationID=P20180814014", "https://ntsu.idm.oclc.org/login?url=https://www.airitibooks.com/Detail/Detail?PublicationID=P20180814014")</f>
        <v>https://ntsu.idm.oclc.org/login?url=https://www.airitibooks.com/Detail/Detail?PublicationID=P20180814014</v>
      </c>
    </row>
    <row r="3902" spans="1:11" ht="51" x14ac:dyDescent="0.4">
      <c r="A3902" s="10" t="s">
        <v>9868</v>
      </c>
      <c r="B3902" s="10" t="s">
        <v>9869</v>
      </c>
      <c r="C3902" s="10" t="s">
        <v>240</v>
      </c>
      <c r="D3902" s="10" t="s">
        <v>9870</v>
      </c>
      <c r="E3902" s="10" t="s">
        <v>30</v>
      </c>
      <c r="F3902" s="10" t="s">
        <v>250</v>
      </c>
      <c r="G3902" s="10" t="s">
        <v>23</v>
      </c>
      <c r="H3902" s="7" t="s">
        <v>24</v>
      </c>
      <c r="I3902" s="7" t="s">
        <v>25</v>
      </c>
      <c r="J3902" s="13" t="str">
        <f>HYPERLINK("https://www.airitibooks.com/Detail/Detail?PublicationID=P20181012011", "https://www.airitibooks.com/Detail/Detail?PublicationID=P20181012011")</f>
        <v>https://www.airitibooks.com/Detail/Detail?PublicationID=P20181012011</v>
      </c>
      <c r="K3902" s="13" t="str">
        <f>HYPERLINK("https://ntsu.idm.oclc.org/login?url=https://www.airitibooks.com/Detail/Detail?PublicationID=P20181012011", "https://ntsu.idm.oclc.org/login?url=https://www.airitibooks.com/Detail/Detail?PublicationID=P20181012011")</f>
        <v>https://ntsu.idm.oclc.org/login?url=https://www.airitibooks.com/Detail/Detail?PublicationID=P20181012011</v>
      </c>
    </row>
    <row r="3903" spans="1:11" ht="51" x14ac:dyDescent="0.4">
      <c r="A3903" s="10" t="s">
        <v>9874</v>
      </c>
      <c r="B3903" s="10" t="s">
        <v>9875</v>
      </c>
      <c r="C3903" s="10" t="s">
        <v>240</v>
      </c>
      <c r="D3903" s="10" t="s">
        <v>9876</v>
      </c>
      <c r="E3903" s="10" t="s">
        <v>30</v>
      </c>
      <c r="F3903" s="10" t="s">
        <v>3719</v>
      </c>
      <c r="G3903" s="10" t="s">
        <v>23</v>
      </c>
      <c r="H3903" s="7" t="s">
        <v>24</v>
      </c>
      <c r="I3903" s="7" t="s">
        <v>25</v>
      </c>
      <c r="J3903" s="13" t="str">
        <f>HYPERLINK("https://www.airitibooks.com/Detail/Detail?PublicationID=P20181012024", "https://www.airitibooks.com/Detail/Detail?PublicationID=P20181012024")</f>
        <v>https://www.airitibooks.com/Detail/Detail?PublicationID=P20181012024</v>
      </c>
      <c r="K3903" s="13" t="str">
        <f>HYPERLINK("https://ntsu.idm.oclc.org/login?url=https://www.airitibooks.com/Detail/Detail?PublicationID=P20181012024", "https://ntsu.idm.oclc.org/login?url=https://www.airitibooks.com/Detail/Detail?PublicationID=P20181012024")</f>
        <v>https://ntsu.idm.oclc.org/login?url=https://www.airitibooks.com/Detail/Detail?PublicationID=P20181012024</v>
      </c>
    </row>
    <row r="3904" spans="1:11" ht="51" x14ac:dyDescent="0.4">
      <c r="A3904" s="10" t="s">
        <v>9877</v>
      </c>
      <c r="B3904" s="10" t="s">
        <v>9878</v>
      </c>
      <c r="C3904" s="10" t="s">
        <v>240</v>
      </c>
      <c r="D3904" s="10" t="s">
        <v>9876</v>
      </c>
      <c r="E3904" s="10" t="s">
        <v>30</v>
      </c>
      <c r="F3904" s="10" t="s">
        <v>3719</v>
      </c>
      <c r="G3904" s="10" t="s">
        <v>23</v>
      </c>
      <c r="H3904" s="7" t="s">
        <v>24</v>
      </c>
      <c r="I3904" s="7" t="s">
        <v>25</v>
      </c>
      <c r="J3904" s="13" t="str">
        <f>HYPERLINK("https://www.airitibooks.com/Detail/Detail?PublicationID=P20181012025", "https://www.airitibooks.com/Detail/Detail?PublicationID=P20181012025")</f>
        <v>https://www.airitibooks.com/Detail/Detail?PublicationID=P20181012025</v>
      </c>
      <c r="K3904" s="13" t="str">
        <f>HYPERLINK("https://ntsu.idm.oclc.org/login?url=https://www.airitibooks.com/Detail/Detail?PublicationID=P20181012025", "https://ntsu.idm.oclc.org/login?url=https://www.airitibooks.com/Detail/Detail?PublicationID=P20181012025")</f>
        <v>https://ntsu.idm.oclc.org/login?url=https://www.airitibooks.com/Detail/Detail?PublicationID=P20181012025</v>
      </c>
    </row>
    <row r="3905" spans="1:11" ht="51" x14ac:dyDescent="0.4">
      <c r="A3905" s="10" t="s">
        <v>9879</v>
      </c>
      <c r="B3905" s="10" t="s">
        <v>9880</v>
      </c>
      <c r="C3905" s="10" t="s">
        <v>240</v>
      </c>
      <c r="D3905" s="10" t="s">
        <v>9876</v>
      </c>
      <c r="E3905" s="10" t="s">
        <v>30</v>
      </c>
      <c r="F3905" s="10" t="s">
        <v>3719</v>
      </c>
      <c r="G3905" s="10" t="s">
        <v>23</v>
      </c>
      <c r="H3905" s="7" t="s">
        <v>24</v>
      </c>
      <c r="I3905" s="7" t="s">
        <v>25</v>
      </c>
      <c r="J3905" s="13" t="str">
        <f>HYPERLINK("https://www.airitibooks.com/Detail/Detail?PublicationID=P20181012026", "https://www.airitibooks.com/Detail/Detail?PublicationID=P20181012026")</f>
        <v>https://www.airitibooks.com/Detail/Detail?PublicationID=P20181012026</v>
      </c>
      <c r="K3905" s="13" t="str">
        <f>HYPERLINK("https://ntsu.idm.oclc.org/login?url=https://www.airitibooks.com/Detail/Detail?PublicationID=P20181012026", "https://ntsu.idm.oclc.org/login?url=https://www.airitibooks.com/Detail/Detail?PublicationID=P20181012026")</f>
        <v>https://ntsu.idm.oclc.org/login?url=https://www.airitibooks.com/Detail/Detail?PublicationID=P20181012026</v>
      </c>
    </row>
    <row r="3906" spans="1:11" ht="85" x14ac:dyDescent="0.4">
      <c r="A3906" s="10" t="s">
        <v>10346</v>
      </c>
      <c r="B3906" s="10" t="s">
        <v>10347</v>
      </c>
      <c r="C3906" s="10" t="s">
        <v>5901</v>
      </c>
      <c r="D3906" s="10" t="s">
        <v>10348</v>
      </c>
      <c r="E3906" s="10" t="s">
        <v>30</v>
      </c>
      <c r="F3906" s="10" t="s">
        <v>10349</v>
      </c>
      <c r="G3906" s="10" t="s">
        <v>23</v>
      </c>
      <c r="H3906" s="7" t="s">
        <v>24</v>
      </c>
      <c r="I3906" s="7" t="s">
        <v>25</v>
      </c>
      <c r="J3906" s="13" t="str">
        <f>HYPERLINK("https://www.airitibooks.com/Detail/Detail?PublicationID=P20181214023", "https://www.airitibooks.com/Detail/Detail?PublicationID=P20181214023")</f>
        <v>https://www.airitibooks.com/Detail/Detail?PublicationID=P20181214023</v>
      </c>
      <c r="K3906" s="13" t="str">
        <f>HYPERLINK("https://ntsu.idm.oclc.org/login?url=https://www.airitibooks.com/Detail/Detail?PublicationID=P20181214023", "https://ntsu.idm.oclc.org/login?url=https://www.airitibooks.com/Detail/Detail?PublicationID=P20181214023")</f>
        <v>https://ntsu.idm.oclc.org/login?url=https://www.airitibooks.com/Detail/Detail?PublicationID=P20181214023</v>
      </c>
    </row>
    <row r="3907" spans="1:11" ht="51" x14ac:dyDescent="0.4">
      <c r="A3907" s="10" t="s">
        <v>10848</v>
      </c>
      <c r="B3907" s="10" t="s">
        <v>10849</v>
      </c>
      <c r="C3907" s="10" t="s">
        <v>457</v>
      </c>
      <c r="D3907" s="10" t="s">
        <v>10850</v>
      </c>
      <c r="E3907" s="10" t="s">
        <v>30</v>
      </c>
      <c r="F3907" s="10" t="s">
        <v>793</v>
      </c>
      <c r="G3907" s="10" t="s">
        <v>23</v>
      </c>
      <c r="H3907" s="7" t="s">
        <v>24</v>
      </c>
      <c r="I3907" s="7" t="s">
        <v>25</v>
      </c>
      <c r="J3907" s="13" t="str">
        <f>HYPERLINK("https://www.airitibooks.com/Detail/Detail?PublicationID=P20190221001", "https://www.airitibooks.com/Detail/Detail?PublicationID=P20190221001")</f>
        <v>https://www.airitibooks.com/Detail/Detail?PublicationID=P20190221001</v>
      </c>
      <c r="K3907" s="13" t="str">
        <f>HYPERLINK("https://ntsu.idm.oclc.org/login?url=https://www.airitibooks.com/Detail/Detail?PublicationID=P20190221001", "https://ntsu.idm.oclc.org/login?url=https://www.airitibooks.com/Detail/Detail?PublicationID=P20190221001")</f>
        <v>https://ntsu.idm.oclc.org/login?url=https://www.airitibooks.com/Detail/Detail?PublicationID=P20190221001</v>
      </c>
    </row>
    <row r="3908" spans="1:11" ht="51" x14ac:dyDescent="0.4">
      <c r="A3908" s="10" t="s">
        <v>26</v>
      </c>
      <c r="B3908" s="10" t="s">
        <v>27</v>
      </c>
      <c r="C3908" s="10" t="s">
        <v>28</v>
      </c>
      <c r="D3908" s="10" t="s">
        <v>29</v>
      </c>
      <c r="E3908" s="10" t="s">
        <v>30</v>
      </c>
      <c r="F3908" s="10" t="s">
        <v>31</v>
      </c>
      <c r="G3908" s="10" t="s">
        <v>32</v>
      </c>
      <c r="H3908" s="7" t="s">
        <v>24</v>
      </c>
      <c r="I3908" s="7" t="s">
        <v>25</v>
      </c>
      <c r="J3908" s="13" t="str">
        <f>HYPERLINK("https://www.airitibooks.com/Detail/Detail?PublicationID=P20090525238", "https://www.airitibooks.com/Detail/Detail?PublicationID=P20090525238")</f>
        <v>https://www.airitibooks.com/Detail/Detail?PublicationID=P20090525238</v>
      </c>
      <c r="K3908" s="13" t="str">
        <f>HYPERLINK("https://ntsu.idm.oclc.org/login?url=https://www.airitibooks.com/Detail/Detail?PublicationID=P20090525238", "https://ntsu.idm.oclc.org/login?url=https://www.airitibooks.com/Detail/Detail?PublicationID=P20090525238")</f>
        <v>https://ntsu.idm.oclc.org/login?url=https://www.airitibooks.com/Detail/Detail?PublicationID=P20090525238</v>
      </c>
    </row>
    <row r="3909" spans="1:11" ht="51" x14ac:dyDescent="0.4">
      <c r="A3909" s="10" t="s">
        <v>38</v>
      </c>
      <c r="B3909" s="10" t="s">
        <v>39</v>
      </c>
      <c r="C3909" s="10" t="s">
        <v>28</v>
      </c>
      <c r="D3909" s="10" t="s">
        <v>40</v>
      </c>
      <c r="E3909" s="10" t="s">
        <v>30</v>
      </c>
      <c r="F3909" s="10" t="s">
        <v>42</v>
      </c>
      <c r="G3909" s="10" t="s">
        <v>32</v>
      </c>
      <c r="H3909" s="7" t="s">
        <v>24</v>
      </c>
      <c r="I3909" s="7" t="s">
        <v>25</v>
      </c>
      <c r="J3909" s="13" t="str">
        <f>HYPERLINK("https://www.airitibooks.com/Detail/Detail?PublicationID=P20090620372", "https://www.airitibooks.com/Detail/Detail?PublicationID=P20090620372")</f>
        <v>https://www.airitibooks.com/Detail/Detail?PublicationID=P20090620372</v>
      </c>
      <c r="K3909" s="13" t="str">
        <f>HYPERLINK("https://ntsu.idm.oclc.org/login?url=https://www.airitibooks.com/Detail/Detail?PublicationID=P20090620372", "https://ntsu.idm.oclc.org/login?url=https://www.airitibooks.com/Detail/Detail?PublicationID=P20090620372")</f>
        <v>https://ntsu.idm.oclc.org/login?url=https://www.airitibooks.com/Detail/Detail?PublicationID=P20090620372</v>
      </c>
    </row>
    <row r="3910" spans="1:11" ht="51" x14ac:dyDescent="0.4">
      <c r="A3910" s="10" t="s">
        <v>43</v>
      </c>
      <c r="B3910" s="10" t="s">
        <v>44</v>
      </c>
      <c r="C3910" s="10" t="s">
        <v>28</v>
      </c>
      <c r="D3910" s="10" t="s">
        <v>45</v>
      </c>
      <c r="E3910" s="10" t="s">
        <v>30</v>
      </c>
      <c r="F3910" s="10" t="s">
        <v>47</v>
      </c>
      <c r="G3910" s="10" t="s">
        <v>32</v>
      </c>
      <c r="H3910" s="7" t="s">
        <v>24</v>
      </c>
      <c r="I3910" s="7" t="s">
        <v>25</v>
      </c>
      <c r="J3910" s="13" t="str">
        <f>HYPERLINK("https://www.airitibooks.com/Detail/Detail?PublicationID=P20090620375", "https://www.airitibooks.com/Detail/Detail?PublicationID=P20090620375")</f>
        <v>https://www.airitibooks.com/Detail/Detail?PublicationID=P20090620375</v>
      </c>
      <c r="K3910" s="13" t="str">
        <f>HYPERLINK("https://ntsu.idm.oclc.org/login?url=https://www.airitibooks.com/Detail/Detail?PublicationID=P20090620375", "https://ntsu.idm.oclc.org/login?url=https://www.airitibooks.com/Detail/Detail?PublicationID=P20090620375")</f>
        <v>https://ntsu.idm.oclc.org/login?url=https://www.airitibooks.com/Detail/Detail?PublicationID=P20090620375</v>
      </c>
    </row>
    <row r="3911" spans="1:11" ht="51" x14ac:dyDescent="0.4">
      <c r="A3911" s="10" t="s">
        <v>48</v>
      </c>
      <c r="B3911" s="10" t="s">
        <v>49</v>
      </c>
      <c r="C3911" s="10" t="s">
        <v>28</v>
      </c>
      <c r="D3911" s="10" t="s">
        <v>50</v>
      </c>
      <c r="E3911" s="10" t="s">
        <v>30</v>
      </c>
      <c r="F3911" s="10" t="s">
        <v>47</v>
      </c>
      <c r="G3911" s="10" t="s">
        <v>32</v>
      </c>
      <c r="H3911" s="7" t="s">
        <v>24</v>
      </c>
      <c r="I3911" s="7" t="s">
        <v>25</v>
      </c>
      <c r="J3911" s="13" t="str">
        <f>HYPERLINK("https://www.airitibooks.com/Detail/Detail?PublicationID=P20090620379", "https://www.airitibooks.com/Detail/Detail?PublicationID=P20090620379")</f>
        <v>https://www.airitibooks.com/Detail/Detail?PublicationID=P20090620379</v>
      </c>
      <c r="K3911" s="13" t="str">
        <f>HYPERLINK("https://ntsu.idm.oclc.org/login?url=https://www.airitibooks.com/Detail/Detail?PublicationID=P20090620379", "https://ntsu.idm.oclc.org/login?url=https://www.airitibooks.com/Detail/Detail?PublicationID=P20090620379")</f>
        <v>https://ntsu.idm.oclc.org/login?url=https://www.airitibooks.com/Detail/Detail?PublicationID=P20090620379</v>
      </c>
    </row>
    <row r="3912" spans="1:11" ht="51" x14ac:dyDescent="0.4">
      <c r="A3912" s="10" t="s">
        <v>56</v>
      </c>
      <c r="B3912" s="10" t="s">
        <v>57</v>
      </c>
      <c r="C3912" s="10" t="s">
        <v>28</v>
      </c>
      <c r="D3912" s="10" t="s">
        <v>58</v>
      </c>
      <c r="E3912" s="10" t="s">
        <v>30</v>
      </c>
      <c r="F3912" s="10" t="s">
        <v>60</v>
      </c>
      <c r="G3912" s="10" t="s">
        <v>32</v>
      </c>
      <c r="H3912" s="7" t="s">
        <v>24</v>
      </c>
      <c r="I3912" s="7" t="s">
        <v>25</v>
      </c>
      <c r="J3912" s="13" t="str">
        <f>HYPERLINK("https://www.airitibooks.com/Detail/Detail?PublicationID=P20090620382", "https://www.airitibooks.com/Detail/Detail?PublicationID=P20090620382")</f>
        <v>https://www.airitibooks.com/Detail/Detail?PublicationID=P20090620382</v>
      </c>
      <c r="K3912" s="13" t="str">
        <f>HYPERLINK("https://ntsu.idm.oclc.org/login?url=https://www.airitibooks.com/Detail/Detail?PublicationID=P20090620382", "https://ntsu.idm.oclc.org/login?url=https://www.airitibooks.com/Detail/Detail?PublicationID=P20090620382")</f>
        <v>https://ntsu.idm.oclc.org/login?url=https://www.airitibooks.com/Detail/Detail?PublicationID=P20090620382</v>
      </c>
    </row>
    <row r="3913" spans="1:11" ht="51" x14ac:dyDescent="0.4">
      <c r="A3913" s="10" t="s">
        <v>94</v>
      </c>
      <c r="B3913" s="10" t="s">
        <v>95</v>
      </c>
      <c r="C3913" s="10" t="s">
        <v>28</v>
      </c>
      <c r="D3913" s="10" t="s">
        <v>96</v>
      </c>
      <c r="E3913" s="10" t="s">
        <v>30</v>
      </c>
      <c r="F3913" s="10" t="s">
        <v>98</v>
      </c>
      <c r="G3913" s="10" t="s">
        <v>32</v>
      </c>
      <c r="H3913" s="7" t="s">
        <v>24</v>
      </c>
      <c r="I3913" s="7" t="s">
        <v>25</v>
      </c>
      <c r="J3913" s="13" t="str">
        <f>HYPERLINK("https://www.airitibooks.com/Detail/Detail?PublicationID=P200911261938", "https://www.airitibooks.com/Detail/Detail?PublicationID=P200911261938")</f>
        <v>https://www.airitibooks.com/Detail/Detail?PublicationID=P200911261938</v>
      </c>
      <c r="K3913" s="13" t="str">
        <f>HYPERLINK("https://ntsu.idm.oclc.org/login?url=https://www.airitibooks.com/Detail/Detail?PublicationID=P200911261938", "https://ntsu.idm.oclc.org/login?url=https://www.airitibooks.com/Detail/Detail?PublicationID=P200911261938")</f>
        <v>https://ntsu.idm.oclc.org/login?url=https://www.airitibooks.com/Detail/Detail?PublicationID=P200911261938</v>
      </c>
    </row>
    <row r="3914" spans="1:11" ht="51" x14ac:dyDescent="0.4">
      <c r="A3914" s="10" t="s">
        <v>251</v>
      </c>
      <c r="B3914" s="10" t="s">
        <v>252</v>
      </c>
      <c r="C3914" s="10" t="s">
        <v>28</v>
      </c>
      <c r="D3914" s="10" t="s">
        <v>253</v>
      </c>
      <c r="E3914" s="10" t="s">
        <v>30</v>
      </c>
      <c r="F3914" s="10" t="s">
        <v>254</v>
      </c>
      <c r="G3914" s="10" t="s">
        <v>32</v>
      </c>
      <c r="H3914" s="7" t="s">
        <v>24</v>
      </c>
      <c r="I3914" s="7" t="s">
        <v>25</v>
      </c>
      <c r="J3914" s="13" t="str">
        <f>HYPERLINK("https://www.airitibooks.com/Detail/Detail?PublicationID=P20110929081", "https://www.airitibooks.com/Detail/Detail?PublicationID=P20110929081")</f>
        <v>https://www.airitibooks.com/Detail/Detail?PublicationID=P20110929081</v>
      </c>
      <c r="K3914" s="13" t="str">
        <f>HYPERLINK("https://ntsu.idm.oclc.org/login?url=https://www.airitibooks.com/Detail/Detail?PublicationID=P20110929081", "https://ntsu.idm.oclc.org/login?url=https://www.airitibooks.com/Detail/Detail?PublicationID=P20110929081")</f>
        <v>https://ntsu.idm.oclc.org/login?url=https://www.airitibooks.com/Detail/Detail?PublicationID=P20110929081</v>
      </c>
    </row>
    <row r="3915" spans="1:11" ht="51" x14ac:dyDescent="0.4">
      <c r="A3915" s="10" t="s">
        <v>1463</v>
      </c>
      <c r="B3915" s="10" t="s">
        <v>1464</v>
      </c>
      <c r="C3915" s="10" t="s">
        <v>1271</v>
      </c>
      <c r="D3915" s="10" t="s">
        <v>1465</v>
      </c>
      <c r="E3915" s="10" t="s">
        <v>30</v>
      </c>
      <c r="F3915" s="10" t="s">
        <v>1466</v>
      </c>
      <c r="G3915" s="10" t="s">
        <v>32</v>
      </c>
      <c r="H3915" s="7" t="s">
        <v>1467</v>
      </c>
      <c r="I3915" s="7" t="s">
        <v>25</v>
      </c>
      <c r="J3915" s="13" t="str">
        <f>HYPERLINK("https://www.airitibooks.com/Detail/Detail?PublicationID=P20140912039", "https://www.airitibooks.com/Detail/Detail?PublicationID=P20140912039")</f>
        <v>https://www.airitibooks.com/Detail/Detail?PublicationID=P20140912039</v>
      </c>
      <c r="K3915" s="13" t="str">
        <f>HYPERLINK("https://ntsu.idm.oclc.org/login?url=https://www.airitibooks.com/Detail/Detail?PublicationID=P20140912039", "https://ntsu.idm.oclc.org/login?url=https://www.airitibooks.com/Detail/Detail?PublicationID=P20140912039")</f>
        <v>https://ntsu.idm.oclc.org/login?url=https://www.airitibooks.com/Detail/Detail?PublicationID=P20140912039</v>
      </c>
    </row>
    <row r="3916" spans="1:11" ht="51" x14ac:dyDescent="0.4">
      <c r="A3916" s="10" t="s">
        <v>1958</v>
      </c>
      <c r="B3916" s="10" t="s">
        <v>1959</v>
      </c>
      <c r="C3916" s="10" t="s">
        <v>804</v>
      </c>
      <c r="D3916" s="10" t="s">
        <v>1960</v>
      </c>
      <c r="E3916" s="10" t="s">
        <v>30</v>
      </c>
      <c r="F3916" s="10" t="s">
        <v>181</v>
      </c>
      <c r="G3916" s="10" t="s">
        <v>32</v>
      </c>
      <c r="H3916" s="7" t="s">
        <v>24</v>
      </c>
      <c r="I3916" s="7" t="s">
        <v>25</v>
      </c>
      <c r="J3916" s="13" t="str">
        <f>HYPERLINK("https://www.airitibooks.com/Detail/Detail?PublicationID=P20150206011", "https://www.airitibooks.com/Detail/Detail?PublicationID=P20150206011")</f>
        <v>https://www.airitibooks.com/Detail/Detail?PublicationID=P20150206011</v>
      </c>
      <c r="K3916" s="13" t="str">
        <f>HYPERLINK("https://ntsu.idm.oclc.org/login?url=https://www.airitibooks.com/Detail/Detail?PublicationID=P20150206011", "https://ntsu.idm.oclc.org/login?url=https://www.airitibooks.com/Detail/Detail?PublicationID=P20150206011")</f>
        <v>https://ntsu.idm.oclc.org/login?url=https://www.airitibooks.com/Detail/Detail?PublicationID=P20150206011</v>
      </c>
    </row>
    <row r="3917" spans="1:11" ht="85" x14ac:dyDescent="0.4">
      <c r="A3917" s="10" t="s">
        <v>2025</v>
      </c>
      <c r="B3917" s="10" t="s">
        <v>2026</v>
      </c>
      <c r="C3917" s="10" t="s">
        <v>292</v>
      </c>
      <c r="D3917" s="10" t="s">
        <v>2027</v>
      </c>
      <c r="E3917" s="10" t="s">
        <v>30</v>
      </c>
      <c r="F3917" s="10" t="s">
        <v>274</v>
      </c>
      <c r="G3917" s="10" t="s">
        <v>32</v>
      </c>
      <c r="H3917" s="7" t="s">
        <v>24</v>
      </c>
      <c r="I3917" s="7" t="s">
        <v>25</v>
      </c>
      <c r="J3917" s="13" t="str">
        <f>HYPERLINK("https://www.airitibooks.com/Detail/Detail?PublicationID=P20150303068", "https://www.airitibooks.com/Detail/Detail?PublicationID=P20150303068")</f>
        <v>https://www.airitibooks.com/Detail/Detail?PublicationID=P20150303068</v>
      </c>
      <c r="K3917" s="13" t="str">
        <f>HYPERLINK("https://ntsu.idm.oclc.org/login?url=https://www.airitibooks.com/Detail/Detail?PublicationID=P20150303068", "https://ntsu.idm.oclc.org/login?url=https://www.airitibooks.com/Detail/Detail?PublicationID=P20150303068")</f>
        <v>https://ntsu.idm.oclc.org/login?url=https://www.airitibooks.com/Detail/Detail?PublicationID=P20150303068</v>
      </c>
    </row>
    <row r="3918" spans="1:11" ht="51" x14ac:dyDescent="0.4">
      <c r="A3918" s="10" t="s">
        <v>2039</v>
      </c>
      <c r="B3918" s="10" t="s">
        <v>2040</v>
      </c>
      <c r="C3918" s="10" t="s">
        <v>838</v>
      </c>
      <c r="D3918" s="10" t="s">
        <v>2041</v>
      </c>
      <c r="E3918" s="10" t="s">
        <v>30</v>
      </c>
      <c r="F3918" s="10" t="s">
        <v>2042</v>
      </c>
      <c r="G3918" s="10" t="s">
        <v>32</v>
      </c>
      <c r="H3918" s="7" t="s">
        <v>24</v>
      </c>
      <c r="I3918" s="7" t="s">
        <v>25</v>
      </c>
      <c r="J3918" s="13" t="str">
        <f>HYPERLINK("https://www.airitibooks.com/Detail/Detail?PublicationID=P20150304016", "https://www.airitibooks.com/Detail/Detail?PublicationID=P20150304016")</f>
        <v>https://www.airitibooks.com/Detail/Detail?PublicationID=P20150304016</v>
      </c>
      <c r="K3918" s="13" t="str">
        <f>HYPERLINK("https://ntsu.idm.oclc.org/login?url=https://www.airitibooks.com/Detail/Detail?PublicationID=P20150304016", "https://ntsu.idm.oclc.org/login?url=https://www.airitibooks.com/Detail/Detail?PublicationID=P20150304016")</f>
        <v>https://ntsu.idm.oclc.org/login?url=https://www.airitibooks.com/Detail/Detail?PublicationID=P20150304016</v>
      </c>
    </row>
    <row r="3919" spans="1:11" ht="51" x14ac:dyDescent="0.4">
      <c r="A3919" s="10" t="s">
        <v>2043</v>
      </c>
      <c r="B3919" s="10" t="s">
        <v>2044</v>
      </c>
      <c r="C3919" s="10" t="s">
        <v>838</v>
      </c>
      <c r="D3919" s="10" t="s">
        <v>2045</v>
      </c>
      <c r="E3919" s="10" t="s">
        <v>30</v>
      </c>
      <c r="F3919" s="10" t="s">
        <v>2046</v>
      </c>
      <c r="G3919" s="10" t="s">
        <v>32</v>
      </c>
      <c r="H3919" s="7" t="s">
        <v>24</v>
      </c>
      <c r="I3919" s="7" t="s">
        <v>25</v>
      </c>
      <c r="J3919" s="13" t="str">
        <f>HYPERLINK("https://www.airitibooks.com/Detail/Detail?PublicationID=P20150304017", "https://www.airitibooks.com/Detail/Detail?PublicationID=P20150304017")</f>
        <v>https://www.airitibooks.com/Detail/Detail?PublicationID=P20150304017</v>
      </c>
      <c r="K3919" s="13" t="str">
        <f>HYPERLINK("https://ntsu.idm.oclc.org/login?url=https://www.airitibooks.com/Detail/Detail?PublicationID=P20150304017", "https://ntsu.idm.oclc.org/login?url=https://www.airitibooks.com/Detail/Detail?PublicationID=P20150304017")</f>
        <v>https://ntsu.idm.oclc.org/login?url=https://www.airitibooks.com/Detail/Detail?PublicationID=P20150304017</v>
      </c>
    </row>
    <row r="3920" spans="1:11" ht="51" x14ac:dyDescent="0.4">
      <c r="A3920" s="10" t="s">
        <v>2067</v>
      </c>
      <c r="B3920" s="10" t="s">
        <v>2068</v>
      </c>
      <c r="C3920" s="10" t="s">
        <v>297</v>
      </c>
      <c r="D3920" s="10" t="s">
        <v>2069</v>
      </c>
      <c r="E3920" s="10" t="s">
        <v>30</v>
      </c>
      <c r="F3920" s="10" t="s">
        <v>181</v>
      </c>
      <c r="G3920" s="10" t="s">
        <v>32</v>
      </c>
      <c r="H3920" s="7" t="s">
        <v>24</v>
      </c>
      <c r="I3920" s="7" t="s">
        <v>25</v>
      </c>
      <c r="J3920" s="13" t="str">
        <f>HYPERLINK("https://www.airitibooks.com/Detail/Detail?PublicationID=P20150309008", "https://www.airitibooks.com/Detail/Detail?PublicationID=P20150309008")</f>
        <v>https://www.airitibooks.com/Detail/Detail?PublicationID=P20150309008</v>
      </c>
      <c r="K3920" s="13" t="str">
        <f>HYPERLINK("https://ntsu.idm.oclc.org/login?url=https://www.airitibooks.com/Detail/Detail?PublicationID=P20150309008", "https://ntsu.idm.oclc.org/login?url=https://www.airitibooks.com/Detail/Detail?PublicationID=P20150309008")</f>
        <v>https://ntsu.idm.oclc.org/login?url=https://www.airitibooks.com/Detail/Detail?PublicationID=P20150309008</v>
      </c>
    </row>
    <row r="3921" spans="1:11" ht="51" x14ac:dyDescent="0.4">
      <c r="A3921" s="10" t="s">
        <v>2070</v>
      </c>
      <c r="B3921" s="10" t="s">
        <v>2071</v>
      </c>
      <c r="C3921" s="10" t="s">
        <v>297</v>
      </c>
      <c r="D3921" s="10" t="s">
        <v>1608</v>
      </c>
      <c r="E3921" s="10" t="s">
        <v>30</v>
      </c>
      <c r="F3921" s="10" t="s">
        <v>181</v>
      </c>
      <c r="G3921" s="10" t="s">
        <v>32</v>
      </c>
      <c r="H3921" s="7" t="s">
        <v>24</v>
      </c>
      <c r="I3921" s="7" t="s">
        <v>25</v>
      </c>
      <c r="J3921" s="13" t="str">
        <f>HYPERLINK("https://www.airitibooks.com/Detail/Detail?PublicationID=P20150309009", "https://www.airitibooks.com/Detail/Detail?PublicationID=P20150309009")</f>
        <v>https://www.airitibooks.com/Detail/Detail?PublicationID=P20150309009</v>
      </c>
      <c r="K3921" s="13" t="str">
        <f>HYPERLINK("https://ntsu.idm.oclc.org/login?url=https://www.airitibooks.com/Detail/Detail?PublicationID=P20150309009", "https://ntsu.idm.oclc.org/login?url=https://www.airitibooks.com/Detail/Detail?PublicationID=P20150309009")</f>
        <v>https://ntsu.idm.oclc.org/login?url=https://www.airitibooks.com/Detail/Detail?PublicationID=P20150309009</v>
      </c>
    </row>
    <row r="3922" spans="1:11" ht="51" x14ac:dyDescent="0.4">
      <c r="A3922" s="10" t="s">
        <v>2072</v>
      </c>
      <c r="B3922" s="10" t="s">
        <v>2073</v>
      </c>
      <c r="C3922" s="10" t="s">
        <v>297</v>
      </c>
      <c r="D3922" s="10" t="s">
        <v>2069</v>
      </c>
      <c r="E3922" s="10" t="s">
        <v>30</v>
      </c>
      <c r="F3922" s="10" t="s">
        <v>181</v>
      </c>
      <c r="G3922" s="10" t="s">
        <v>32</v>
      </c>
      <c r="H3922" s="7" t="s">
        <v>24</v>
      </c>
      <c r="I3922" s="7" t="s">
        <v>25</v>
      </c>
      <c r="J3922" s="13" t="str">
        <f>HYPERLINK("https://www.airitibooks.com/Detail/Detail?PublicationID=P20150309010", "https://www.airitibooks.com/Detail/Detail?PublicationID=P20150309010")</f>
        <v>https://www.airitibooks.com/Detail/Detail?PublicationID=P20150309010</v>
      </c>
      <c r="K3922" s="13" t="str">
        <f>HYPERLINK("https://ntsu.idm.oclc.org/login?url=https://www.airitibooks.com/Detail/Detail?PublicationID=P20150309010", "https://ntsu.idm.oclc.org/login?url=https://www.airitibooks.com/Detail/Detail?PublicationID=P20150309010")</f>
        <v>https://ntsu.idm.oclc.org/login?url=https://www.airitibooks.com/Detail/Detail?PublicationID=P20150309010</v>
      </c>
    </row>
    <row r="3923" spans="1:11" ht="51" x14ac:dyDescent="0.4">
      <c r="A3923" s="10" t="s">
        <v>2107</v>
      </c>
      <c r="B3923" s="10" t="s">
        <v>2108</v>
      </c>
      <c r="C3923" s="10" t="s">
        <v>1986</v>
      </c>
      <c r="D3923" s="10" t="s">
        <v>2109</v>
      </c>
      <c r="E3923" s="10" t="s">
        <v>30</v>
      </c>
      <c r="F3923" s="10" t="s">
        <v>2110</v>
      </c>
      <c r="G3923" s="10" t="s">
        <v>32</v>
      </c>
      <c r="H3923" s="7" t="s">
        <v>24</v>
      </c>
      <c r="I3923" s="7" t="s">
        <v>25</v>
      </c>
      <c r="J3923" s="13" t="str">
        <f>HYPERLINK("https://www.airitibooks.com/Detail/Detail?PublicationID=P20150309029", "https://www.airitibooks.com/Detail/Detail?PublicationID=P20150309029")</f>
        <v>https://www.airitibooks.com/Detail/Detail?PublicationID=P20150309029</v>
      </c>
      <c r="K3923" s="13" t="str">
        <f>HYPERLINK("https://ntsu.idm.oclc.org/login?url=https://www.airitibooks.com/Detail/Detail?PublicationID=P20150309029", "https://ntsu.idm.oclc.org/login?url=https://www.airitibooks.com/Detail/Detail?PublicationID=P20150309029")</f>
        <v>https://ntsu.idm.oclc.org/login?url=https://www.airitibooks.com/Detail/Detail?PublicationID=P20150309029</v>
      </c>
    </row>
    <row r="3924" spans="1:11" ht="51" x14ac:dyDescent="0.4">
      <c r="A3924" s="10" t="s">
        <v>2365</v>
      </c>
      <c r="B3924" s="10" t="s">
        <v>2366</v>
      </c>
      <c r="C3924" s="10" t="s">
        <v>2367</v>
      </c>
      <c r="D3924" s="10" t="s">
        <v>2368</v>
      </c>
      <c r="E3924" s="10" t="s">
        <v>30</v>
      </c>
      <c r="F3924" s="10" t="s">
        <v>2369</v>
      </c>
      <c r="G3924" s="10" t="s">
        <v>32</v>
      </c>
      <c r="H3924" s="7" t="s">
        <v>24</v>
      </c>
      <c r="I3924" s="7" t="s">
        <v>25</v>
      </c>
      <c r="J3924" s="13" t="str">
        <f>HYPERLINK("https://www.airitibooks.com/Detail/Detail?PublicationID=P20150414294", "https://www.airitibooks.com/Detail/Detail?PublicationID=P20150414294")</f>
        <v>https://www.airitibooks.com/Detail/Detail?PublicationID=P20150414294</v>
      </c>
      <c r="K3924" s="13" t="str">
        <f>HYPERLINK("https://ntsu.idm.oclc.org/login?url=https://www.airitibooks.com/Detail/Detail?PublicationID=P20150414294", "https://ntsu.idm.oclc.org/login?url=https://www.airitibooks.com/Detail/Detail?PublicationID=P20150414294")</f>
        <v>https://ntsu.idm.oclc.org/login?url=https://www.airitibooks.com/Detail/Detail?PublicationID=P20150414294</v>
      </c>
    </row>
    <row r="3925" spans="1:11" ht="51" x14ac:dyDescent="0.4">
      <c r="A3925" s="10" t="s">
        <v>2370</v>
      </c>
      <c r="B3925" s="10" t="s">
        <v>2371</v>
      </c>
      <c r="C3925" s="10" t="s">
        <v>2367</v>
      </c>
      <c r="D3925" s="10" t="s">
        <v>2372</v>
      </c>
      <c r="E3925" s="10" t="s">
        <v>30</v>
      </c>
      <c r="F3925" s="10" t="s">
        <v>172</v>
      </c>
      <c r="G3925" s="10" t="s">
        <v>32</v>
      </c>
      <c r="H3925" s="7" t="s">
        <v>24</v>
      </c>
      <c r="I3925" s="7" t="s">
        <v>25</v>
      </c>
      <c r="J3925" s="13" t="str">
        <f>HYPERLINK("https://www.airitibooks.com/Detail/Detail?PublicationID=P20150414298", "https://www.airitibooks.com/Detail/Detail?PublicationID=P20150414298")</f>
        <v>https://www.airitibooks.com/Detail/Detail?PublicationID=P20150414298</v>
      </c>
      <c r="K3925" s="13" t="str">
        <f>HYPERLINK("https://ntsu.idm.oclc.org/login?url=https://www.airitibooks.com/Detail/Detail?PublicationID=P20150414298", "https://ntsu.idm.oclc.org/login?url=https://www.airitibooks.com/Detail/Detail?PublicationID=P20150414298")</f>
        <v>https://ntsu.idm.oclc.org/login?url=https://www.airitibooks.com/Detail/Detail?PublicationID=P20150414298</v>
      </c>
    </row>
    <row r="3926" spans="1:11" ht="51" x14ac:dyDescent="0.4">
      <c r="A3926" s="10" t="s">
        <v>2373</v>
      </c>
      <c r="B3926" s="10" t="s">
        <v>2374</v>
      </c>
      <c r="C3926" s="10" t="s">
        <v>2367</v>
      </c>
      <c r="D3926" s="10" t="s">
        <v>2375</v>
      </c>
      <c r="E3926" s="10" t="s">
        <v>30</v>
      </c>
      <c r="F3926" s="10" t="s">
        <v>2376</v>
      </c>
      <c r="G3926" s="10" t="s">
        <v>32</v>
      </c>
      <c r="H3926" s="7" t="s">
        <v>24</v>
      </c>
      <c r="I3926" s="7" t="s">
        <v>25</v>
      </c>
      <c r="J3926" s="13" t="str">
        <f>HYPERLINK("https://www.airitibooks.com/Detail/Detail?PublicationID=P20150414299", "https://www.airitibooks.com/Detail/Detail?PublicationID=P20150414299")</f>
        <v>https://www.airitibooks.com/Detail/Detail?PublicationID=P20150414299</v>
      </c>
      <c r="K3926" s="13" t="str">
        <f>HYPERLINK("https://ntsu.idm.oclc.org/login?url=https://www.airitibooks.com/Detail/Detail?PublicationID=P20150414299", "https://ntsu.idm.oclc.org/login?url=https://www.airitibooks.com/Detail/Detail?PublicationID=P20150414299")</f>
        <v>https://ntsu.idm.oclc.org/login?url=https://www.airitibooks.com/Detail/Detail?PublicationID=P20150414299</v>
      </c>
    </row>
    <row r="3927" spans="1:11" ht="51" x14ac:dyDescent="0.4">
      <c r="A3927" s="10" t="s">
        <v>2377</v>
      </c>
      <c r="B3927" s="10" t="s">
        <v>2378</v>
      </c>
      <c r="C3927" s="10" t="s">
        <v>2367</v>
      </c>
      <c r="D3927" s="10" t="s">
        <v>2379</v>
      </c>
      <c r="E3927" s="10" t="s">
        <v>30</v>
      </c>
      <c r="F3927" s="10" t="s">
        <v>172</v>
      </c>
      <c r="G3927" s="10" t="s">
        <v>32</v>
      </c>
      <c r="H3927" s="7" t="s">
        <v>24</v>
      </c>
      <c r="I3927" s="7" t="s">
        <v>25</v>
      </c>
      <c r="J3927" s="13" t="str">
        <f>HYPERLINK("https://www.airitibooks.com/Detail/Detail?PublicationID=P20150414303", "https://www.airitibooks.com/Detail/Detail?PublicationID=P20150414303")</f>
        <v>https://www.airitibooks.com/Detail/Detail?PublicationID=P20150414303</v>
      </c>
      <c r="K3927" s="13" t="str">
        <f>HYPERLINK("https://ntsu.idm.oclc.org/login?url=https://www.airitibooks.com/Detail/Detail?PublicationID=P20150414303", "https://ntsu.idm.oclc.org/login?url=https://www.airitibooks.com/Detail/Detail?PublicationID=P20150414303")</f>
        <v>https://ntsu.idm.oclc.org/login?url=https://www.airitibooks.com/Detail/Detail?PublicationID=P20150414303</v>
      </c>
    </row>
    <row r="3928" spans="1:11" ht="51" x14ac:dyDescent="0.4">
      <c r="A3928" s="10" t="s">
        <v>2380</v>
      </c>
      <c r="B3928" s="10" t="s">
        <v>2381</v>
      </c>
      <c r="C3928" s="10" t="s">
        <v>2367</v>
      </c>
      <c r="D3928" s="10" t="s">
        <v>2382</v>
      </c>
      <c r="E3928" s="10" t="s">
        <v>30</v>
      </c>
      <c r="F3928" s="10" t="s">
        <v>172</v>
      </c>
      <c r="G3928" s="10" t="s">
        <v>32</v>
      </c>
      <c r="H3928" s="7" t="s">
        <v>24</v>
      </c>
      <c r="I3928" s="7" t="s">
        <v>25</v>
      </c>
      <c r="J3928" s="13" t="str">
        <f>HYPERLINK("https://www.airitibooks.com/Detail/Detail?PublicationID=P20150414304", "https://www.airitibooks.com/Detail/Detail?PublicationID=P20150414304")</f>
        <v>https://www.airitibooks.com/Detail/Detail?PublicationID=P20150414304</v>
      </c>
      <c r="K3928" s="13" t="str">
        <f>HYPERLINK("https://ntsu.idm.oclc.org/login?url=https://www.airitibooks.com/Detail/Detail?PublicationID=P20150414304", "https://ntsu.idm.oclc.org/login?url=https://www.airitibooks.com/Detail/Detail?PublicationID=P20150414304")</f>
        <v>https://ntsu.idm.oclc.org/login?url=https://www.airitibooks.com/Detail/Detail?PublicationID=P20150414304</v>
      </c>
    </row>
    <row r="3929" spans="1:11" ht="51" x14ac:dyDescent="0.4">
      <c r="A3929" s="10" t="s">
        <v>2383</v>
      </c>
      <c r="B3929" s="10" t="s">
        <v>2384</v>
      </c>
      <c r="C3929" s="10" t="s">
        <v>2367</v>
      </c>
      <c r="D3929" s="10" t="s">
        <v>2372</v>
      </c>
      <c r="E3929" s="10" t="s">
        <v>30</v>
      </c>
      <c r="F3929" s="10" t="s">
        <v>172</v>
      </c>
      <c r="G3929" s="10" t="s">
        <v>32</v>
      </c>
      <c r="H3929" s="7" t="s">
        <v>24</v>
      </c>
      <c r="I3929" s="7" t="s">
        <v>25</v>
      </c>
      <c r="J3929" s="13" t="str">
        <f>HYPERLINK("https://www.airitibooks.com/Detail/Detail?PublicationID=P20150414311", "https://www.airitibooks.com/Detail/Detail?PublicationID=P20150414311")</f>
        <v>https://www.airitibooks.com/Detail/Detail?PublicationID=P20150414311</v>
      </c>
      <c r="K3929" s="13" t="str">
        <f>HYPERLINK("https://ntsu.idm.oclc.org/login?url=https://www.airitibooks.com/Detail/Detail?PublicationID=P20150414311", "https://ntsu.idm.oclc.org/login?url=https://www.airitibooks.com/Detail/Detail?PublicationID=P20150414311")</f>
        <v>https://ntsu.idm.oclc.org/login?url=https://www.airitibooks.com/Detail/Detail?PublicationID=P20150414311</v>
      </c>
    </row>
    <row r="3930" spans="1:11" ht="51" x14ac:dyDescent="0.4">
      <c r="A3930" s="10" t="s">
        <v>2385</v>
      </c>
      <c r="B3930" s="10" t="s">
        <v>2386</v>
      </c>
      <c r="C3930" s="10" t="s">
        <v>2367</v>
      </c>
      <c r="D3930" s="10" t="s">
        <v>2387</v>
      </c>
      <c r="E3930" s="10" t="s">
        <v>30</v>
      </c>
      <c r="F3930" s="10" t="s">
        <v>2388</v>
      </c>
      <c r="G3930" s="10" t="s">
        <v>32</v>
      </c>
      <c r="H3930" s="7" t="s">
        <v>24</v>
      </c>
      <c r="I3930" s="7" t="s">
        <v>25</v>
      </c>
      <c r="J3930" s="13" t="str">
        <f>HYPERLINK("https://www.airitibooks.com/Detail/Detail?PublicationID=P20150414315", "https://www.airitibooks.com/Detail/Detail?PublicationID=P20150414315")</f>
        <v>https://www.airitibooks.com/Detail/Detail?PublicationID=P20150414315</v>
      </c>
      <c r="K3930" s="13" t="str">
        <f>HYPERLINK("https://ntsu.idm.oclc.org/login?url=https://www.airitibooks.com/Detail/Detail?PublicationID=P20150414315", "https://ntsu.idm.oclc.org/login?url=https://www.airitibooks.com/Detail/Detail?PublicationID=P20150414315")</f>
        <v>https://ntsu.idm.oclc.org/login?url=https://www.airitibooks.com/Detail/Detail?PublicationID=P20150414315</v>
      </c>
    </row>
    <row r="3931" spans="1:11" ht="51" x14ac:dyDescent="0.4">
      <c r="A3931" s="10" t="s">
        <v>2389</v>
      </c>
      <c r="B3931" s="10" t="s">
        <v>2390</v>
      </c>
      <c r="C3931" s="10" t="s">
        <v>2367</v>
      </c>
      <c r="D3931" s="10" t="s">
        <v>2368</v>
      </c>
      <c r="E3931" s="10" t="s">
        <v>30</v>
      </c>
      <c r="F3931" s="10" t="s">
        <v>597</v>
      </c>
      <c r="G3931" s="10" t="s">
        <v>32</v>
      </c>
      <c r="H3931" s="7" t="s">
        <v>24</v>
      </c>
      <c r="I3931" s="7" t="s">
        <v>25</v>
      </c>
      <c r="J3931" s="13" t="str">
        <f>HYPERLINK("https://www.airitibooks.com/Detail/Detail?PublicationID=P20150414316", "https://www.airitibooks.com/Detail/Detail?PublicationID=P20150414316")</f>
        <v>https://www.airitibooks.com/Detail/Detail?PublicationID=P20150414316</v>
      </c>
      <c r="K3931" s="13" t="str">
        <f>HYPERLINK("https://ntsu.idm.oclc.org/login?url=https://www.airitibooks.com/Detail/Detail?PublicationID=P20150414316", "https://ntsu.idm.oclc.org/login?url=https://www.airitibooks.com/Detail/Detail?PublicationID=P20150414316")</f>
        <v>https://ntsu.idm.oclc.org/login?url=https://www.airitibooks.com/Detail/Detail?PublicationID=P20150414316</v>
      </c>
    </row>
    <row r="3932" spans="1:11" ht="51" x14ac:dyDescent="0.4">
      <c r="A3932" s="10" t="s">
        <v>2391</v>
      </c>
      <c r="B3932" s="10" t="s">
        <v>2392</v>
      </c>
      <c r="C3932" s="10" t="s">
        <v>2367</v>
      </c>
      <c r="D3932" s="10" t="s">
        <v>2379</v>
      </c>
      <c r="E3932" s="10" t="s">
        <v>30</v>
      </c>
      <c r="F3932" s="10" t="s">
        <v>2393</v>
      </c>
      <c r="G3932" s="10" t="s">
        <v>32</v>
      </c>
      <c r="H3932" s="7" t="s">
        <v>24</v>
      </c>
      <c r="I3932" s="7" t="s">
        <v>25</v>
      </c>
      <c r="J3932" s="13" t="str">
        <f>HYPERLINK("https://www.airitibooks.com/Detail/Detail?PublicationID=P20150414318", "https://www.airitibooks.com/Detail/Detail?PublicationID=P20150414318")</f>
        <v>https://www.airitibooks.com/Detail/Detail?PublicationID=P20150414318</v>
      </c>
      <c r="K3932" s="13" t="str">
        <f>HYPERLINK("https://ntsu.idm.oclc.org/login?url=https://www.airitibooks.com/Detail/Detail?PublicationID=P20150414318", "https://ntsu.idm.oclc.org/login?url=https://www.airitibooks.com/Detail/Detail?PublicationID=P20150414318")</f>
        <v>https://ntsu.idm.oclc.org/login?url=https://www.airitibooks.com/Detail/Detail?PublicationID=P20150414318</v>
      </c>
    </row>
    <row r="3933" spans="1:11" ht="51" x14ac:dyDescent="0.4">
      <c r="A3933" s="10" t="s">
        <v>2429</v>
      </c>
      <c r="B3933" s="10" t="s">
        <v>2430</v>
      </c>
      <c r="C3933" s="10" t="s">
        <v>108</v>
      </c>
      <c r="D3933" s="10" t="s">
        <v>2431</v>
      </c>
      <c r="E3933" s="10" t="s">
        <v>30</v>
      </c>
      <c r="F3933" s="10" t="s">
        <v>1913</v>
      </c>
      <c r="G3933" s="10" t="s">
        <v>32</v>
      </c>
      <c r="H3933" s="7" t="s">
        <v>24</v>
      </c>
      <c r="I3933" s="7" t="s">
        <v>25</v>
      </c>
      <c r="J3933" s="13" t="str">
        <f>HYPERLINK("https://www.airitibooks.com/Detail/Detail?PublicationID=P20150430012", "https://www.airitibooks.com/Detail/Detail?PublicationID=P20150430012")</f>
        <v>https://www.airitibooks.com/Detail/Detail?PublicationID=P20150430012</v>
      </c>
      <c r="K3933" s="13" t="str">
        <f>HYPERLINK("https://ntsu.idm.oclc.org/login?url=https://www.airitibooks.com/Detail/Detail?PublicationID=P20150430012", "https://ntsu.idm.oclc.org/login?url=https://www.airitibooks.com/Detail/Detail?PublicationID=P20150430012")</f>
        <v>https://ntsu.idm.oclc.org/login?url=https://www.airitibooks.com/Detail/Detail?PublicationID=P20150430012</v>
      </c>
    </row>
    <row r="3934" spans="1:11" ht="51" x14ac:dyDescent="0.4">
      <c r="A3934" s="10" t="s">
        <v>2439</v>
      </c>
      <c r="B3934" s="10" t="s">
        <v>2440</v>
      </c>
      <c r="C3934" s="10" t="s">
        <v>2441</v>
      </c>
      <c r="D3934" s="10" t="s">
        <v>2442</v>
      </c>
      <c r="E3934" s="10" t="s">
        <v>30</v>
      </c>
      <c r="F3934" s="10" t="s">
        <v>1135</v>
      </c>
      <c r="G3934" s="10" t="s">
        <v>32</v>
      </c>
      <c r="H3934" s="7" t="s">
        <v>24</v>
      </c>
      <c r="I3934" s="7" t="s">
        <v>25</v>
      </c>
      <c r="J3934" s="13" t="str">
        <f>HYPERLINK("https://www.airitibooks.com/Detail/Detail?PublicationID=P20150504057", "https://www.airitibooks.com/Detail/Detail?PublicationID=P20150504057")</f>
        <v>https://www.airitibooks.com/Detail/Detail?PublicationID=P20150504057</v>
      </c>
      <c r="K3934" s="13" t="str">
        <f>HYPERLINK("https://ntsu.idm.oclc.org/login?url=https://www.airitibooks.com/Detail/Detail?PublicationID=P20150504057", "https://ntsu.idm.oclc.org/login?url=https://www.airitibooks.com/Detail/Detail?PublicationID=P20150504057")</f>
        <v>https://ntsu.idm.oclc.org/login?url=https://www.airitibooks.com/Detail/Detail?PublicationID=P20150504057</v>
      </c>
    </row>
    <row r="3935" spans="1:11" ht="51" x14ac:dyDescent="0.4">
      <c r="A3935" s="10" t="s">
        <v>2452</v>
      </c>
      <c r="B3935" s="10" t="s">
        <v>2453</v>
      </c>
      <c r="C3935" s="10" t="s">
        <v>1114</v>
      </c>
      <c r="D3935" s="10" t="s">
        <v>2454</v>
      </c>
      <c r="E3935" s="10" t="s">
        <v>30</v>
      </c>
      <c r="F3935" s="10" t="s">
        <v>1317</v>
      </c>
      <c r="G3935" s="10" t="s">
        <v>32</v>
      </c>
      <c r="H3935" s="7" t="s">
        <v>24</v>
      </c>
      <c r="I3935" s="7" t="s">
        <v>25</v>
      </c>
      <c r="J3935" s="13" t="str">
        <f>HYPERLINK("https://www.airitibooks.com/Detail/Detail?PublicationID=P20150504083", "https://www.airitibooks.com/Detail/Detail?PublicationID=P20150504083")</f>
        <v>https://www.airitibooks.com/Detail/Detail?PublicationID=P20150504083</v>
      </c>
      <c r="K3935" s="13" t="str">
        <f>HYPERLINK("https://ntsu.idm.oclc.org/login?url=https://www.airitibooks.com/Detail/Detail?PublicationID=P20150504083", "https://ntsu.idm.oclc.org/login?url=https://www.airitibooks.com/Detail/Detail?PublicationID=P20150504083")</f>
        <v>https://ntsu.idm.oclc.org/login?url=https://www.airitibooks.com/Detail/Detail?PublicationID=P20150504083</v>
      </c>
    </row>
    <row r="3936" spans="1:11" ht="51" x14ac:dyDescent="0.4">
      <c r="A3936" s="10" t="s">
        <v>2458</v>
      </c>
      <c r="B3936" s="10" t="s">
        <v>2459</v>
      </c>
      <c r="C3936" s="10" t="s">
        <v>1076</v>
      </c>
      <c r="D3936" s="10" t="s">
        <v>2460</v>
      </c>
      <c r="E3936" s="10" t="s">
        <v>30</v>
      </c>
      <c r="F3936" s="10" t="s">
        <v>181</v>
      </c>
      <c r="G3936" s="10" t="s">
        <v>32</v>
      </c>
      <c r="H3936" s="7" t="s">
        <v>24</v>
      </c>
      <c r="I3936" s="7" t="s">
        <v>25</v>
      </c>
      <c r="J3936" s="13" t="str">
        <f>HYPERLINK("https://www.airitibooks.com/Detail/Detail?PublicationID=P20150504094", "https://www.airitibooks.com/Detail/Detail?PublicationID=P20150504094")</f>
        <v>https://www.airitibooks.com/Detail/Detail?PublicationID=P20150504094</v>
      </c>
      <c r="K3936" s="13" t="str">
        <f>HYPERLINK("https://ntsu.idm.oclc.org/login?url=https://www.airitibooks.com/Detail/Detail?PublicationID=P20150504094", "https://ntsu.idm.oclc.org/login?url=https://www.airitibooks.com/Detail/Detail?PublicationID=P20150504094")</f>
        <v>https://ntsu.idm.oclc.org/login?url=https://www.airitibooks.com/Detail/Detail?PublicationID=P20150504094</v>
      </c>
    </row>
    <row r="3937" spans="1:11" ht="51" x14ac:dyDescent="0.4">
      <c r="A3937" s="10" t="s">
        <v>2493</v>
      </c>
      <c r="B3937" s="10" t="s">
        <v>2494</v>
      </c>
      <c r="C3937" s="10" t="s">
        <v>938</v>
      </c>
      <c r="D3937" s="10" t="s">
        <v>2495</v>
      </c>
      <c r="E3937" s="10" t="s">
        <v>30</v>
      </c>
      <c r="F3937" s="10" t="s">
        <v>2496</v>
      </c>
      <c r="G3937" s="10" t="s">
        <v>32</v>
      </c>
      <c r="H3937" s="7" t="s">
        <v>24</v>
      </c>
      <c r="I3937" s="7" t="s">
        <v>25</v>
      </c>
      <c r="J3937" s="13" t="str">
        <f>HYPERLINK("https://www.airitibooks.com/Detail/Detail?PublicationID=P20150506416", "https://www.airitibooks.com/Detail/Detail?PublicationID=P20150506416")</f>
        <v>https://www.airitibooks.com/Detail/Detail?PublicationID=P20150506416</v>
      </c>
      <c r="K3937" s="13" t="str">
        <f>HYPERLINK("https://ntsu.idm.oclc.org/login?url=https://www.airitibooks.com/Detail/Detail?PublicationID=P20150506416", "https://ntsu.idm.oclc.org/login?url=https://www.airitibooks.com/Detail/Detail?PublicationID=P20150506416")</f>
        <v>https://ntsu.idm.oclc.org/login?url=https://www.airitibooks.com/Detail/Detail?PublicationID=P20150506416</v>
      </c>
    </row>
    <row r="3938" spans="1:11" ht="85" x14ac:dyDescent="0.4">
      <c r="A3938" s="10" t="s">
        <v>2621</v>
      </c>
      <c r="B3938" s="10" t="s">
        <v>2622</v>
      </c>
      <c r="C3938" s="10" t="s">
        <v>2616</v>
      </c>
      <c r="D3938" s="10" t="s">
        <v>2623</v>
      </c>
      <c r="E3938" s="10" t="s">
        <v>30</v>
      </c>
      <c r="F3938" s="10" t="s">
        <v>2624</v>
      </c>
      <c r="G3938" s="10" t="s">
        <v>32</v>
      </c>
      <c r="H3938" s="7" t="s">
        <v>24</v>
      </c>
      <c r="I3938" s="7" t="s">
        <v>25</v>
      </c>
      <c r="J3938" s="13" t="str">
        <f>HYPERLINK("https://www.airitibooks.com/Detail/Detail?PublicationID=P20150528076", "https://www.airitibooks.com/Detail/Detail?PublicationID=P20150528076")</f>
        <v>https://www.airitibooks.com/Detail/Detail?PublicationID=P20150528076</v>
      </c>
      <c r="K3938" s="13" t="str">
        <f>HYPERLINK("https://ntsu.idm.oclc.org/login?url=https://www.airitibooks.com/Detail/Detail?PublicationID=P20150528076", "https://ntsu.idm.oclc.org/login?url=https://www.airitibooks.com/Detail/Detail?PublicationID=P20150528076")</f>
        <v>https://ntsu.idm.oclc.org/login?url=https://www.airitibooks.com/Detail/Detail?PublicationID=P20150528076</v>
      </c>
    </row>
    <row r="3939" spans="1:11" ht="51" x14ac:dyDescent="0.4">
      <c r="A3939" s="10" t="s">
        <v>2664</v>
      </c>
      <c r="B3939" s="10" t="s">
        <v>2665</v>
      </c>
      <c r="C3939" s="10" t="s">
        <v>661</v>
      </c>
      <c r="D3939" s="10" t="s">
        <v>2666</v>
      </c>
      <c r="E3939" s="10" t="s">
        <v>30</v>
      </c>
      <c r="F3939" s="10" t="s">
        <v>2667</v>
      </c>
      <c r="G3939" s="10" t="s">
        <v>32</v>
      </c>
      <c r="H3939" s="7" t="s">
        <v>24</v>
      </c>
      <c r="I3939" s="7" t="s">
        <v>25</v>
      </c>
      <c r="J3939" s="13" t="str">
        <f>HYPERLINK("https://www.airitibooks.com/Detail/Detail?PublicationID=P20150618007", "https://www.airitibooks.com/Detail/Detail?PublicationID=P20150618007")</f>
        <v>https://www.airitibooks.com/Detail/Detail?PublicationID=P20150618007</v>
      </c>
      <c r="K3939" s="13" t="str">
        <f>HYPERLINK("https://ntsu.idm.oclc.org/login?url=https://www.airitibooks.com/Detail/Detail?PublicationID=P20150618007", "https://ntsu.idm.oclc.org/login?url=https://www.airitibooks.com/Detail/Detail?PublicationID=P20150618007")</f>
        <v>https://ntsu.idm.oclc.org/login?url=https://www.airitibooks.com/Detail/Detail?PublicationID=P20150618007</v>
      </c>
    </row>
    <row r="3940" spans="1:11" ht="51" x14ac:dyDescent="0.4">
      <c r="A3940" s="10" t="s">
        <v>2690</v>
      </c>
      <c r="B3940" s="10" t="s">
        <v>2691</v>
      </c>
      <c r="C3940" s="10" t="s">
        <v>297</v>
      </c>
      <c r="D3940" s="10" t="s">
        <v>1608</v>
      </c>
      <c r="E3940" s="10" t="s">
        <v>30</v>
      </c>
      <c r="F3940" s="10" t="s">
        <v>274</v>
      </c>
      <c r="G3940" s="10" t="s">
        <v>32</v>
      </c>
      <c r="H3940" s="7" t="s">
        <v>24</v>
      </c>
      <c r="I3940" s="7" t="s">
        <v>25</v>
      </c>
      <c r="J3940" s="13" t="str">
        <f>HYPERLINK("https://www.airitibooks.com/Detail/Detail?PublicationID=P20150624008", "https://www.airitibooks.com/Detail/Detail?PublicationID=P20150624008")</f>
        <v>https://www.airitibooks.com/Detail/Detail?PublicationID=P20150624008</v>
      </c>
      <c r="K3940" s="13" t="str">
        <f>HYPERLINK("https://ntsu.idm.oclc.org/login?url=https://www.airitibooks.com/Detail/Detail?PublicationID=P20150624008", "https://ntsu.idm.oclc.org/login?url=https://www.airitibooks.com/Detail/Detail?PublicationID=P20150624008")</f>
        <v>https://ntsu.idm.oclc.org/login?url=https://www.airitibooks.com/Detail/Detail?PublicationID=P20150624008</v>
      </c>
    </row>
    <row r="3941" spans="1:11" ht="51" x14ac:dyDescent="0.4">
      <c r="A3941" s="10" t="s">
        <v>2841</v>
      </c>
      <c r="B3941" s="10" t="s">
        <v>2842</v>
      </c>
      <c r="C3941" s="10" t="s">
        <v>222</v>
      </c>
      <c r="D3941" s="10" t="s">
        <v>2843</v>
      </c>
      <c r="E3941" s="10" t="s">
        <v>30</v>
      </c>
      <c r="F3941" s="10" t="s">
        <v>2844</v>
      </c>
      <c r="G3941" s="10" t="s">
        <v>32</v>
      </c>
      <c r="H3941" s="7" t="s">
        <v>24</v>
      </c>
      <c r="I3941" s="7" t="s">
        <v>25</v>
      </c>
      <c r="J3941" s="13" t="str">
        <f>HYPERLINK("https://www.airitibooks.com/Detail/Detail?PublicationID=P20150626063", "https://www.airitibooks.com/Detail/Detail?PublicationID=P20150626063")</f>
        <v>https://www.airitibooks.com/Detail/Detail?PublicationID=P20150626063</v>
      </c>
      <c r="K3941" s="13" t="str">
        <f>HYPERLINK("https://ntsu.idm.oclc.org/login?url=https://www.airitibooks.com/Detail/Detail?PublicationID=P20150626063", "https://ntsu.idm.oclc.org/login?url=https://www.airitibooks.com/Detail/Detail?PublicationID=P20150626063")</f>
        <v>https://ntsu.idm.oclc.org/login?url=https://www.airitibooks.com/Detail/Detail?PublicationID=P20150626063</v>
      </c>
    </row>
    <row r="3942" spans="1:11" ht="51" x14ac:dyDescent="0.4">
      <c r="A3942" s="10" t="s">
        <v>2852</v>
      </c>
      <c r="B3942" s="10" t="s">
        <v>2853</v>
      </c>
      <c r="C3942" s="10" t="s">
        <v>2854</v>
      </c>
      <c r="D3942" s="10" t="s">
        <v>2855</v>
      </c>
      <c r="E3942" s="10" t="s">
        <v>30</v>
      </c>
      <c r="F3942" s="10" t="s">
        <v>2856</v>
      </c>
      <c r="G3942" s="10" t="s">
        <v>32</v>
      </c>
      <c r="H3942" s="7" t="s">
        <v>24</v>
      </c>
      <c r="I3942" s="7" t="s">
        <v>25</v>
      </c>
      <c r="J3942" s="13" t="str">
        <f>HYPERLINK("https://www.airitibooks.com/Detail/Detail?PublicationID=P20150708006", "https://www.airitibooks.com/Detail/Detail?PublicationID=P20150708006")</f>
        <v>https://www.airitibooks.com/Detail/Detail?PublicationID=P20150708006</v>
      </c>
      <c r="K3942" s="13" t="str">
        <f>HYPERLINK("https://ntsu.idm.oclc.org/login?url=https://www.airitibooks.com/Detail/Detail?PublicationID=P20150708006", "https://ntsu.idm.oclc.org/login?url=https://www.airitibooks.com/Detail/Detail?PublicationID=P20150708006")</f>
        <v>https://ntsu.idm.oclc.org/login?url=https://www.airitibooks.com/Detail/Detail?PublicationID=P20150708006</v>
      </c>
    </row>
    <row r="3943" spans="1:11" ht="51" x14ac:dyDescent="0.4">
      <c r="A3943" s="10" t="s">
        <v>2861</v>
      </c>
      <c r="B3943" s="10" t="s">
        <v>2862</v>
      </c>
      <c r="C3943" s="10" t="s">
        <v>938</v>
      </c>
      <c r="D3943" s="10" t="s">
        <v>2863</v>
      </c>
      <c r="E3943" s="10" t="s">
        <v>30</v>
      </c>
      <c r="F3943" s="10" t="s">
        <v>2864</v>
      </c>
      <c r="G3943" s="10" t="s">
        <v>32</v>
      </c>
      <c r="H3943" s="7" t="s">
        <v>24</v>
      </c>
      <c r="I3943" s="7" t="s">
        <v>25</v>
      </c>
      <c r="J3943" s="13" t="str">
        <f>HYPERLINK("https://www.airitibooks.com/Detail/Detail?PublicationID=P20150708025", "https://www.airitibooks.com/Detail/Detail?PublicationID=P20150708025")</f>
        <v>https://www.airitibooks.com/Detail/Detail?PublicationID=P20150708025</v>
      </c>
      <c r="K3943" s="13" t="str">
        <f>HYPERLINK("https://ntsu.idm.oclc.org/login?url=https://www.airitibooks.com/Detail/Detail?PublicationID=P20150708025", "https://ntsu.idm.oclc.org/login?url=https://www.airitibooks.com/Detail/Detail?PublicationID=P20150708025")</f>
        <v>https://ntsu.idm.oclc.org/login?url=https://www.airitibooks.com/Detail/Detail?PublicationID=P20150708025</v>
      </c>
    </row>
    <row r="3944" spans="1:11" ht="68" x14ac:dyDescent="0.4">
      <c r="A3944" s="10" t="s">
        <v>2889</v>
      </c>
      <c r="B3944" s="10" t="s">
        <v>2890</v>
      </c>
      <c r="C3944" s="10" t="s">
        <v>938</v>
      </c>
      <c r="D3944" s="10" t="s">
        <v>2891</v>
      </c>
      <c r="E3944" s="10" t="s">
        <v>30</v>
      </c>
      <c r="F3944" s="10" t="s">
        <v>2892</v>
      </c>
      <c r="G3944" s="10" t="s">
        <v>32</v>
      </c>
      <c r="H3944" s="7" t="s">
        <v>24</v>
      </c>
      <c r="I3944" s="7" t="s">
        <v>25</v>
      </c>
      <c r="J3944" s="13" t="str">
        <f>HYPERLINK("https://www.airitibooks.com/Detail/Detail?PublicationID=P20150708037", "https://www.airitibooks.com/Detail/Detail?PublicationID=P20150708037")</f>
        <v>https://www.airitibooks.com/Detail/Detail?PublicationID=P20150708037</v>
      </c>
      <c r="K3944" s="13" t="str">
        <f>HYPERLINK("https://ntsu.idm.oclc.org/login?url=https://www.airitibooks.com/Detail/Detail?PublicationID=P20150708037", "https://ntsu.idm.oclc.org/login?url=https://www.airitibooks.com/Detail/Detail?PublicationID=P20150708037")</f>
        <v>https://ntsu.idm.oclc.org/login?url=https://www.airitibooks.com/Detail/Detail?PublicationID=P20150708037</v>
      </c>
    </row>
    <row r="3945" spans="1:11" ht="51" x14ac:dyDescent="0.4">
      <c r="A3945" s="10" t="s">
        <v>2922</v>
      </c>
      <c r="B3945" s="10" t="s">
        <v>2923</v>
      </c>
      <c r="C3945" s="10" t="s">
        <v>1253</v>
      </c>
      <c r="D3945" s="10" t="s">
        <v>2924</v>
      </c>
      <c r="E3945" s="10" t="s">
        <v>30</v>
      </c>
      <c r="F3945" s="10" t="s">
        <v>2925</v>
      </c>
      <c r="G3945" s="10" t="s">
        <v>32</v>
      </c>
      <c r="H3945" s="7" t="s">
        <v>24</v>
      </c>
      <c r="I3945" s="7" t="s">
        <v>25</v>
      </c>
      <c r="J3945" s="13" t="str">
        <f>HYPERLINK("https://www.airitibooks.com/Detail/Detail?PublicationID=P20150709146", "https://www.airitibooks.com/Detail/Detail?PublicationID=P20150709146")</f>
        <v>https://www.airitibooks.com/Detail/Detail?PublicationID=P20150709146</v>
      </c>
      <c r="K3945" s="13" t="str">
        <f>HYPERLINK("https://ntsu.idm.oclc.org/login?url=https://www.airitibooks.com/Detail/Detail?PublicationID=P20150709146", "https://ntsu.idm.oclc.org/login?url=https://www.airitibooks.com/Detail/Detail?PublicationID=P20150709146")</f>
        <v>https://ntsu.idm.oclc.org/login?url=https://www.airitibooks.com/Detail/Detail?PublicationID=P20150709146</v>
      </c>
    </row>
    <row r="3946" spans="1:11" ht="51" x14ac:dyDescent="0.4">
      <c r="A3946" s="10" t="s">
        <v>2934</v>
      </c>
      <c r="B3946" s="10" t="s">
        <v>2935</v>
      </c>
      <c r="C3946" s="10" t="s">
        <v>1271</v>
      </c>
      <c r="D3946" s="10" t="s">
        <v>2936</v>
      </c>
      <c r="E3946" s="10" t="s">
        <v>30</v>
      </c>
      <c r="F3946" s="10" t="s">
        <v>2937</v>
      </c>
      <c r="G3946" s="10" t="s">
        <v>32</v>
      </c>
      <c r="H3946" s="7" t="s">
        <v>24</v>
      </c>
      <c r="I3946" s="7" t="s">
        <v>25</v>
      </c>
      <c r="J3946" s="13" t="str">
        <f>HYPERLINK("https://www.airitibooks.com/Detail/Detail?PublicationID=P20150807005", "https://www.airitibooks.com/Detail/Detail?PublicationID=P20150807005")</f>
        <v>https://www.airitibooks.com/Detail/Detail?PublicationID=P20150807005</v>
      </c>
      <c r="K3946" s="13" t="str">
        <f>HYPERLINK("https://ntsu.idm.oclc.org/login?url=https://www.airitibooks.com/Detail/Detail?PublicationID=P20150807005", "https://ntsu.idm.oclc.org/login?url=https://www.airitibooks.com/Detail/Detail?PublicationID=P20150807005")</f>
        <v>https://ntsu.idm.oclc.org/login?url=https://www.airitibooks.com/Detail/Detail?PublicationID=P20150807005</v>
      </c>
    </row>
    <row r="3947" spans="1:11" ht="51" x14ac:dyDescent="0.4">
      <c r="A3947" s="10" t="s">
        <v>2956</v>
      </c>
      <c r="B3947" s="10" t="s">
        <v>2957</v>
      </c>
      <c r="C3947" s="10" t="s">
        <v>1203</v>
      </c>
      <c r="D3947" s="10" t="s">
        <v>2958</v>
      </c>
      <c r="E3947" s="10" t="s">
        <v>30</v>
      </c>
      <c r="F3947" s="10" t="s">
        <v>2959</v>
      </c>
      <c r="G3947" s="10" t="s">
        <v>32</v>
      </c>
      <c r="H3947" s="7" t="s">
        <v>24</v>
      </c>
      <c r="I3947" s="7" t="s">
        <v>25</v>
      </c>
      <c r="J3947" s="13" t="str">
        <f>HYPERLINK("https://www.airitibooks.com/Detail/Detail?PublicationID=P20150807018", "https://www.airitibooks.com/Detail/Detail?PublicationID=P20150807018")</f>
        <v>https://www.airitibooks.com/Detail/Detail?PublicationID=P20150807018</v>
      </c>
      <c r="K3947" s="13" t="str">
        <f>HYPERLINK("https://ntsu.idm.oclc.org/login?url=https://www.airitibooks.com/Detail/Detail?PublicationID=P20150807018", "https://ntsu.idm.oclc.org/login?url=https://www.airitibooks.com/Detail/Detail?PublicationID=P20150807018")</f>
        <v>https://ntsu.idm.oclc.org/login?url=https://www.airitibooks.com/Detail/Detail?PublicationID=P20150807018</v>
      </c>
    </row>
    <row r="3948" spans="1:11" ht="51" x14ac:dyDescent="0.4">
      <c r="A3948" s="10" t="s">
        <v>2965</v>
      </c>
      <c r="B3948" s="10" t="s">
        <v>2966</v>
      </c>
      <c r="C3948" s="10" t="s">
        <v>297</v>
      </c>
      <c r="D3948" s="10" t="s">
        <v>2967</v>
      </c>
      <c r="E3948" s="10" t="s">
        <v>30</v>
      </c>
      <c r="F3948" s="10" t="s">
        <v>2856</v>
      </c>
      <c r="G3948" s="10" t="s">
        <v>32</v>
      </c>
      <c r="H3948" s="7" t="s">
        <v>24</v>
      </c>
      <c r="I3948" s="7" t="s">
        <v>25</v>
      </c>
      <c r="J3948" s="13" t="str">
        <f>HYPERLINK("https://www.airitibooks.com/Detail/Detail?PublicationID=P20150807027", "https://www.airitibooks.com/Detail/Detail?PublicationID=P20150807027")</f>
        <v>https://www.airitibooks.com/Detail/Detail?PublicationID=P20150807027</v>
      </c>
      <c r="K3948" s="13" t="str">
        <f>HYPERLINK("https://ntsu.idm.oclc.org/login?url=https://www.airitibooks.com/Detail/Detail?PublicationID=P20150807027", "https://ntsu.idm.oclc.org/login?url=https://www.airitibooks.com/Detail/Detail?PublicationID=P20150807027")</f>
        <v>https://ntsu.idm.oclc.org/login?url=https://www.airitibooks.com/Detail/Detail?PublicationID=P20150807027</v>
      </c>
    </row>
    <row r="3949" spans="1:11" ht="51" x14ac:dyDescent="0.4">
      <c r="A3949" s="10" t="s">
        <v>2973</v>
      </c>
      <c r="B3949" s="10" t="s">
        <v>2974</v>
      </c>
      <c r="C3949" s="10" t="s">
        <v>297</v>
      </c>
      <c r="D3949" s="10" t="s">
        <v>2975</v>
      </c>
      <c r="E3949" s="10" t="s">
        <v>30</v>
      </c>
      <c r="F3949" s="10" t="s">
        <v>2856</v>
      </c>
      <c r="G3949" s="10" t="s">
        <v>32</v>
      </c>
      <c r="H3949" s="7" t="s">
        <v>24</v>
      </c>
      <c r="I3949" s="7" t="s">
        <v>25</v>
      </c>
      <c r="J3949" s="13" t="str">
        <f>HYPERLINK("https://www.airitibooks.com/Detail/Detail?PublicationID=P20150807030", "https://www.airitibooks.com/Detail/Detail?PublicationID=P20150807030")</f>
        <v>https://www.airitibooks.com/Detail/Detail?PublicationID=P20150807030</v>
      </c>
      <c r="K3949" s="13" t="str">
        <f>HYPERLINK("https://ntsu.idm.oclc.org/login?url=https://www.airitibooks.com/Detail/Detail?PublicationID=P20150807030", "https://ntsu.idm.oclc.org/login?url=https://www.airitibooks.com/Detail/Detail?PublicationID=P20150807030")</f>
        <v>https://ntsu.idm.oclc.org/login?url=https://www.airitibooks.com/Detail/Detail?PublicationID=P20150807030</v>
      </c>
    </row>
    <row r="3950" spans="1:11" ht="51" x14ac:dyDescent="0.4">
      <c r="A3950" s="10" t="s">
        <v>2976</v>
      </c>
      <c r="B3950" s="10" t="s">
        <v>2977</v>
      </c>
      <c r="C3950" s="10" t="s">
        <v>297</v>
      </c>
      <c r="D3950" s="10" t="s">
        <v>2978</v>
      </c>
      <c r="E3950" s="10" t="s">
        <v>30</v>
      </c>
      <c r="F3950" s="10" t="s">
        <v>274</v>
      </c>
      <c r="G3950" s="10" t="s">
        <v>32</v>
      </c>
      <c r="H3950" s="7" t="s">
        <v>24</v>
      </c>
      <c r="I3950" s="7" t="s">
        <v>25</v>
      </c>
      <c r="J3950" s="13" t="str">
        <f>HYPERLINK("https://www.airitibooks.com/Detail/Detail?PublicationID=P20150807031", "https://www.airitibooks.com/Detail/Detail?PublicationID=P20150807031")</f>
        <v>https://www.airitibooks.com/Detail/Detail?PublicationID=P20150807031</v>
      </c>
      <c r="K3950" s="13" t="str">
        <f>HYPERLINK("https://ntsu.idm.oclc.org/login?url=https://www.airitibooks.com/Detail/Detail?PublicationID=P20150807031", "https://ntsu.idm.oclc.org/login?url=https://www.airitibooks.com/Detail/Detail?PublicationID=P20150807031")</f>
        <v>https://ntsu.idm.oclc.org/login?url=https://www.airitibooks.com/Detail/Detail?PublicationID=P20150807031</v>
      </c>
    </row>
    <row r="3951" spans="1:11" ht="51" x14ac:dyDescent="0.4">
      <c r="A3951" s="10" t="s">
        <v>2994</v>
      </c>
      <c r="B3951" s="10" t="s">
        <v>2995</v>
      </c>
      <c r="C3951" s="10" t="s">
        <v>2996</v>
      </c>
      <c r="D3951" s="10" t="s">
        <v>2997</v>
      </c>
      <c r="E3951" s="10" t="s">
        <v>30</v>
      </c>
      <c r="F3951" s="10" t="s">
        <v>181</v>
      </c>
      <c r="G3951" s="10" t="s">
        <v>32</v>
      </c>
      <c r="H3951" s="7" t="s">
        <v>24</v>
      </c>
      <c r="I3951" s="7" t="s">
        <v>25</v>
      </c>
      <c r="J3951" s="13" t="str">
        <f>HYPERLINK("https://www.airitibooks.com/Detail/Detail?PublicationID=P20150807044", "https://www.airitibooks.com/Detail/Detail?PublicationID=P20150807044")</f>
        <v>https://www.airitibooks.com/Detail/Detail?PublicationID=P20150807044</v>
      </c>
      <c r="K3951" s="13" t="str">
        <f>HYPERLINK("https://ntsu.idm.oclc.org/login?url=https://www.airitibooks.com/Detail/Detail?PublicationID=P20150807044", "https://ntsu.idm.oclc.org/login?url=https://www.airitibooks.com/Detail/Detail?PublicationID=P20150807044")</f>
        <v>https://ntsu.idm.oclc.org/login?url=https://www.airitibooks.com/Detail/Detail?PublicationID=P20150807044</v>
      </c>
    </row>
    <row r="3952" spans="1:11" ht="51" x14ac:dyDescent="0.4">
      <c r="A3952" s="10" t="s">
        <v>2998</v>
      </c>
      <c r="B3952" s="10" t="s">
        <v>2999</v>
      </c>
      <c r="C3952" s="10" t="s">
        <v>2996</v>
      </c>
      <c r="D3952" s="10" t="s">
        <v>3000</v>
      </c>
      <c r="E3952" s="10" t="s">
        <v>30</v>
      </c>
      <c r="F3952" s="10" t="s">
        <v>181</v>
      </c>
      <c r="G3952" s="10" t="s">
        <v>32</v>
      </c>
      <c r="H3952" s="7" t="s">
        <v>24</v>
      </c>
      <c r="I3952" s="7" t="s">
        <v>25</v>
      </c>
      <c r="J3952" s="13" t="str">
        <f>HYPERLINK("https://www.airitibooks.com/Detail/Detail?PublicationID=P20150807045", "https://www.airitibooks.com/Detail/Detail?PublicationID=P20150807045")</f>
        <v>https://www.airitibooks.com/Detail/Detail?PublicationID=P20150807045</v>
      </c>
      <c r="K3952" s="13" t="str">
        <f>HYPERLINK("https://ntsu.idm.oclc.org/login?url=https://www.airitibooks.com/Detail/Detail?PublicationID=P20150807045", "https://ntsu.idm.oclc.org/login?url=https://www.airitibooks.com/Detail/Detail?PublicationID=P20150807045")</f>
        <v>https://ntsu.idm.oclc.org/login?url=https://www.airitibooks.com/Detail/Detail?PublicationID=P20150807045</v>
      </c>
    </row>
    <row r="3953" spans="1:11" ht="51" x14ac:dyDescent="0.4">
      <c r="A3953" s="10" t="s">
        <v>3038</v>
      </c>
      <c r="B3953" s="10" t="s">
        <v>3039</v>
      </c>
      <c r="C3953" s="10" t="s">
        <v>3034</v>
      </c>
      <c r="D3953" s="10" t="s">
        <v>3035</v>
      </c>
      <c r="E3953" s="10" t="s">
        <v>30</v>
      </c>
      <c r="F3953" s="10" t="s">
        <v>2228</v>
      </c>
      <c r="G3953" s="10" t="s">
        <v>32</v>
      </c>
      <c r="H3953" s="7" t="s">
        <v>24</v>
      </c>
      <c r="I3953" s="7" t="s">
        <v>25</v>
      </c>
      <c r="J3953" s="13" t="str">
        <f>HYPERLINK("https://www.airitibooks.com/Detail/Detail?PublicationID=P20150820004", "https://www.airitibooks.com/Detail/Detail?PublicationID=P20150820004")</f>
        <v>https://www.airitibooks.com/Detail/Detail?PublicationID=P20150820004</v>
      </c>
      <c r="K3953" s="13" t="str">
        <f>HYPERLINK("https://ntsu.idm.oclc.org/login?url=https://www.airitibooks.com/Detail/Detail?PublicationID=P20150820004", "https://ntsu.idm.oclc.org/login?url=https://www.airitibooks.com/Detail/Detail?PublicationID=P20150820004")</f>
        <v>https://ntsu.idm.oclc.org/login?url=https://www.airitibooks.com/Detail/Detail?PublicationID=P20150820004</v>
      </c>
    </row>
    <row r="3954" spans="1:11" ht="51" x14ac:dyDescent="0.4">
      <c r="A3954" s="10" t="s">
        <v>3046</v>
      </c>
      <c r="B3954" s="10" t="s">
        <v>3047</v>
      </c>
      <c r="C3954" s="10" t="s">
        <v>3034</v>
      </c>
      <c r="D3954" s="10" t="s">
        <v>3035</v>
      </c>
      <c r="E3954" s="10" t="s">
        <v>30</v>
      </c>
      <c r="F3954" s="10" t="s">
        <v>3048</v>
      </c>
      <c r="G3954" s="10" t="s">
        <v>32</v>
      </c>
      <c r="H3954" s="7" t="s">
        <v>24</v>
      </c>
      <c r="I3954" s="7" t="s">
        <v>25</v>
      </c>
      <c r="J3954" s="13" t="str">
        <f>HYPERLINK("https://www.airitibooks.com/Detail/Detail?PublicationID=P20150820007", "https://www.airitibooks.com/Detail/Detail?PublicationID=P20150820007")</f>
        <v>https://www.airitibooks.com/Detail/Detail?PublicationID=P20150820007</v>
      </c>
      <c r="K3954" s="13" t="str">
        <f>HYPERLINK("https://ntsu.idm.oclc.org/login?url=https://www.airitibooks.com/Detail/Detail?PublicationID=P20150820007", "https://ntsu.idm.oclc.org/login?url=https://www.airitibooks.com/Detail/Detail?PublicationID=P20150820007")</f>
        <v>https://ntsu.idm.oclc.org/login?url=https://www.airitibooks.com/Detail/Detail?PublicationID=P20150820007</v>
      </c>
    </row>
    <row r="3955" spans="1:11" ht="51" x14ac:dyDescent="0.4">
      <c r="A3955" s="10" t="s">
        <v>3093</v>
      </c>
      <c r="B3955" s="10" t="s">
        <v>3094</v>
      </c>
      <c r="C3955" s="10" t="s">
        <v>1271</v>
      </c>
      <c r="D3955" s="10" t="s">
        <v>3095</v>
      </c>
      <c r="E3955" s="10" t="s">
        <v>30</v>
      </c>
      <c r="F3955" s="10" t="s">
        <v>2937</v>
      </c>
      <c r="G3955" s="10" t="s">
        <v>32</v>
      </c>
      <c r="H3955" s="7" t="s">
        <v>24</v>
      </c>
      <c r="I3955" s="7" t="s">
        <v>25</v>
      </c>
      <c r="J3955" s="13" t="str">
        <f>HYPERLINK("https://www.airitibooks.com/Detail/Detail?PublicationID=P20150820123", "https://www.airitibooks.com/Detail/Detail?PublicationID=P20150820123")</f>
        <v>https://www.airitibooks.com/Detail/Detail?PublicationID=P20150820123</v>
      </c>
      <c r="K3955" s="13" t="str">
        <f>HYPERLINK("https://ntsu.idm.oclc.org/login?url=https://www.airitibooks.com/Detail/Detail?PublicationID=P20150820123", "https://ntsu.idm.oclc.org/login?url=https://www.airitibooks.com/Detail/Detail?PublicationID=P20150820123")</f>
        <v>https://ntsu.idm.oclc.org/login?url=https://www.airitibooks.com/Detail/Detail?PublicationID=P20150820123</v>
      </c>
    </row>
    <row r="3956" spans="1:11" ht="51" x14ac:dyDescent="0.4">
      <c r="A3956" s="10" t="s">
        <v>3111</v>
      </c>
      <c r="B3956" s="10" t="s">
        <v>3112</v>
      </c>
      <c r="C3956" s="10" t="s">
        <v>1271</v>
      </c>
      <c r="D3956" s="10" t="s">
        <v>3113</v>
      </c>
      <c r="E3956" s="10" t="s">
        <v>30</v>
      </c>
      <c r="F3956" s="10" t="s">
        <v>3114</v>
      </c>
      <c r="G3956" s="10" t="s">
        <v>32</v>
      </c>
      <c r="H3956" s="7" t="s">
        <v>24</v>
      </c>
      <c r="I3956" s="7" t="s">
        <v>25</v>
      </c>
      <c r="J3956" s="13" t="str">
        <f>HYPERLINK("https://www.airitibooks.com/Detail/Detail?PublicationID=P20150820136", "https://www.airitibooks.com/Detail/Detail?PublicationID=P20150820136")</f>
        <v>https://www.airitibooks.com/Detail/Detail?PublicationID=P20150820136</v>
      </c>
      <c r="K3956" s="13" t="str">
        <f>HYPERLINK("https://ntsu.idm.oclc.org/login?url=https://www.airitibooks.com/Detail/Detail?PublicationID=P20150820136", "https://ntsu.idm.oclc.org/login?url=https://www.airitibooks.com/Detail/Detail?PublicationID=P20150820136")</f>
        <v>https://ntsu.idm.oclc.org/login?url=https://www.airitibooks.com/Detail/Detail?PublicationID=P20150820136</v>
      </c>
    </row>
    <row r="3957" spans="1:11" ht="51" x14ac:dyDescent="0.4">
      <c r="A3957" s="10" t="s">
        <v>3115</v>
      </c>
      <c r="B3957" s="10" t="s">
        <v>3116</v>
      </c>
      <c r="C3957" s="10" t="s">
        <v>1271</v>
      </c>
      <c r="D3957" s="10" t="s">
        <v>3113</v>
      </c>
      <c r="E3957" s="10" t="s">
        <v>30</v>
      </c>
      <c r="F3957" s="10" t="s">
        <v>3114</v>
      </c>
      <c r="G3957" s="10" t="s">
        <v>32</v>
      </c>
      <c r="H3957" s="7" t="s">
        <v>24</v>
      </c>
      <c r="I3957" s="7" t="s">
        <v>25</v>
      </c>
      <c r="J3957" s="13" t="str">
        <f>HYPERLINK("https://www.airitibooks.com/Detail/Detail?PublicationID=P20150820137", "https://www.airitibooks.com/Detail/Detail?PublicationID=P20150820137")</f>
        <v>https://www.airitibooks.com/Detail/Detail?PublicationID=P20150820137</v>
      </c>
      <c r="K3957" s="13" t="str">
        <f>HYPERLINK("https://ntsu.idm.oclc.org/login?url=https://www.airitibooks.com/Detail/Detail?PublicationID=P20150820137", "https://ntsu.idm.oclc.org/login?url=https://www.airitibooks.com/Detail/Detail?PublicationID=P20150820137")</f>
        <v>https://ntsu.idm.oclc.org/login?url=https://www.airitibooks.com/Detail/Detail?PublicationID=P20150820137</v>
      </c>
    </row>
    <row r="3958" spans="1:11" ht="51" x14ac:dyDescent="0.4">
      <c r="A3958" s="10" t="s">
        <v>3121</v>
      </c>
      <c r="B3958" s="10" t="s">
        <v>3122</v>
      </c>
      <c r="C3958" s="10" t="s">
        <v>1271</v>
      </c>
      <c r="D3958" s="10" t="s">
        <v>3123</v>
      </c>
      <c r="E3958" s="10" t="s">
        <v>30</v>
      </c>
      <c r="F3958" s="10" t="s">
        <v>3124</v>
      </c>
      <c r="G3958" s="10" t="s">
        <v>32</v>
      </c>
      <c r="H3958" s="7" t="s">
        <v>24</v>
      </c>
      <c r="I3958" s="7" t="s">
        <v>25</v>
      </c>
      <c r="J3958" s="13" t="str">
        <f>HYPERLINK("https://www.airitibooks.com/Detail/Detail?PublicationID=P20150820139", "https://www.airitibooks.com/Detail/Detail?PublicationID=P20150820139")</f>
        <v>https://www.airitibooks.com/Detail/Detail?PublicationID=P20150820139</v>
      </c>
      <c r="K3958" s="13" t="str">
        <f>HYPERLINK("https://ntsu.idm.oclc.org/login?url=https://www.airitibooks.com/Detail/Detail?PublicationID=P20150820139", "https://ntsu.idm.oclc.org/login?url=https://www.airitibooks.com/Detail/Detail?PublicationID=P20150820139")</f>
        <v>https://ntsu.idm.oclc.org/login?url=https://www.airitibooks.com/Detail/Detail?PublicationID=P20150820139</v>
      </c>
    </row>
    <row r="3959" spans="1:11" ht="51" x14ac:dyDescent="0.4">
      <c r="A3959" s="10" t="s">
        <v>3125</v>
      </c>
      <c r="B3959" s="10" t="s">
        <v>3126</v>
      </c>
      <c r="C3959" s="10" t="s">
        <v>1271</v>
      </c>
      <c r="D3959" s="10" t="s">
        <v>3127</v>
      </c>
      <c r="E3959" s="10" t="s">
        <v>30</v>
      </c>
      <c r="F3959" s="10" t="s">
        <v>3128</v>
      </c>
      <c r="G3959" s="10" t="s">
        <v>32</v>
      </c>
      <c r="H3959" s="7" t="s">
        <v>24</v>
      </c>
      <c r="I3959" s="7" t="s">
        <v>25</v>
      </c>
      <c r="J3959" s="13" t="str">
        <f>HYPERLINK("https://www.airitibooks.com/Detail/Detail?PublicationID=P20150820141", "https://www.airitibooks.com/Detail/Detail?PublicationID=P20150820141")</f>
        <v>https://www.airitibooks.com/Detail/Detail?PublicationID=P20150820141</v>
      </c>
      <c r="K3959" s="13" t="str">
        <f>HYPERLINK("https://ntsu.idm.oclc.org/login?url=https://www.airitibooks.com/Detail/Detail?PublicationID=P20150820141", "https://ntsu.idm.oclc.org/login?url=https://www.airitibooks.com/Detail/Detail?PublicationID=P20150820141")</f>
        <v>https://ntsu.idm.oclc.org/login?url=https://www.airitibooks.com/Detail/Detail?PublicationID=P20150820141</v>
      </c>
    </row>
    <row r="3960" spans="1:11" ht="51" x14ac:dyDescent="0.4">
      <c r="A3960" s="10" t="s">
        <v>3162</v>
      </c>
      <c r="B3960" s="10" t="s">
        <v>3163</v>
      </c>
      <c r="C3960" s="10" t="s">
        <v>1271</v>
      </c>
      <c r="D3960" s="10" t="s">
        <v>3164</v>
      </c>
      <c r="E3960" s="10" t="s">
        <v>30</v>
      </c>
      <c r="F3960" s="10" t="s">
        <v>3165</v>
      </c>
      <c r="G3960" s="10" t="s">
        <v>32</v>
      </c>
      <c r="H3960" s="7" t="s">
        <v>24</v>
      </c>
      <c r="I3960" s="7" t="s">
        <v>25</v>
      </c>
      <c r="J3960" s="13" t="str">
        <f>HYPERLINK("https://www.airitibooks.com/Detail/Detail?PublicationID=P20150820151", "https://www.airitibooks.com/Detail/Detail?PublicationID=P20150820151")</f>
        <v>https://www.airitibooks.com/Detail/Detail?PublicationID=P20150820151</v>
      </c>
      <c r="K3960" s="13" t="str">
        <f>HYPERLINK("https://ntsu.idm.oclc.org/login?url=https://www.airitibooks.com/Detail/Detail?PublicationID=P20150820151", "https://ntsu.idm.oclc.org/login?url=https://www.airitibooks.com/Detail/Detail?PublicationID=P20150820151")</f>
        <v>https://ntsu.idm.oclc.org/login?url=https://www.airitibooks.com/Detail/Detail?PublicationID=P20150820151</v>
      </c>
    </row>
    <row r="3961" spans="1:11" ht="51" x14ac:dyDescent="0.4">
      <c r="A3961" s="10" t="s">
        <v>3308</v>
      </c>
      <c r="B3961" s="10" t="s">
        <v>3309</v>
      </c>
      <c r="C3961" s="10" t="s">
        <v>3034</v>
      </c>
      <c r="D3961" s="10" t="s">
        <v>3306</v>
      </c>
      <c r="E3961" s="10" t="s">
        <v>30</v>
      </c>
      <c r="F3961" s="10" t="s">
        <v>2228</v>
      </c>
      <c r="G3961" s="10" t="s">
        <v>32</v>
      </c>
      <c r="H3961" s="7" t="s">
        <v>24</v>
      </c>
      <c r="I3961" s="7" t="s">
        <v>25</v>
      </c>
      <c r="J3961" s="13" t="str">
        <f>HYPERLINK("https://www.airitibooks.com/Detail/Detail?PublicationID=P20150821148", "https://www.airitibooks.com/Detail/Detail?PublicationID=P20150821148")</f>
        <v>https://www.airitibooks.com/Detail/Detail?PublicationID=P20150821148</v>
      </c>
      <c r="K3961" s="13" t="str">
        <f>HYPERLINK("https://ntsu.idm.oclc.org/login?url=https://www.airitibooks.com/Detail/Detail?PublicationID=P20150821148", "https://ntsu.idm.oclc.org/login?url=https://www.airitibooks.com/Detail/Detail?PublicationID=P20150821148")</f>
        <v>https://ntsu.idm.oclc.org/login?url=https://www.airitibooks.com/Detail/Detail?PublicationID=P20150821148</v>
      </c>
    </row>
    <row r="3962" spans="1:11" ht="51" x14ac:dyDescent="0.4">
      <c r="A3962" s="10" t="s">
        <v>3312</v>
      </c>
      <c r="B3962" s="10" t="s">
        <v>3313</v>
      </c>
      <c r="C3962" s="10" t="s">
        <v>3034</v>
      </c>
      <c r="D3962" s="10" t="s">
        <v>3306</v>
      </c>
      <c r="E3962" s="10" t="s">
        <v>30</v>
      </c>
      <c r="F3962" s="10" t="s">
        <v>445</v>
      </c>
      <c r="G3962" s="10" t="s">
        <v>32</v>
      </c>
      <c r="H3962" s="7" t="s">
        <v>24</v>
      </c>
      <c r="I3962" s="7" t="s">
        <v>25</v>
      </c>
      <c r="J3962" s="13" t="str">
        <f>HYPERLINK("https://www.airitibooks.com/Detail/Detail?PublicationID=P20150821155", "https://www.airitibooks.com/Detail/Detail?PublicationID=P20150821155")</f>
        <v>https://www.airitibooks.com/Detail/Detail?PublicationID=P20150821155</v>
      </c>
      <c r="K3962" s="13" t="str">
        <f>HYPERLINK("https://ntsu.idm.oclc.org/login?url=https://www.airitibooks.com/Detail/Detail?PublicationID=P20150821155", "https://ntsu.idm.oclc.org/login?url=https://www.airitibooks.com/Detail/Detail?PublicationID=P20150821155")</f>
        <v>https://ntsu.idm.oclc.org/login?url=https://www.airitibooks.com/Detail/Detail?PublicationID=P20150821155</v>
      </c>
    </row>
    <row r="3963" spans="1:11" ht="51" x14ac:dyDescent="0.4">
      <c r="A3963" s="10" t="s">
        <v>3314</v>
      </c>
      <c r="B3963" s="10" t="s">
        <v>3315</v>
      </c>
      <c r="C3963" s="10" t="s">
        <v>3034</v>
      </c>
      <c r="D3963" s="10" t="s">
        <v>3306</v>
      </c>
      <c r="E3963" s="10" t="s">
        <v>30</v>
      </c>
      <c r="F3963" s="10" t="s">
        <v>3316</v>
      </c>
      <c r="G3963" s="10" t="s">
        <v>32</v>
      </c>
      <c r="H3963" s="7" t="s">
        <v>24</v>
      </c>
      <c r="I3963" s="7" t="s">
        <v>25</v>
      </c>
      <c r="J3963" s="13" t="str">
        <f>HYPERLINK("https://www.airitibooks.com/Detail/Detail?PublicationID=P20150821162", "https://www.airitibooks.com/Detail/Detail?PublicationID=P20150821162")</f>
        <v>https://www.airitibooks.com/Detail/Detail?PublicationID=P20150821162</v>
      </c>
      <c r="K3963" s="13" t="str">
        <f>HYPERLINK("https://ntsu.idm.oclc.org/login?url=https://www.airitibooks.com/Detail/Detail?PublicationID=P20150821162", "https://ntsu.idm.oclc.org/login?url=https://www.airitibooks.com/Detail/Detail?PublicationID=P20150821162")</f>
        <v>https://ntsu.idm.oclc.org/login?url=https://www.airitibooks.com/Detail/Detail?PublicationID=P20150821162</v>
      </c>
    </row>
    <row r="3964" spans="1:11" ht="51" x14ac:dyDescent="0.4">
      <c r="A3964" s="10" t="s">
        <v>3522</v>
      </c>
      <c r="B3964" s="10" t="s">
        <v>3523</v>
      </c>
      <c r="C3964" s="10" t="s">
        <v>838</v>
      </c>
      <c r="D3964" s="10" t="s">
        <v>3524</v>
      </c>
      <c r="E3964" s="10" t="s">
        <v>30</v>
      </c>
      <c r="F3964" s="10" t="s">
        <v>555</v>
      </c>
      <c r="G3964" s="10" t="s">
        <v>32</v>
      </c>
      <c r="H3964" s="7" t="s">
        <v>24</v>
      </c>
      <c r="I3964" s="7" t="s">
        <v>25</v>
      </c>
      <c r="J3964" s="13" t="str">
        <f>HYPERLINK("https://www.airitibooks.com/Detail/Detail?PublicationID=P20150918103", "https://www.airitibooks.com/Detail/Detail?PublicationID=P20150918103")</f>
        <v>https://www.airitibooks.com/Detail/Detail?PublicationID=P20150918103</v>
      </c>
      <c r="K3964" s="13" t="str">
        <f>HYPERLINK("https://ntsu.idm.oclc.org/login?url=https://www.airitibooks.com/Detail/Detail?PublicationID=P20150918103", "https://ntsu.idm.oclc.org/login?url=https://www.airitibooks.com/Detail/Detail?PublicationID=P20150918103")</f>
        <v>https://ntsu.idm.oclc.org/login?url=https://www.airitibooks.com/Detail/Detail?PublicationID=P20150918103</v>
      </c>
    </row>
    <row r="3965" spans="1:11" ht="51" x14ac:dyDescent="0.4">
      <c r="A3965" s="10" t="s">
        <v>3525</v>
      </c>
      <c r="B3965" s="10" t="s">
        <v>3526</v>
      </c>
      <c r="C3965" s="10" t="s">
        <v>838</v>
      </c>
      <c r="D3965" s="10" t="s">
        <v>3527</v>
      </c>
      <c r="E3965" s="10" t="s">
        <v>30</v>
      </c>
      <c r="F3965" s="10" t="s">
        <v>185</v>
      </c>
      <c r="G3965" s="10" t="s">
        <v>32</v>
      </c>
      <c r="H3965" s="7" t="s">
        <v>24</v>
      </c>
      <c r="I3965" s="7" t="s">
        <v>25</v>
      </c>
      <c r="J3965" s="13" t="str">
        <f>HYPERLINK("https://www.airitibooks.com/Detail/Detail?PublicationID=P20150918104", "https://www.airitibooks.com/Detail/Detail?PublicationID=P20150918104")</f>
        <v>https://www.airitibooks.com/Detail/Detail?PublicationID=P20150918104</v>
      </c>
      <c r="K3965" s="13" t="str">
        <f>HYPERLINK("https://ntsu.idm.oclc.org/login?url=https://www.airitibooks.com/Detail/Detail?PublicationID=P20150918104", "https://ntsu.idm.oclc.org/login?url=https://www.airitibooks.com/Detail/Detail?PublicationID=P20150918104")</f>
        <v>https://ntsu.idm.oclc.org/login?url=https://www.airitibooks.com/Detail/Detail?PublicationID=P20150918104</v>
      </c>
    </row>
    <row r="3966" spans="1:11" ht="51" x14ac:dyDescent="0.4">
      <c r="A3966" s="10" t="s">
        <v>3528</v>
      </c>
      <c r="B3966" s="10" t="s">
        <v>3529</v>
      </c>
      <c r="C3966" s="10" t="s">
        <v>838</v>
      </c>
      <c r="D3966" s="10" t="s">
        <v>3530</v>
      </c>
      <c r="E3966" s="10" t="s">
        <v>30</v>
      </c>
      <c r="F3966" s="10" t="s">
        <v>1913</v>
      </c>
      <c r="G3966" s="10" t="s">
        <v>32</v>
      </c>
      <c r="H3966" s="7" t="s">
        <v>24</v>
      </c>
      <c r="I3966" s="7" t="s">
        <v>25</v>
      </c>
      <c r="J3966" s="13" t="str">
        <f>HYPERLINK("https://www.airitibooks.com/Detail/Detail?PublicationID=P20150918106", "https://www.airitibooks.com/Detail/Detail?PublicationID=P20150918106")</f>
        <v>https://www.airitibooks.com/Detail/Detail?PublicationID=P20150918106</v>
      </c>
      <c r="K3966" s="13" t="str">
        <f>HYPERLINK("https://ntsu.idm.oclc.org/login?url=https://www.airitibooks.com/Detail/Detail?PublicationID=P20150918106", "https://ntsu.idm.oclc.org/login?url=https://www.airitibooks.com/Detail/Detail?PublicationID=P20150918106")</f>
        <v>https://ntsu.idm.oclc.org/login?url=https://www.airitibooks.com/Detail/Detail?PublicationID=P20150918106</v>
      </c>
    </row>
    <row r="3967" spans="1:11" ht="51" x14ac:dyDescent="0.4">
      <c r="A3967" s="10" t="s">
        <v>3531</v>
      </c>
      <c r="B3967" s="10" t="s">
        <v>3532</v>
      </c>
      <c r="C3967" s="10" t="s">
        <v>838</v>
      </c>
      <c r="D3967" s="10" t="s">
        <v>3533</v>
      </c>
      <c r="E3967" s="10" t="s">
        <v>30</v>
      </c>
      <c r="F3967" s="10" t="s">
        <v>3534</v>
      </c>
      <c r="G3967" s="10" t="s">
        <v>32</v>
      </c>
      <c r="H3967" s="7" t="s">
        <v>24</v>
      </c>
      <c r="I3967" s="7" t="s">
        <v>25</v>
      </c>
      <c r="J3967" s="13" t="str">
        <f>HYPERLINK("https://www.airitibooks.com/Detail/Detail?PublicationID=P20150918107", "https://www.airitibooks.com/Detail/Detail?PublicationID=P20150918107")</f>
        <v>https://www.airitibooks.com/Detail/Detail?PublicationID=P20150918107</v>
      </c>
      <c r="K3967" s="13" t="str">
        <f>HYPERLINK("https://ntsu.idm.oclc.org/login?url=https://www.airitibooks.com/Detail/Detail?PublicationID=P20150918107", "https://ntsu.idm.oclc.org/login?url=https://www.airitibooks.com/Detail/Detail?PublicationID=P20150918107")</f>
        <v>https://ntsu.idm.oclc.org/login?url=https://www.airitibooks.com/Detail/Detail?PublicationID=P20150918107</v>
      </c>
    </row>
    <row r="3968" spans="1:11" ht="51" x14ac:dyDescent="0.4">
      <c r="A3968" s="10" t="s">
        <v>3537</v>
      </c>
      <c r="B3968" s="10" t="s">
        <v>3538</v>
      </c>
      <c r="C3968" s="10" t="s">
        <v>297</v>
      </c>
      <c r="D3968" s="10" t="s">
        <v>2967</v>
      </c>
      <c r="E3968" s="10" t="s">
        <v>30</v>
      </c>
      <c r="F3968" s="10" t="s">
        <v>2856</v>
      </c>
      <c r="G3968" s="10" t="s">
        <v>32</v>
      </c>
      <c r="H3968" s="7" t="s">
        <v>24</v>
      </c>
      <c r="I3968" s="7" t="s">
        <v>25</v>
      </c>
      <c r="J3968" s="13" t="str">
        <f>HYPERLINK("https://www.airitibooks.com/Detail/Detail?PublicationID=P20150921005", "https://www.airitibooks.com/Detail/Detail?PublicationID=P20150921005")</f>
        <v>https://www.airitibooks.com/Detail/Detail?PublicationID=P20150921005</v>
      </c>
      <c r="K3968" s="13" t="str">
        <f>HYPERLINK("https://ntsu.idm.oclc.org/login?url=https://www.airitibooks.com/Detail/Detail?PublicationID=P20150921005", "https://ntsu.idm.oclc.org/login?url=https://www.airitibooks.com/Detail/Detail?PublicationID=P20150921005")</f>
        <v>https://ntsu.idm.oclc.org/login?url=https://www.airitibooks.com/Detail/Detail?PublicationID=P20150921005</v>
      </c>
    </row>
    <row r="3969" spans="1:11" ht="51" x14ac:dyDescent="0.4">
      <c r="A3969" s="10" t="s">
        <v>3591</v>
      </c>
      <c r="B3969" s="10" t="s">
        <v>3592</v>
      </c>
      <c r="C3969" s="10" t="s">
        <v>2367</v>
      </c>
      <c r="D3969" s="10" t="s">
        <v>2368</v>
      </c>
      <c r="E3969" s="10" t="s">
        <v>30</v>
      </c>
      <c r="F3969" s="10" t="s">
        <v>3593</v>
      </c>
      <c r="G3969" s="10" t="s">
        <v>32</v>
      </c>
      <c r="H3969" s="7" t="s">
        <v>24</v>
      </c>
      <c r="I3969" s="7" t="s">
        <v>25</v>
      </c>
      <c r="J3969" s="13" t="str">
        <f>HYPERLINK("https://www.airitibooks.com/Detail/Detail?PublicationID=P20150922002", "https://www.airitibooks.com/Detail/Detail?PublicationID=P20150922002")</f>
        <v>https://www.airitibooks.com/Detail/Detail?PublicationID=P20150922002</v>
      </c>
      <c r="K3969" s="13" t="str">
        <f>HYPERLINK("https://ntsu.idm.oclc.org/login?url=https://www.airitibooks.com/Detail/Detail?PublicationID=P20150922002", "https://ntsu.idm.oclc.org/login?url=https://www.airitibooks.com/Detail/Detail?PublicationID=P20150922002")</f>
        <v>https://ntsu.idm.oclc.org/login?url=https://www.airitibooks.com/Detail/Detail?PublicationID=P20150922002</v>
      </c>
    </row>
    <row r="3970" spans="1:11" ht="51" x14ac:dyDescent="0.4">
      <c r="A3970" s="10" t="s">
        <v>3598</v>
      </c>
      <c r="B3970" s="10" t="s">
        <v>3599</v>
      </c>
      <c r="C3970" s="10" t="s">
        <v>2367</v>
      </c>
      <c r="D3970" s="10" t="s">
        <v>3600</v>
      </c>
      <c r="E3970" s="10" t="s">
        <v>30</v>
      </c>
      <c r="F3970" s="10" t="s">
        <v>176</v>
      </c>
      <c r="G3970" s="10" t="s">
        <v>32</v>
      </c>
      <c r="H3970" s="7" t="s">
        <v>24</v>
      </c>
      <c r="I3970" s="7" t="s">
        <v>25</v>
      </c>
      <c r="J3970" s="13" t="str">
        <f>HYPERLINK("https://www.airitibooks.com/Detail/Detail?PublicationID=P20150922005", "https://www.airitibooks.com/Detail/Detail?PublicationID=P20150922005")</f>
        <v>https://www.airitibooks.com/Detail/Detail?PublicationID=P20150922005</v>
      </c>
      <c r="K3970" s="13" t="str">
        <f>HYPERLINK("https://ntsu.idm.oclc.org/login?url=https://www.airitibooks.com/Detail/Detail?PublicationID=P20150922005", "https://ntsu.idm.oclc.org/login?url=https://www.airitibooks.com/Detail/Detail?PublicationID=P20150922005")</f>
        <v>https://ntsu.idm.oclc.org/login?url=https://www.airitibooks.com/Detail/Detail?PublicationID=P20150922005</v>
      </c>
    </row>
    <row r="3971" spans="1:11" ht="51" x14ac:dyDescent="0.4">
      <c r="A3971" s="10" t="s">
        <v>3601</v>
      </c>
      <c r="B3971" s="10" t="s">
        <v>3602</v>
      </c>
      <c r="C3971" s="10" t="s">
        <v>2367</v>
      </c>
      <c r="D3971" s="10" t="s">
        <v>3603</v>
      </c>
      <c r="E3971" s="10" t="s">
        <v>30</v>
      </c>
      <c r="F3971" s="10" t="s">
        <v>3604</v>
      </c>
      <c r="G3971" s="10" t="s">
        <v>32</v>
      </c>
      <c r="H3971" s="7" t="s">
        <v>24</v>
      </c>
      <c r="I3971" s="7" t="s">
        <v>25</v>
      </c>
      <c r="J3971" s="13" t="str">
        <f>HYPERLINK("https://www.airitibooks.com/Detail/Detail?PublicationID=P20150922008", "https://www.airitibooks.com/Detail/Detail?PublicationID=P20150922008")</f>
        <v>https://www.airitibooks.com/Detail/Detail?PublicationID=P20150922008</v>
      </c>
      <c r="K3971" s="13" t="str">
        <f>HYPERLINK("https://ntsu.idm.oclc.org/login?url=https://www.airitibooks.com/Detail/Detail?PublicationID=P20150922008", "https://ntsu.idm.oclc.org/login?url=https://www.airitibooks.com/Detail/Detail?PublicationID=P20150922008")</f>
        <v>https://ntsu.idm.oclc.org/login?url=https://www.airitibooks.com/Detail/Detail?PublicationID=P20150922008</v>
      </c>
    </row>
    <row r="3972" spans="1:11" ht="51" x14ac:dyDescent="0.4">
      <c r="A3972" s="10" t="s">
        <v>3605</v>
      </c>
      <c r="B3972" s="10" t="s">
        <v>3606</v>
      </c>
      <c r="C3972" s="10" t="s">
        <v>2367</v>
      </c>
      <c r="D3972" s="10" t="s">
        <v>3607</v>
      </c>
      <c r="E3972" s="10" t="s">
        <v>30</v>
      </c>
      <c r="F3972" s="10" t="s">
        <v>2844</v>
      </c>
      <c r="G3972" s="10" t="s">
        <v>32</v>
      </c>
      <c r="H3972" s="7" t="s">
        <v>24</v>
      </c>
      <c r="I3972" s="7" t="s">
        <v>25</v>
      </c>
      <c r="J3972" s="13" t="str">
        <f>HYPERLINK("https://www.airitibooks.com/Detail/Detail?PublicationID=P20150922009", "https://www.airitibooks.com/Detail/Detail?PublicationID=P20150922009")</f>
        <v>https://www.airitibooks.com/Detail/Detail?PublicationID=P20150922009</v>
      </c>
      <c r="K3972" s="13" t="str">
        <f>HYPERLINK("https://ntsu.idm.oclc.org/login?url=https://www.airitibooks.com/Detail/Detail?PublicationID=P20150922009", "https://ntsu.idm.oclc.org/login?url=https://www.airitibooks.com/Detail/Detail?PublicationID=P20150922009")</f>
        <v>https://ntsu.idm.oclc.org/login?url=https://www.airitibooks.com/Detail/Detail?PublicationID=P20150922009</v>
      </c>
    </row>
    <row r="3973" spans="1:11" ht="51" x14ac:dyDescent="0.4">
      <c r="A3973" s="10" t="s">
        <v>3608</v>
      </c>
      <c r="B3973" s="10" t="s">
        <v>3609</v>
      </c>
      <c r="C3973" s="10" t="s">
        <v>2367</v>
      </c>
      <c r="D3973" s="10" t="s">
        <v>3607</v>
      </c>
      <c r="E3973" s="10" t="s">
        <v>30</v>
      </c>
      <c r="F3973" s="10" t="s">
        <v>185</v>
      </c>
      <c r="G3973" s="10" t="s">
        <v>32</v>
      </c>
      <c r="H3973" s="7" t="s">
        <v>24</v>
      </c>
      <c r="I3973" s="7" t="s">
        <v>25</v>
      </c>
      <c r="J3973" s="13" t="str">
        <f>HYPERLINK("https://www.airitibooks.com/Detail/Detail?PublicationID=P20150922010", "https://www.airitibooks.com/Detail/Detail?PublicationID=P20150922010")</f>
        <v>https://www.airitibooks.com/Detail/Detail?PublicationID=P20150922010</v>
      </c>
      <c r="K3973" s="13" t="str">
        <f>HYPERLINK("https://ntsu.idm.oclc.org/login?url=https://www.airitibooks.com/Detail/Detail?PublicationID=P20150922010", "https://ntsu.idm.oclc.org/login?url=https://www.airitibooks.com/Detail/Detail?PublicationID=P20150922010")</f>
        <v>https://ntsu.idm.oclc.org/login?url=https://www.airitibooks.com/Detail/Detail?PublicationID=P20150922010</v>
      </c>
    </row>
    <row r="3974" spans="1:11" ht="51" x14ac:dyDescent="0.4">
      <c r="A3974" s="10" t="s">
        <v>3613</v>
      </c>
      <c r="B3974" s="10" t="s">
        <v>3614</v>
      </c>
      <c r="C3974" s="10" t="s">
        <v>2367</v>
      </c>
      <c r="D3974" s="10" t="s">
        <v>3615</v>
      </c>
      <c r="E3974" s="10" t="s">
        <v>30</v>
      </c>
      <c r="F3974" s="10" t="s">
        <v>3616</v>
      </c>
      <c r="G3974" s="10" t="s">
        <v>32</v>
      </c>
      <c r="H3974" s="7" t="s">
        <v>24</v>
      </c>
      <c r="I3974" s="7" t="s">
        <v>25</v>
      </c>
      <c r="J3974" s="13" t="str">
        <f>HYPERLINK("https://www.airitibooks.com/Detail/Detail?PublicationID=P20150922017", "https://www.airitibooks.com/Detail/Detail?PublicationID=P20150922017")</f>
        <v>https://www.airitibooks.com/Detail/Detail?PublicationID=P20150922017</v>
      </c>
      <c r="K3974" s="13" t="str">
        <f>HYPERLINK("https://ntsu.idm.oclc.org/login?url=https://www.airitibooks.com/Detail/Detail?PublicationID=P20150922017", "https://ntsu.idm.oclc.org/login?url=https://www.airitibooks.com/Detail/Detail?PublicationID=P20150922017")</f>
        <v>https://ntsu.idm.oclc.org/login?url=https://www.airitibooks.com/Detail/Detail?PublicationID=P20150922017</v>
      </c>
    </row>
    <row r="3975" spans="1:11" ht="51" x14ac:dyDescent="0.4">
      <c r="A3975" s="10" t="s">
        <v>3617</v>
      </c>
      <c r="B3975" s="10" t="s">
        <v>3618</v>
      </c>
      <c r="C3975" s="10" t="s">
        <v>2367</v>
      </c>
      <c r="D3975" s="10" t="s">
        <v>2368</v>
      </c>
      <c r="E3975" s="10" t="s">
        <v>30</v>
      </c>
      <c r="F3975" s="10" t="s">
        <v>3619</v>
      </c>
      <c r="G3975" s="10" t="s">
        <v>32</v>
      </c>
      <c r="H3975" s="7" t="s">
        <v>24</v>
      </c>
      <c r="I3975" s="7" t="s">
        <v>25</v>
      </c>
      <c r="J3975" s="13" t="str">
        <f>HYPERLINK("https://www.airitibooks.com/Detail/Detail?PublicationID=P20150922018", "https://www.airitibooks.com/Detail/Detail?PublicationID=P20150922018")</f>
        <v>https://www.airitibooks.com/Detail/Detail?PublicationID=P20150922018</v>
      </c>
      <c r="K3975" s="13" t="str">
        <f>HYPERLINK("https://ntsu.idm.oclc.org/login?url=https://www.airitibooks.com/Detail/Detail?PublicationID=P20150922018", "https://ntsu.idm.oclc.org/login?url=https://www.airitibooks.com/Detail/Detail?PublicationID=P20150922018")</f>
        <v>https://ntsu.idm.oclc.org/login?url=https://www.airitibooks.com/Detail/Detail?PublicationID=P20150922018</v>
      </c>
    </row>
    <row r="3976" spans="1:11" ht="51" x14ac:dyDescent="0.4">
      <c r="A3976" s="10" t="s">
        <v>3620</v>
      </c>
      <c r="B3976" s="10" t="s">
        <v>3621</v>
      </c>
      <c r="C3976" s="10" t="s">
        <v>2367</v>
      </c>
      <c r="D3976" s="10" t="s">
        <v>3607</v>
      </c>
      <c r="E3976" s="10" t="s">
        <v>30</v>
      </c>
      <c r="F3976" s="10" t="s">
        <v>185</v>
      </c>
      <c r="G3976" s="10" t="s">
        <v>32</v>
      </c>
      <c r="H3976" s="7" t="s">
        <v>24</v>
      </c>
      <c r="I3976" s="7" t="s">
        <v>25</v>
      </c>
      <c r="J3976" s="13" t="str">
        <f>HYPERLINK("https://www.airitibooks.com/Detail/Detail?PublicationID=P20150922019", "https://www.airitibooks.com/Detail/Detail?PublicationID=P20150922019")</f>
        <v>https://www.airitibooks.com/Detail/Detail?PublicationID=P20150922019</v>
      </c>
      <c r="K3976" s="13" t="str">
        <f>HYPERLINK("https://ntsu.idm.oclc.org/login?url=https://www.airitibooks.com/Detail/Detail?PublicationID=P20150922019", "https://ntsu.idm.oclc.org/login?url=https://www.airitibooks.com/Detail/Detail?PublicationID=P20150922019")</f>
        <v>https://ntsu.idm.oclc.org/login?url=https://www.airitibooks.com/Detail/Detail?PublicationID=P20150922019</v>
      </c>
    </row>
    <row r="3977" spans="1:11" ht="51" x14ac:dyDescent="0.4">
      <c r="A3977" s="10" t="s">
        <v>3622</v>
      </c>
      <c r="B3977" s="10" t="s">
        <v>3623</v>
      </c>
      <c r="C3977" s="10" t="s">
        <v>2367</v>
      </c>
      <c r="D3977" s="10" t="s">
        <v>3607</v>
      </c>
      <c r="E3977" s="10" t="s">
        <v>30</v>
      </c>
      <c r="F3977" s="10" t="s">
        <v>185</v>
      </c>
      <c r="G3977" s="10" t="s">
        <v>32</v>
      </c>
      <c r="H3977" s="7" t="s">
        <v>24</v>
      </c>
      <c r="I3977" s="7" t="s">
        <v>25</v>
      </c>
      <c r="J3977" s="13" t="str">
        <f>HYPERLINK("https://www.airitibooks.com/Detail/Detail?PublicationID=P20150922020", "https://www.airitibooks.com/Detail/Detail?PublicationID=P20150922020")</f>
        <v>https://www.airitibooks.com/Detail/Detail?PublicationID=P20150922020</v>
      </c>
      <c r="K3977" s="13" t="str">
        <f>HYPERLINK("https://ntsu.idm.oclc.org/login?url=https://www.airitibooks.com/Detail/Detail?PublicationID=P20150922020", "https://ntsu.idm.oclc.org/login?url=https://www.airitibooks.com/Detail/Detail?PublicationID=P20150922020")</f>
        <v>https://ntsu.idm.oclc.org/login?url=https://www.airitibooks.com/Detail/Detail?PublicationID=P20150922020</v>
      </c>
    </row>
    <row r="3978" spans="1:11" ht="51" x14ac:dyDescent="0.4">
      <c r="A3978" s="10" t="s">
        <v>3624</v>
      </c>
      <c r="B3978" s="10" t="s">
        <v>3625</v>
      </c>
      <c r="C3978" s="10" t="s">
        <v>2367</v>
      </c>
      <c r="D3978" s="10" t="s">
        <v>3607</v>
      </c>
      <c r="E3978" s="10" t="s">
        <v>30</v>
      </c>
      <c r="F3978" s="10" t="s">
        <v>3626</v>
      </c>
      <c r="G3978" s="10" t="s">
        <v>32</v>
      </c>
      <c r="H3978" s="7" t="s">
        <v>24</v>
      </c>
      <c r="I3978" s="7" t="s">
        <v>25</v>
      </c>
      <c r="J3978" s="13" t="str">
        <f>HYPERLINK("https://www.airitibooks.com/Detail/Detail?PublicationID=P20150922021", "https://www.airitibooks.com/Detail/Detail?PublicationID=P20150922021")</f>
        <v>https://www.airitibooks.com/Detail/Detail?PublicationID=P20150922021</v>
      </c>
      <c r="K3978" s="13" t="str">
        <f>HYPERLINK("https://ntsu.idm.oclc.org/login?url=https://www.airitibooks.com/Detail/Detail?PublicationID=P20150922021", "https://ntsu.idm.oclc.org/login?url=https://www.airitibooks.com/Detail/Detail?PublicationID=P20150922021")</f>
        <v>https://ntsu.idm.oclc.org/login?url=https://www.airitibooks.com/Detail/Detail?PublicationID=P20150922021</v>
      </c>
    </row>
    <row r="3979" spans="1:11" ht="51" x14ac:dyDescent="0.4">
      <c r="A3979" s="10" t="s">
        <v>3627</v>
      </c>
      <c r="B3979" s="10" t="s">
        <v>3628</v>
      </c>
      <c r="C3979" s="10" t="s">
        <v>2367</v>
      </c>
      <c r="D3979" s="10" t="s">
        <v>3629</v>
      </c>
      <c r="E3979" s="10" t="s">
        <v>30</v>
      </c>
      <c r="F3979" s="10" t="s">
        <v>3619</v>
      </c>
      <c r="G3979" s="10" t="s">
        <v>32</v>
      </c>
      <c r="H3979" s="7" t="s">
        <v>24</v>
      </c>
      <c r="I3979" s="7" t="s">
        <v>25</v>
      </c>
      <c r="J3979" s="13" t="str">
        <f>HYPERLINK("https://www.airitibooks.com/Detail/Detail?PublicationID=P20150922022", "https://www.airitibooks.com/Detail/Detail?PublicationID=P20150922022")</f>
        <v>https://www.airitibooks.com/Detail/Detail?PublicationID=P20150922022</v>
      </c>
      <c r="K3979" s="13" t="str">
        <f>HYPERLINK("https://ntsu.idm.oclc.org/login?url=https://www.airitibooks.com/Detail/Detail?PublicationID=P20150922022", "https://ntsu.idm.oclc.org/login?url=https://www.airitibooks.com/Detail/Detail?PublicationID=P20150922022")</f>
        <v>https://ntsu.idm.oclc.org/login?url=https://www.airitibooks.com/Detail/Detail?PublicationID=P20150922022</v>
      </c>
    </row>
    <row r="3980" spans="1:11" ht="51" x14ac:dyDescent="0.4">
      <c r="A3980" s="10" t="s">
        <v>3630</v>
      </c>
      <c r="B3980" s="10" t="s">
        <v>3631</v>
      </c>
      <c r="C3980" s="10" t="s">
        <v>2367</v>
      </c>
      <c r="D3980" s="10" t="s">
        <v>3632</v>
      </c>
      <c r="E3980" s="10" t="s">
        <v>30</v>
      </c>
      <c r="F3980" s="10" t="s">
        <v>185</v>
      </c>
      <c r="G3980" s="10" t="s">
        <v>32</v>
      </c>
      <c r="H3980" s="7" t="s">
        <v>24</v>
      </c>
      <c r="I3980" s="7" t="s">
        <v>25</v>
      </c>
      <c r="J3980" s="13" t="str">
        <f>HYPERLINK("https://www.airitibooks.com/Detail/Detail?PublicationID=P20150922024", "https://www.airitibooks.com/Detail/Detail?PublicationID=P20150922024")</f>
        <v>https://www.airitibooks.com/Detail/Detail?PublicationID=P20150922024</v>
      </c>
      <c r="K3980" s="13" t="str">
        <f>HYPERLINK("https://ntsu.idm.oclc.org/login?url=https://www.airitibooks.com/Detail/Detail?PublicationID=P20150922024", "https://ntsu.idm.oclc.org/login?url=https://www.airitibooks.com/Detail/Detail?PublicationID=P20150922024")</f>
        <v>https://ntsu.idm.oclc.org/login?url=https://www.airitibooks.com/Detail/Detail?PublicationID=P20150922024</v>
      </c>
    </row>
    <row r="3981" spans="1:11" ht="51" x14ac:dyDescent="0.4">
      <c r="A3981" s="10" t="s">
        <v>3633</v>
      </c>
      <c r="B3981" s="10" t="s">
        <v>3634</v>
      </c>
      <c r="C3981" s="10" t="s">
        <v>2367</v>
      </c>
      <c r="D3981" s="10" t="s">
        <v>3635</v>
      </c>
      <c r="E3981" s="10" t="s">
        <v>30</v>
      </c>
      <c r="F3981" s="10" t="s">
        <v>176</v>
      </c>
      <c r="G3981" s="10" t="s">
        <v>32</v>
      </c>
      <c r="H3981" s="7" t="s">
        <v>24</v>
      </c>
      <c r="I3981" s="7" t="s">
        <v>25</v>
      </c>
      <c r="J3981" s="13" t="str">
        <f>HYPERLINK("https://www.airitibooks.com/Detail/Detail?PublicationID=P20150922026", "https://www.airitibooks.com/Detail/Detail?PublicationID=P20150922026")</f>
        <v>https://www.airitibooks.com/Detail/Detail?PublicationID=P20150922026</v>
      </c>
      <c r="K3981" s="13" t="str">
        <f>HYPERLINK("https://ntsu.idm.oclc.org/login?url=https://www.airitibooks.com/Detail/Detail?PublicationID=P20150922026", "https://ntsu.idm.oclc.org/login?url=https://www.airitibooks.com/Detail/Detail?PublicationID=P20150922026")</f>
        <v>https://ntsu.idm.oclc.org/login?url=https://www.airitibooks.com/Detail/Detail?PublicationID=P20150922026</v>
      </c>
    </row>
    <row r="3982" spans="1:11" ht="51" x14ac:dyDescent="0.4">
      <c r="A3982" s="10" t="s">
        <v>3636</v>
      </c>
      <c r="B3982" s="10" t="s">
        <v>3637</v>
      </c>
      <c r="C3982" s="10" t="s">
        <v>2367</v>
      </c>
      <c r="D3982" s="10" t="s">
        <v>3638</v>
      </c>
      <c r="E3982" s="10" t="s">
        <v>30</v>
      </c>
      <c r="F3982" s="10" t="s">
        <v>3639</v>
      </c>
      <c r="G3982" s="10" t="s">
        <v>32</v>
      </c>
      <c r="H3982" s="7" t="s">
        <v>24</v>
      </c>
      <c r="I3982" s="7" t="s">
        <v>25</v>
      </c>
      <c r="J3982" s="13" t="str">
        <f>HYPERLINK("https://www.airitibooks.com/Detail/Detail?PublicationID=P20150922028", "https://www.airitibooks.com/Detail/Detail?PublicationID=P20150922028")</f>
        <v>https://www.airitibooks.com/Detail/Detail?PublicationID=P20150922028</v>
      </c>
      <c r="K3982" s="13" t="str">
        <f>HYPERLINK("https://ntsu.idm.oclc.org/login?url=https://www.airitibooks.com/Detail/Detail?PublicationID=P20150922028", "https://ntsu.idm.oclc.org/login?url=https://www.airitibooks.com/Detail/Detail?PublicationID=P20150922028")</f>
        <v>https://ntsu.idm.oclc.org/login?url=https://www.airitibooks.com/Detail/Detail?PublicationID=P20150922028</v>
      </c>
    </row>
    <row r="3983" spans="1:11" ht="51" x14ac:dyDescent="0.4">
      <c r="A3983" s="10" t="s">
        <v>3640</v>
      </c>
      <c r="B3983" s="10" t="s">
        <v>3641</v>
      </c>
      <c r="C3983" s="10" t="s">
        <v>2367</v>
      </c>
      <c r="D3983" s="10" t="s">
        <v>3642</v>
      </c>
      <c r="E3983" s="10" t="s">
        <v>30</v>
      </c>
      <c r="F3983" s="10" t="s">
        <v>3643</v>
      </c>
      <c r="G3983" s="10" t="s">
        <v>32</v>
      </c>
      <c r="H3983" s="7" t="s">
        <v>24</v>
      </c>
      <c r="I3983" s="7" t="s">
        <v>25</v>
      </c>
      <c r="J3983" s="13" t="str">
        <f>HYPERLINK("https://www.airitibooks.com/Detail/Detail?PublicationID=P20150922029", "https://www.airitibooks.com/Detail/Detail?PublicationID=P20150922029")</f>
        <v>https://www.airitibooks.com/Detail/Detail?PublicationID=P20150922029</v>
      </c>
      <c r="K3983" s="13" t="str">
        <f>HYPERLINK("https://ntsu.idm.oclc.org/login?url=https://www.airitibooks.com/Detail/Detail?PublicationID=P20150922029", "https://ntsu.idm.oclc.org/login?url=https://www.airitibooks.com/Detail/Detail?PublicationID=P20150922029")</f>
        <v>https://ntsu.idm.oclc.org/login?url=https://www.airitibooks.com/Detail/Detail?PublicationID=P20150922029</v>
      </c>
    </row>
    <row r="3984" spans="1:11" ht="51" x14ac:dyDescent="0.4">
      <c r="A3984" s="10" t="s">
        <v>3648</v>
      </c>
      <c r="B3984" s="10" t="s">
        <v>3649</v>
      </c>
      <c r="C3984" s="10" t="s">
        <v>2367</v>
      </c>
      <c r="D3984" s="10" t="s">
        <v>2368</v>
      </c>
      <c r="E3984" s="10" t="s">
        <v>30</v>
      </c>
      <c r="F3984" s="10" t="s">
        <v>185</v>
      </c>
      <c r="G3984" s="10" t="s">
        <v>32</v>
      </c>
      <c r="H3984" s="7" t="s">
        <v>24</v>
      </c>
      <c r="I3984" s="7" t="s">
        <v>25</v>
      </c>
      <c r="J3984" s="13" t="str">
        <f>HYPERLINK("https://www.airitibooks.com/Detail/Detail?PublicationID=P20150922036", "https://www.airitibooks.com/Detail/Detail?PublicationID=P20150922036")</f>
        <v>https://www.airitibooks.com/Detail/Detail?PublicationID=P20150922036</v>
      </c>
      <c r="K3984" s="13" t="str">
        <f>HYPERLINK("https://ntsu.idm.oclc.org/login?url=https://www.airitibooks.com/Detail/Detail?PublicationID=P20150922036", "https://ntsu.idm.oclc.org/login?url=https://www.airitibooks.com/Detail/Detail?PublicationID=P20150922036")</f>
        <v>https://ntsu.idm.oclc.org/login?url=https://www.airitibooks.com/Detail/Detail?PublicationID=P20150922036</v>
      </c>
    </row>
    <row r="3985" spans="1:11" ht="51" x14ac:dyDescent="0.4">
      <c r="A3985" s="10" t="s">
        <v>3654</v>
      </c>
      <c r="B3985" s="10" t="s">
        <v>3655</v>
      </c>
      <c r="C3985" s="10" t="s">
        <v>2367</v>
      </c>
      <c r="D3985" s="10" t="s">
        <v>2368</v>
      </c>
      <c r="E3985" s="10" t="s">
        <v>30</v>
      </c>
      <c r="F3985" s="10" t="s">
        <v>172</v>
      </c>
      <c r="G3985" s="10" t="s">
        <v>32</v>
      </c>
      <c r="H3985" s="7" t="s">
        <v>24</v>
      </c>
      <c r="I3985" s="7" t="s">
        <v>25</v>
      </c>
      <c r="J3985" s="13" t="str">
        <f>HYPERLINK("https://www.airitibooks.com/Detail/Detail?PublicationID=P20150922042", "https://www.airitibooks.com/Detail/Detail?PublicationID=P20150922042")</f>
        <v>https://www.airitibooks.com/Detail/Detail?PublicationID=P20150922042</v>
      </c>
      <c r="K3985" s="13" t="str">
        <f>HYPERLINK("https://ntsu.idm.oclc.org/login?url=https://www.airitibooks.com/Detail/Detail?PublicationID=P20150922042", "https://ntsu.idm.oclc.org/login?url=https://www.airitibooks.com/Detail/Detail?PublicationID=P20150922042")</f>
        <v>https://ntsu.idm.oclc.org/login?url=https://www.airitibooks.com/Detail/Detail?PublicationID=P20150922042</v>
      </c>
    </row>
    <row r="3986" spans="1:11" ht="51" x14ac:dyDescent="0.4">
      <c r="A3986" s="10" t="s">
        <v>3656</v>
      </c>
      <c r="B3986" s="10" t="s">
        <v>3657</v>
      </c>
      <c r="C3986" s="10" t="s">
        <v>2367</v>
      </c>
      <c r="D3986" s="10" t="s">
        <v>3658</v>
      </c>
      <c r="E3986" s="10" t="s">
        <v>30</v>
      </c>
      <c r="F3986" s="10" t="s">
        <v>3659</v>
      </c>
      <c r="G3986" s="10" t="s">
        <v>32</v>
      </c>
      <c r="H3986" s="7" t="s">
        <v>24</v>
      </c>
      <c r="I3986" s="7" t="s">
        <v>25</v>
      </c>
      <c r="J3986" s="13" t="str">
        <f>HYPERLINK("https://www.airitibooks.com/Detail/Detail?PublicationID=P20150922043", "https://www.airitibooks.com/Detail/Detail?PublicationID=P20150922043")</f>
        <v>https://www.airitibooks.com/Detail/Detail?PublicationID=P20150922043</v>
      </c>
      <c r="K3986" s="13" t="str">
        <f>HYPERLINK("https://ntsu.idm.oclc.org/login?url=https://www.airitibooks.com/Detail/Detail?PublicationID=P20150922043", "https://ntsu.idm.oclc.org/login?url=https://www.airitibooks.com/Detail/Detail?PublicationID=P20150922043")</f>
        <v>https://ntsu.idm.oclc.org/login?url=https://www.airitibooks.com/Detail/Detail?PublicationID=P20150922043</v>
      </c>
    </row>
    <row r="3987" spans="1:11" ht="51" x14ac:dyDescent="0.4">
      <c r="A3987" s="10" t="s">
        <v>3668</v>
      </c>
      <c r="B3987" s="10" t="s">
        <v>3669</v>
      </c>
      <c r="C3987" s="10" t="s">
        <v>3670</v>
      </c>
      <c r="D3987" s="10" t="s">
        <v>3671</v>
      </c>
      <c r="E3987" s="10" t="s">
        <v>30</v>
      </c>
      <c r="F3987" s="10" t="s">
        <v>172</v>
      </c>
      <c r="G3987" s="10" t="s">
        <v>32</v>
      </c>
      <c r="H3987" s="7" t="s">
        <v>24</v>
      </c>
      <c r="I3987" s="7" t="s">
        <v>25</v>
      </c>
      <c r="J3987" s="13" t="str">
        <f>HYPERLINK("https://www.airitibooks.com/Detail/Detail?PublicationID=P20150922057", "https://www.airitibooks.com/Detail/Detail?PublicationID=P20150922057")</f>
        <v>https://www.airitibooks.com/Detail/Detail?PublicationID=P20150922057</v>
      </c>
      <c r="K3987" s="13" t="str">
        <f>HYPERLINK("https://ntsu.idm.oclc.org/login?url=https://www.airitibooks.com/Detail/Detail?PublicationID=P20150922057", "https://ntsu.idm.oclc.org/login?url=https://www.airitibooks.com/Detail/Detail?PublicationID=P20150922057")</f>
        <v>https://ntsu.idm.oclc.org/login?url=https://www.airitibooks.com/Detail/Detail?PublicationID=P20150922057</v>
      </c>
    </row>
    <row r="3988" spans="1:11" ht="51" x14ac:dyDescent="0.4">
      <c r="A3988" s="10" t="s">
        <v>3693</v>
      </c>
      <c r="B3988" s="10" t="s">
        <v>3694</v>
      </c>
      <c r="C3988" s="10" t="s">
        <v>613</v>
      </c>
      <c r="D3988" s="10" t="s">
        <v>3695</v>
      </c>
      <c r="E3988" s="10" t="s">
        <v>30</v>
      </c>
      <c r="F3988" s="10" t="s">
        <v>172</v>
      </c>
      <c r="G3988" s="10" t="s">
        <v>32</v>
      </c>
      <c r="H3988" s="7" t="s">
        <v>24</v>
      </c>
      <c r="I3988" s="7" t="s">
        <v>25</v>
      </c>
      <c r="J3988" s="13" t="str">
        <f>HYPERLINK("https://www.airitibooks.com/Detail/Detail?PublicationID=P20150923010", "https://www.airitibooks.com/Detail/Detail?PublicationID=P20150923010")</f>
        <v>https://www.airitibooks.com/Detail/Detail?PublicationID=P20150923010</v>
      </c>
      <c r="K3988" s="13" t="str">
        <f>HYPERLINK("https://ntsu.idm.oclc.org/login?url=https://www.airitibooks.com/Detail/Detail?PublicationID=P20150923010", "https://ntsu.idm.oclc.org/login?url=https://www.airitibooks.com/Detail/Detail?PublicationID=P20150923010")</f>
        <v>https://ntsu.idm.oclc.org/login?url=https://www.airitibooks.com/Detail/Detail?PublicationID=P20150923010</v>
      </c>
    </row>
    <row r="3989" spans="1:11" ht="51" x14ac:dyDescent="0.4">
      <c r="A3989" s="10" t="s">
        <v>3696</v>
      </c>
      <c r="B3989" s="10" t="s">
        <v>3697</v>
      </c>
      <c r="C3989" s="10" t="s">
        <v>613</v>
      </c>
      <c r="D3989" s="10" t="s">
        <v>3695</v>
      </c>
      <c r="E3989" s="10" t="s">
        <v>30</v>
      </c>
      <c r="F3989" s="10" t="s">
        <v>3698</v>
      </c>
      <c r="G3989" s="10" t="s">
        <v>32</v>
      </c>
      <c r="H3989" s="7" t="s">
        <v>24</v>
      </c>
      <c r="I3989" s="7" t="s">
        <v>25</v>
      </c>
      <c r="J3989" s="13" t="str">
        <f>HYPERLINK("https://www.airitibooks.com/Detail/Detail?PublicationID=P20150923011", "https://www.airitibooks.com/Detail/Detail?PublicationID=P20150923011")</f>
        <v>https://www.airitibooks.com/Detail/Detail?PublicationID=P20150923011</v>
      </c>
      <c r="K3989" s="13" t="str">
        <f>HYPERLINK("https://ntsu.idm.oclc.org/login?url=https://www.airitibooks.com/Detail/Detail?PublicationID=P20150923011", "https://ntsu.idm.oclc.org/login?url=https://www.airitibooks.com/Detail/Detail?PublicationID=P20150923011")</f>
        <v>https://ntsu.idm.oclc.org/login?url=https://www.airitibooks.com/Detail/Detail?PublicationID=P20150923011</v>
      </c>
    </row>
    <row r="3990" spans="1:11" ht="51" x14ac:dyDescent="0.4">
      <c r="A3990" s="10" t="s">
        <v>3708</v>
      </c>
      <c r="B3990" s="10" t="s">
        <v>3709</v>
      </c>
      <c r="C3990" s="10" t="s">
        <v>3705</v>
      </c>
      <c r="D3990" s="10" t="s">
        <v>3710</v>
      </c>
      <c r="E3990" s="10" t="s">
        <v>30</v>
      </c>
      <c r="F3990" s="10" t="s">
        <v>3711</v>
      </c>
      <c r="G3990" s="10" t="s">
        <v>32</v>
      </c>
      <c r="H3990" s="7" t="s">
        <v>24</v>
      </c>
      <c r="I3990" s="7" t="s">
        <v>25</v>
      </c>
      <c r="J3990" s="13" t="str">
        <f>HYPERLINK("https://www.airitibooks.com/Detail/Detail?PublicationID=P20151013039", "https://www.airitibooks.com/Detail/Detail?PublicationID=P20151013039")</f>
        <v>https://www.airitibooks.com/Detail/Detail?PublicationID=P20151013039</v>
      </c>
      <c r="K3990" s="13" t="str">
        <f>HYPERLINK("https://ntsu.idm.oclc.org/login?url=https://www.airitibooks.com/Detail/Detail?PublicationID=P20151013039", "https://ntsu.idm.oclc.org/login?url=https://www.airitibooks.com/Detail/Detail?PublicationID=P20151013039")</f>
        <v>https://ntsu.idm.oclc.org/login?url=https://www.airitibooks.com/Detail/Detail?PublicationID=P20151013039</v>
      </c>
    </row>
    <row r="3991" spans="1:11" ht="85" x14ac:dyDescent="0.4">
      <c r="A3991" s="10" t="s">
        <v>3807</v>
      </c>
      <c r="B3991" s="10" t="s">
        <v>3808</v>
      </c>
      <c r="C3991" s="10" t="s">
        <v>1067</v>
      </c>
      <c r="D3991" s="10" t="s">
        <v>3809</v>
      </c>
      <c r="E3991" s="10" t="s">
        <v>30</v>
      </c>
      <c r="F3991" s="10" t="s">
        <v>3810</v>
      </c>
      <c r="G3991" s="10" t="s">
        <v>32</v>
      </c>
      <c r="H3991" s="7" t="s">
        <v>24</v>
      </c>
      <c r="I3991" s="7" t="s">
        <v>25</v>
      </c>
      <c r="J3991" s="13" t="str">
        <f>HYPERLINK("https://www.airitibooks.com/Detail/Detail?PublicationID=P20151021230", "https://www.airitibooks.com/Detail/Detail?PublicationID=P20151021230")</f>
        <v>https://www.airitibooks.com/Detail/Detail?PublicationID=P20151021230</v>
      </c>
      <c r="K3991" s="13" t="str">
        <f>HYPERLINK("https://ntsu.idm.oclc.org/login?url=https://www.airitibooks.com/Detail/Detail?PublicationID=P20151021230", "https://ntsu.idm.oclc.org/login?url=https://www.airitibooks.com/Detail/Detail?PublicationID=P20151021230")</f>
        <v>https://ntsu.idm.oclc.org/login?url=https://www.airitibooks.com/Detail/Detail?PublicationID=P20151021230</v>
      </c>
    </row>
    <row r="3992" spans="1:11" ht="51" x14ac:dyDescent="0.4">
      <c r="A3992" s="10" t="s">
        <v>3811</v>
      </c>
      <c r="B3992" s="10" t="s">
        <v>3812</v>
      </c>
      <c r="C3992" s="10" t="s">
        <v>1067</v>
      </c>
      <c r="D3992" s="10" t="s">
        <v>3813</v>
      </c>
      <c r="E3992" s="10" t="s">
        <v>30</v>
      </c>
      <c r="F3992" s="10" t="s">
        <v>42</v>
      </c>
      <c r="G3992" s="10" t="s">
        <v>32</v>
      </c>
      <c r="H3992" s="7" t="s">
        <v>24</v>
      </c>
      <c r="I3992" s="7" t="s">
        <v>25</v>
      </c>
      <c r="J3992" s="13" t="str">
        <f>HYPERLINK("https://www.airitibooks.com/Detail/Detail?PublicationID=P20151021231", "https://www.airitibooks.com/Detail/Detail?PublicationID=P20151021231")</f>
        <v>https://www.airitibooks.com/Detail/Detail?PublicationID=P20151021231</v>
      </c>
      <c r="K3992" s="13" t="str">
        <f>HYPERLINK("https://ntsu.idm.oclc.org/login?url=https://www.airitibooks.com/Detail/Detail?PublicationID=P20151021231", "https://ntsu.idm.oclc.org/login?url=https://www.airitibooks.com/Detail/Detail?PublicationID=P20151021231")</f>
        <v>https://ntsu.idm.oclc.org/login?url=https://www.airitibooks.com/Detail/Detail?PublicationID=P20151021231</v>
      </c>
    </row>
    <row r="3993" spans="1:11" ht="51" x14ac:dyDescent="0.4">
      <c r="A3993" s="10" t="s">
        <v>3820</v>
      </c>
      <c r="B3993" s="10" t="s">
        <v>3821</v>
      </c>
      <c r="C3993" s="10" t="s">
        <v>661</v>
      </c>
      <c r="D3993" s="10" t="s">
        <v>3822</v>
      </c>
      <c r="E3993" s="10" t="s">
        <v>30</v>
      </c>
      <c r="F3993" s="10" t="s">
        <v>3823</v>
      </c>
      <c r="G3993" s="10" t="s">
        <v>32</v>
      </c>
      <c r="H3993" s="7" t="s">
        <v>24</v>
      </c>
      <c r="I3993" s="7" t="s">
        <v>25</v>
      </c>
      <c r="J3993" s="13" t="str">
        <f>HYPERLINK("https://www.airitibooks.com/Detail/Detail?PublicationID=P20151022017", "https://www.airitibooks.com/Detail/Detail?PublicationID=P20151022017")</f>
        <v>https://www.airitibooks.com/Detail/Detail?PublicationID=P20151022017</v>
      </c>
      <c r="K3993" s="13" t="str">
        <f>HYPERLINK("https://ntsu.idm.oclc.org/login?url=https://www.airitibooks.com/Detail/Detail?PublicationID=P20151022017", "https://ntsu.idm.oclc.org/login?url=https://www.airitibooks.com/Detail/Detail?PublicationID=P20151022017")</f>
        <v>https://ntsu.idm.oclc.org/login?url=https://www.airitibooks.com/Detail/Detail?PublicationID=P20151022017</v>
      </c>
    </row>
    <row r="3994" spans="1:11" ht="68" x14ac:dyDescent="0.4">
      <c r="A3994" s="10" t="s">
        <v>3830</v>
      </c>
      <c r="B3994" s="10" t="s">
        <v>3831</v>
      </c>
      <c r="C3994" s="10" t="s">
        <v>3832</v>
      </c>
      <c r="D3994" s="10" t="s">
        <v>3833</v>
      </c>
      <c r="E3994" s="10" t="s">
        <v>30</v>
      </c>
      <c r="F3994" s="10" t="s">
        <v>1588</v>
      </c>
      <c r="G3994" s="10" t="s">
        <v>32</v>
      </c>
      <c r="H3994" s="7" t="s">
        <v>24</v>
      </c>
      <c r="I3994" s="7" t="s">
        <v>25</v>
      </c>
      <c r="J3994" s="13" t="str">
        <f>HYPERLINK("https://www.airitibooks.com/Detail/Detail?PublicationID=P20151028001", "https://www.airitibooks.com/Detail/Detail?PublicationID=P20151028001")</f>
        <v>https://www.airitibooks.com/Detail/Detail?PublicationID=P20151028001</v>
      </c>
      <c r="K3994" s="13" t="str">
        <f>HYPERLINK("https://ntsu.idm.oclc.org/login?url=https://www.airitibooks.com/Detail/Detail?PublicationID=P20151028001", "https://ntsu.idm.oclc.org/login?url=https://www.airitibooks.com/Detail/Detail?PublicationID=P20151028001")</f>
        <v>https://ntsu.idm.oclc.org/login?url=https://www.airitibooks.com/Detail/Detail?PublicationID=P20151028001</v>
      </c>
    </row>
    <row r="3995" spans="1:11" ht="85" x14ac:dyDescent="0.4">
      <c r="A3995" s="10" t="s">
        <v>3861</v>
      </c>
      <c r="B3995" s="10" t="s">
        <v>3862</v>
      </c>
      <c r="C3995" s="10" t="s">
        <v>3863</v>
      </c>
      <c r="D3995" s="10" t="s">
        <v>3864</v>
      </c>
      <c r="E3995" s="10" t="s">
        <v>30</v>
      </c>
      <c r="F3995" s="10" t="s">
        <v>3865</v>
      </c>
      <c r="G3995" s="10" t="s">
        <v>32</v>
      </c>
      <c r="H3995" s="7" t="s">
        <v>24</v>
      </c>
      <c r="I3995" s="7" t="s">
        <v>25</v>
      </c>
      <c r="J3995" s="13" t="str">
        <f>HYPERLINK("https://www.airitibooks.com/Detail/Detail?PublicationID=P20151110054", "https://www.airitibooks.com/Detail/Detail?PublicationID=P20151110054")</f>
        <v>https://www.airitibooks.com/Detail/Detail?PublicationID=P20151110054</v>
      </c>
      <c r="K3995" s="13" t="str">
        <f>HYPERLINK("https://ntsu.idm.oclc.org/login?url=https://www.airitibooks.com/Detail/Detail?PublicationID=P20151110054", "https://ntsu.idm.oclc.org/login?url=https://www.airitibooks.com/Detail/Detail?PublicationID=P20151110054")</f>
        <v>https://ntsu.idm.oclc.org/login?url=https://www.airitibooks.com/Detail/Detail?PublicationID=P20151110054</v>
      </c>
    </row>
    <row r="3996" spans="1:11" ht="51" x14ac:dyDescent="0.4">
      <c r="A3996" s="10" t="s">
        <v>3881</v>
      </c>
      <c r="B3996" s="10" t="s">
        <v>3882</v>
      </c>
      <c r="C3996" s="10" t="s">
        <v>3863</v>
      </c>
      <c r="D3996" s="10" t="s">
        <v>3883</v>
      </c>
      <c r="E3996" s="10" t="s">
        <v>30</v>
      </c>
      <c r="F3996" s="10" t="s">
        <v>3884</v>
      </c>
      <c r="G3996" s="10" t="s">
        <v>32</v>
      </c>
      <c r="H3996" s="7" t="s">
        <v>24</v>
      </c>
      <c r="I3996" s="7" t="s">
        <v>25</v>
      </c>
      <c r="J3996" s="13" t="str">
        <f>HYPERLINK("https://www.airitibooks.com/Detail/Detail?PublicationID=P20151110063", "https://www.airitibooks.com/Detail/Detail?PublicationID=P20151110063")</f>
        <v>https://www.airitibooks.com/Detail/Detail?PublicationID=P20151110063</v>
      </c>
      <c r="K3996" s="13" t="str">
        <f>HYPERLINK("https://ntsu.idm.oclc.org/login?url=https://www.airitibooks.com/Detail/Detail?PublicationID=P20151110063", "https://ntsu.idm.oclc.org/login?url=https://www.airitibooks.com/Detail/Detail?PublicationID=P20151110063")</f>
        <v>https://ntsu.idm.oclc.org/login?url=https://www.airitibooks.com/Detail/Detail?PublicationID=P20151110063</v>
      </c>
    </row>
    <row r="3997" spans="1:11" ht="51" x14ac:dyDescent="0.4">
      <c r="A3997" s="10" t="s">
        <v>3899</v>
      </c>
      <c r="B3997" s="10" t="s">
        <v>3900</v>
      </c>
      <c r="C3997" s="10" t="s">
        <v>938</v>
      </c>
      <c r="D3997" s="10" t="s">
        <v>2487</v>
      </c>
      <c r="E3997" s="10" t="s">
        <v>30</v>
      </c>
      <c r="F3997" s="10" t="s">
        <v>3901</v>
      </c>
      <c r="G3997" s="10" t="s">
        <v>32</v>
      </c>
      <c r="H3997" s="7" t="s">
        <v>24</v>
      </c>
      <c r="I3997" s="7" t="s">
        <v>25</v>
      </c>
      <c r="J3997" s="13" t="str">
        <f>HYPERLINK("https://www.airitibooks.com/Detail/Detail?PublicationID=P20151111047", "https://www.airitibooks.com/Detail/Detail?PublicationID=P20151111047")</f>
        <v>https://www.airitibooks.com/Detail/Detail?PublicationID=P20151111047</v>
      </c>
      <c r="K3997" s="13" t="str">
        <f>HYPERLINK("https://ntsu.idm.oclc.org/login?url=https://www.airitibooks.com/Detail/Detail?PublicationID=P20151111047", "https://ntsu.idm.oclc.org/login?url=https://www.airitibooks.com/Detail/Detail?PublicationID=P20151111047")</f>
        <v>https://ntsu.idm.oclc.org/login?url=https://www.airitibooks.com/Detail/Detail?PublicationID=P20151111047</v>
      </c>
    </row>
    <row r="3998" spans="1:11" ht="51" x14ac:dyDescent="0.4">
      <c r="A3998" s="10" t="s">
        <v>3902</v>
      </c>
      <c r="B3998" s="10" t="s">
        <v>3903</v>
      </c>
      <c r="C3998" s="10" t="s">
        <v>938</v>
      </c>
      <c r="D3998" s="10" t="s">
        <v>975</v>
      </c>
      <c r="E3998" s="10" t="s">
        <v>30</v>
      </c>
      <c r="F3998" s="10" t="s">
        <v>3904</v>
      </c>
      <c r="G3998" s="10" t="s">
        <v>32</v>
      </c>
      <c r="H3998" s="7" t="s">
        <v>24</v>
      </c>
      <c r="I3998" s="7" t="s">
        <v>25</v>
      </c>
      <c r="J3998" s="13" t="str">
        <f>HYPERLINK("https://www.airitibooks.com/Detail/Detail?PublicationID=P20151111051", "https://www.airitibooks.com/Detail/Detail?PublicationID=P20151111051")</f>
        <v>https://www.airitibooks.com/Detail/Detail?PublicationID=P20151111051</v>
      </c>
      <c r="K3998" s="13" t="str">
        <f>HYPERLINK("https://ntsu.idm.oclc.org/login?url=https://www.airitibooks.com/Detail/Detail?PublicationID=P20151111051", "https://ntsu.idm.oclc.org/login?url=https://www.airitibooks.com/Detail/Detail?PublicationID=P20151111051")</f>
        <v>https://ntsu.idm.oclc.org/login?url=https://www.airitibooks.com/Detail/Detail?PublicationID=P20151111051</v>
      </c>
    </row>
    <row r="3999" spans="1:11" ht="68" x14ac:dyDescent="0.4">
      <c r="A3999" s="10" t="s">
        <v>3936</v>
      </c>
      <c r="B3999" s="10" t="s">
        <v>3937</v>
      </c>
      <c r="C3999" s="10" t="s">
        <v>3863</v>
      </c>
      <c r="D3999" s="10" t="s">
        <v>3938</v>
      </c>
      <c r="E3999" s="10" t="s">
        <v>30</v>
      </c>
      <c r="F3999" s="10" t="s">
        <v>3939</v>
      </c>
      <c r="G3999" s="10" t="s">
        <v>32</v>
      </c>
      <c r="H3999" s="7" t="s">
        <v>24</v>
      </c>
      <c r="I3999" s="7" t="s">
        <v>25</v>
      </c>
      <c r="J3999" s="13" t="str">
        <f>HYPERLINK("https://www.airitibooks.com/Detail/Detail?PublicationID=P20151111090", "https://www.airitibooks.com/Detail/Detail?PublicationID=P20151111090")</f>
        <v>https://www.airitibooks.com/Detail/Detail?PublicationID=P20151111090</v>
      </c>
      <c r="K3999" s="13" t="str">
        <f>HYPERLINK("https://ntsu.idm.oclc.org/login?url=https://www.airitibooks.com/Detail/Detail?PublicationID=P20151111090", "https://ntsu.idm.oclc.org/login?url=https://www.airitibooks.com/Detail/Detail?PublicationID=P20151111090")</f>
        <v>https://ntsu.idm.oclc.org/login?url=https://www.airitibooks.com/Detail/Detail?PublicationID=P20151111090</v>
      </c>
    </row>
    <row r="4000" spans="1:11" ht="51" x14ac:dyDescent="0.4">
      <c r="A4000" s="10" t="s">
        <v>3940</v>
      </c>
      <c r="B4000" s="10" t="s">
        <v>3941</v>
      </c>
      <c r="C4000" s="10" t="s">
        <v>152</v>
      </c>
      <c r="D4000" s="10" t="s">
        <v>3942</v>
      </c>
      <c r="E4000" s="10" t="s">
        <v>30</v>
      </c>
      <c r="F4000" s="10" t="s">
        <v>1941</v>
      </c>
      <c r="G4000" s="10" t="s">
        <v>32</v>
      </c>
      <c r="H4000" s="7" t="s">
        <v>24</v>
      </c>
      <c r="I4000" s="7" t="s">
        <v>25</v>
      </c>
      <c r="J4000" s="13" t="str">
        <f>HYPERLINK("https://www.airitibooks.com/Detail/Detail?PublicationID=P20151111094", "https://www.airitibooks.com/Detail/Detail?PublicationID=P20151111094")</f>
        <v>https://www.airitibooks.com/Detail/Detail?PublicationID=P20151111094</v>
      </c>
      <c r="K4000" s="13" t="str">
        <f>HYPERLINK("https://ntsu.idm.oclc.org/login?url=https://www.airitibooks.com/Detail/Detail?PublicationID=P20151111094", "https://ntsu.idm.oclc.org/login?url=https://www.airitibooks.com/Detail/Detail?PublicationID=P20151111094")</f>
        <v>https://ntsu.idm.oclc.org/login?url=https://www.airitibooks.com/Detail/Detail?PublicationID=P20151111094</v>
      </c>
    </row>
    <row r="4001" spans="1:11" ht="51" x14ac:dyDescent="0.4">
      <c r="A4001" s="10" t="s">
        <v>3943</v>
      </c>
      <c r="B4001" s="10" t="s">
        <v>3944</v>
      </c>
      <c r="C4001" s="10" t="s">
        <v>152</v>
      </c>
      <c r="D4001" s="10" t="s">
        <v>3945</v>
      </c>
      <c r="E4001" s="10" t="s">
        <v>30</v>
      </c>
      <c r="F4001" s="10" t="s">
        <v>3364</v>
      </c>
      <c r="G4001" s="10" t="s">
        <v>32</v>
      </c>
      <c r="H4001" s="7" t="s">
        <v>24</v>
      </c>
      <c r="I4001" s="7" t="s">
        <v>25</v>
      </c>
      <c r="J4001" s="13" t="str">
        <f>HYPERLINK("https://www.airitibooks.com/Detail/Detail?PublicationID=P20151111096", "https://www.airitibooks.com/Detail/Detail?PublicationID=P20151111096")</f>
        <v>https://www.airitibooks.com/Detail/Detail?PublicationID=P20151111096</v>
      </c>
      <c r="K4001" s="13" t="str">
        <f>HYPERLINK("https://ntsu.idm.oclc.org/login?url=https://www.airitibooks.com/Detail/Detail?PublicationID=P20151111096", "https://ntsu.idm.oclc.org/login?url=https://www.airitibooks.com/Detail/Detail?PublicationID=P20151111096")</f>
        <v>https://ntsu.idm.oclc.org/login?url=https://www.airitibooks.com/Detail/Detail?PublicationID=P20151111096</v>
      </c>
    </row>
    <row r="4002" spans="1:11" ht="51" x14ac:dyDescent="0.4">
      <c r="A4002" s="10" t="s">
        <v>3946</v>
      </c>
      <c r="B4002" s="10" t="s">
        <v>3947</v>
      </c>
      <c r="C4002" s="10" t="s">
        <v>152</v>
      </c>
      <c r="D4002" s="10" t="s">
        <v>3948</v>
      </c>
      <c r="E4002" s="10" t="s">
        <v>30</v>
      </c>
      <c r="F4002" s="10" t="s">
        <v>3949</v>
      </c>
      <c r="G4002" s="10" t="s">
        <v>32</v>
      </c>
      <c r="H4002" s="7" t="s">
        <v>24</v>
      </c>
      <c r="I4002" s="7" t="s">
        <v>25</v>
      </c>
      <c r="J4002" s="13" t="str">
        <f>HYPERLINK("https://www.airitibooks.com/Detail/Detail?PublicationID=P20151111097", "https://www.airitibooks.com/Detail/Detail?PublicationID=P20151111097")</f>
        <v>https://www.airitibooks.com/Detail/Detail?PublicationID=P20151111097</v>
      </c>
      <c r="K4002" s="13" t="str">
        <f>HYPERLINK("https://ntsu.idm.oclc.org/login?url=https://www.airitibooks.com/Detail/Detail?PublicationID=P20151111097", "https://ntsu.idm.oclc.org/login?url=https://www.airitibooks.com/Detail/Detail?PublicationID=P20151111097")</f>
        <v>https://ntsu.idm.oclc.org/login?url=https://www.airitibooks.com/Detail/Detail?PublicationID=P20151111097</v>
      </c>
    </row>
    <row r="4003" spans="1:11" ht="51" x14ac:dyDescent="0.4">
      <c r="A4003" s="10" t="s">
        <v>3950</v>
      </c>
      <c r="B4003" s="10" t="s">
        <v>3951</v>
      </c>
      <c r="C4003" s="10" t="s">
        <v>152</v>
      </c>
      <c r="D4003" s="10" t="s">
        <v>3952</v>
      </c>
      <c r="E4003" s="10" t="s">
        <v>30</v>
      </c>
      <c r="F4003" s="10" t="s">
        <v>3953</v>
      </c>
      <c r="G4003" s="10" t="s">
        <v>32</v>
      </c>
      <c r="H4003" s="7" t="s">
        <v>24</v>
      </c>
      <c r="I4003" s="7" t="s">
        <v>25</v>
      </c>
      <c r="J4003" s="13" t="str">
        <f>HYPERLINK("https://www.airitibooks.com/Detail/Detail?PublicationID=P20151111099", "https://www.airitibooks.com/Detail/Detail?PublicationID=P20151111099")</f>
        <v>https://www.airitibooks.com/Detail/Detail?PublicationID=P20151111099</v>
      </c>
      <c r="K4003" s="13" t="str">
        <f>HYPERLINK("https://ntsu.idm.oclc.org/login?url=https://www.airitibooks.com/Detail/Detail?PublicationID=P20151111099", "https://ntsu.idm.oclc.org/login?url=https://www.airitibooks.com/Detail/Detail?PublicationID=P20151111099")</f>
        <v>https://ntsu.idm.oclc.org/login?url=https://www.airitibooks.com/Detail/Detail?PublicationID=P20151111099</v>
      </c>
    </row>
    <row r="4004" spans="1:11" ht="51" x14ac:dyDescent="0.4">
      <c r="A4004" s="10" t="s">
        <v>3954</v>
      </c>
      <c r="B4004" s="10" t="s">
        <v>3955</v>
      </c>
      <c r="C4004" s="10" t="s">
        <v>152</v>
      </c>
      <c r="D4004" s="10" t="s">
        <v>3956</v>
      </c>
      <c r="E4004" s="10" t="s">
        <v>30</v>
      </c>
      <c r="F4004" s="10" t="s">
        <v>1005</v>
      </c>
      <c r="G4004" s="10" t="s">
        <v>32</v>
      </c>
      <c r="H4004" s="7" t="s">
        <v>24</v>
      </c>
      <c r="I4004" s="7" t="s">
        <v>25</v>
      </c>
      <c r="J4004" s="13" t="str">
        <f>HYPERLINK("https://www.airitibooks.com/Detail/Detail?PublicationID=P20151111100", "https://www.airitibooks.com/Detail/Detail?PublicationID=P20151111100")</f>
        <v>https://www.airitibooks.com/Detail/Detail?PublicationID=P20151111100</v>
      </c>
      <c r="K4004" s="13" t="str">
        <f>HYPERLINK("https://ntsu.idm.oclc.org/login?url=https://www.airitibooks.com/Detail/Detail?PublicationID=P20151111100", "https://ntsu.idm.oclc.org/login?url=https://www.airitibooks.com/Detail/Detail?PublicationID=P20151111100")</f>
        <v>https://ntsu.idm.oclc.org/login?url=https://www.airitibooks.com/Detail/Detail?PublicationID=P20151111100</v>
      </c>
    </row>
    <row r="4005" spans="1:11" ht="51" x14ac:dyDescent="0.4">
      <c r="A4005" s="10" t="s">
        <v>3957</v>
      </c>
      <c r="B4005" s="10" t="s">
        <v>3958</v>
      </c>
      <c r="C4005" s="10" t="s">
        <v>152</v>
      </c>
      <c r="D4005" s="10" t="s">
        <v>3959</v>
      </c>
      <c r="E4005" s="10" t="s">
        <v>30</v>
      </c>
      <c r="F4005" s="10" t="s">
        <v>3953</v>
      </c>
      <c r="G4005" s="10" t="s">
        <v>32</v>
      </c>
      <c r="H4005" s="7" t="s">
        <v>24</v>
      </c>
      <c r="I4005" s="7" t="s">
        <v>25</v>
      </c>
      <c r="J4005" s="13" t="str">
        <f>HYPERLINK("https://www.airitibooks.com/Detail/Detail?PublicationID=P20151111102", "https://www.airitibooks.com/Detail/Detail?PublicationID=P20151111102")</f>
        <v>https://www.airitibooks.com/Detail/Detail?PublicationID=P20151111102</v>
      </c>
      <c r="K4005" s="13" t="str">
        <f>HYPERLINK("https://ntsu.idm.oclc.org/login?url=https://www.airitibooks.com/Detail/Detail?PublicationID=P20151111102", "https://ntsu.idm.oclc.org/login?url=https://www.airitibooks.com/Detail/Detail?PublicationID=P20151111102")</f>
        <v>https://ntsu.idm.oclc.org/login?url=https://www.airitibooks.com/Detail/Detail?PublicationID=P20151111102</v>
      </c>
    </row>
    <row r="4006" spans="1:11" ht="51" x14ac:dyDescent="0.4">
      <c r="A4006" s="10" t="s">
        <v>3960</v>
      </c>
      <c r="B4006" s="10" t="s">
        <v>3961</v>
      </c>
      <c r="C4006" s="10" t="s">
        <v>152</v>
      </c>
      <c r="D4006" s="10" t="s">
        <v>3962</v>
      </c>
      <c r="E4006" s="10" t="s">
        <v>30</v>
      </c>
      <c r="F4006" s="10" t="s">
        <v>3953</v>
      </c>
      <c r="G4006" s="10" t="s">
        <v>32</v>
      </c>
      <c r="H4006" s="7" t="s">
        <v>24</v>
      </c>
      <c r="I4006" s="7" t="s">
        <v>25</v>
      </c>
      <c r="J4006" s="13" t="str">
        <f>HYPERLINK("https://www.airitibooks.com/Detail/Detail?PublicationID=P20151111103", "https://www.airitibooks.com/Detail/Detail?PublicationID=P20151111103")</f>
        <v>https://www.airitibooks.com/Detail/Detail?PublicationID=P20151111103</v>
      </c>
      <c r="K4006" s="13" t="str">
        <f>HYPERLINK("https://ntsu.idm.oclc.org/login?url=https://www.airitibooks.com/Detail/Detail?PublicationID=P20151111103", "https://ntsu.idm.oclc.org/login?url=https://www.airitibooks.com/Detail/Detail?PublicationID=P20151111103")</f>
        <v>https://ntsu.idm.oclc.org/login?url=https://www.airitibooks.com/Detail/Detail?PublicationID=P20151111103</v>
      </c>
    </row>
    <row r="4007" spans="1:11" ht="51" x14ac:dyDescent="0.4">
      <c r="A4007" s="10" t="s">
        <v>3963</v>
      </c>
      <c r="B4007" s="10" t="s">
        <v>3964</v>
      </c>
      <c r="C4007" s="10" t="s">
        <v>152</v>
      </c>
      <c r="D4007" s="10" t="s">
        <v>3965</v>
      </c>
      <c r="E4007" s="10" t="s">
        <v>30</v>
      </c>
      <c r="F4007" s="10" t="s">
        <v>3953</v>
      </c>
      <c r="G4007" s="10" t="s">
        <v>32</v>
      </c>
      <c r="H4007" s="7" t="s">
        <v>24</v>
      </c>
      <c r="I4007" s="7" t="s">
        <v>25</v>
      </c>
      <c r="J4007" s="13" t="str">
        <f>HYPERLINK("https://www.airitibooks.com/Detail/Detail?PublicationID=P20151111104", "https://www.airitibooks.com/Detail/Detail?PublicationID=P20151111104")</f>
        <v>https://www.airitibooks.com/Detail/Detail?PublicationID=P20151111104</v>
      </c>
      <c r="K4007" s="13" t="str">
        <f>HYPERLINK("https://ntsu.idm.oclc.org/login?url=https://www.airitibooks.com/Detail/Detail?PublicationID=P20151111104", "https://ntsu.idm.oclc.org/login?url=https://www.airitibooks.com/Detail/Detail?PublicationID=P20151111104")</f>
        <v>https://ntsu.idm.oclc.org/login?url=https://www.airitibooks.com/Detail/Detail?PublicationID=P20151111104</v>
      </c>
    </row>
    <row r="4008" spans="1:11" ht="51" x14ac:dyDescent="0.4">
      <c r="A4008" s="10" t="s">
        <v>3966</v>
      </c>
      <c r="B4008" s="10" t="s">
        <v>3967</v>
      </c>
      <c r="C4008" s="10" t="s">
        <v>152</v>
      </c>
      <c r="D4008" s="10" t="s">
        <v>3968</v>
      </c>
      <c r="E4008" s="10" t="s">
        <v>30</v>
      </c>
      <c r="F4008" s="10" t="s">
        <v>181</v>
      </c>
      <c r="G4008" s="10" t="s">
        <v>32</v>
      </c>
      <c r="H4008" s="7" t="s">
        <v>24</v>
      </c>
      <c r="I4008" s="7" t="s">
        <v>25</v>
      </c>
      <c r="J4008" s="13" t="str">
        <f>HYPERLINK("https://www.airitibooks.com/Detail/Detail?PublicationID=P20151111106", "https://www.airitibooks.com/Detail/Detail?PublicationID=P20151111106")</f>
        <v>https://www.airitibooks.com/Detail/Detail?PublicationID=P20151111106</v>
      </c>
      <c r="K4008" s="13" t="str">
        <f>HYPERLINK("https://ntsu.idm.oclc.org/login?url=https://www.airitibooks.com/Detail/Detail?PublicationID=P20151111106", "https://ntsu.idm.oclc.org/login?url=https://www.airitibooks.com/Detail/Detail?PublicationID=P20151111106")</f>
        <v>https://ntsu.idm.oclc.org/login?url=https://www.airitibooks.com/Detail/Detail?PublicationID=P20151111106</v>
      </c>
    </row>
    <row r="4009" spans="1:11" ht="51" x14ac:dyDescent="0.4">
      <c r="A4009" s="10" t="s">
        <v>3969</v>
      </c>
      <c r="B4009" s="10" t="s">
        <v>3970</v>
      </c>
      <c r="C4009" s="10" t="s">
        <v>152</v>
      </c>
      <c r="D4009" s="10" t="s">
        <v>3971</v>
      </c>
      <c r="E4009" s="10" t="s">
        <v>30</v>
      </c>
      <c r="F4009" s="10" t="s">
        <v>181</v>
      </c>
      <c r="G4009" s="10" t="s">
        <v>32</v>
      </c>
      <c r="H4009" s="7" t="s">
        <v>24</v>
      </c>
      <c r="I4009" s="7" t="s">
        <v>25</v>
      </c>
      <c r="J4009" s="13" t="str">
        <f>HYPERLINK("https://www.airitibooks.com/Detail/Detail?PublicationID=P20151111107", "https://www.airitibooks.com/Detail/Detail?PublicationID=P20151111107")</f>
        <v>https://www.airitibooks.com/Detail/Detail?PublicationID=P20151111107</v>
      </c>
      <c r="K4009" s="13" t="str">
        <f>HYPERLINK("https://ntsu.idm.oclc.org/login?url=https://www.airitibooks.com/Detail/Detail?PublicationID=P20151111107", "https://ntsu.idm.oclc.org/login?url=https://www.airitibooks.com/Detail/Detail?PublicationID=P20151111107")</f>
        <v>https://ntsu.idm.oclc.org/login?url=https://www.airitibooks.com/Detail/Detail?PublicationID=P20151111107</v>
      </c>
    </row>
    <row r="4010" spans="1:11" ht="51" x14ac:dyDescent="0.4">
      <c r="A4010" s="10" t="s">
        <v>3976</v>
      </c>
      <c r="B4010" s="10" t="s">
        <v>3977</v>
      </c>
      <c r="C4010" s="10" t="s">
        <v>152</v>
      </c>
      <c r="D4010" s="10" t="s">
        <v>3978</v>
      </c>
      <c r="E4010" s="10" t="s">
        <v>30</v>
      </c>
      <c r="F4010" s="10" t="s">
        <v>1941</v>
      </c>
      <c r="G4010" s="10" t="s">
        <v>32</v>
      </c>
      <c r="H4010" s="7" t="s">
        <v>24</v>
      </c>
      <c r="I4010" s="7" t="s">
        <v>25</v>
      </c>
      <c r="J4010" s="13" t="str">
        <f>HYPERLINK("https://www.airitibooks.com/Detail/Detail?PublicationID=P20151111112", "https://www.airitibooks.com/Detail/Detail?PublicationID=P20151111112")</f>
        <v>https://www.airitibooks.com/Detail/Detail?PublicationID=P20151111112</v>
      </c>
      <c r="K4010" s="13" t="str">
        <f>HYPERLINK("https://ntsu.idm.oclc.org/login?url=https://www.airitibooks.com/Detail/Detail?PublicationID=P20151111112", "https://ntsu.idm.oclc.org/login?url=https://www.airitibooks.com/Detail/Detail?PublicationID=P20151111112")</f>
        <v>https://ntsu.idm.oclc.org/login?url=https://www.airitibooks.com/Detail/Detail?PublicationID=P20151111112</v>
      </c>
    </row>
    <row r="4011" spans="1:11" ht="51" x14ac:dyDescent="0.4">
      <c r="A4011" s="10" t="s">
        <v>3979</v>
      </c>
      <c r="B4011" s="10" t="s">
        <v>3980</v>
      </c>
      <c r="C4011" s="10" t="s">
        <v>152</v>
      </c>
      <c r="D4011" s="10" t="s">
        <v>3981</v>
      </c>
      <c r="E4011" s="10" t="s">
        <v>30</v>
      </c>
      <c r="F4011" s="10" t="s">
        <v>3364</v>
      </c>
      <c r="G4011" s="10" t="s">
        <v>32</v>
      </c>
      <c r="H4011" s="7" t="s">
        <v>24</v>
      </c>
      <c r="I4011" s="7" t="s">
        <v>25</v>
      </c>
      <c r="J4011" s="13" t="str">
        <f>HYPERLINK("https://www.airitibooks.com/Detail/Detail?PublicationID=P20151111113", "https://www.airitibooks.com/Detail/Detail?PublicationID=P20151111113")</f>
        <v>https://www.airitibooks.com/Detail/Detail?PublicationID=P20151111113</v>
      </c>
      <c r="K4011" s="13" t="str">
        <f>HYPERLINK("https://ntsu.idm.oclc.org/login?url=https://www.airitibooks.com/Detail/Detail?PublicationID=P20151111113", "https://ntsu.idm.oclc.org/login?url=https://www.airitibooks.com/Detail/Detail?PublicationID=P20151111113")</f>
        <v>https://ntsu.idm.oclc.org/login?url=https://www.airitibooks.com/Detail/Detail?PublicationID=P20151111113</v>
      </c>
    </row>
    <row r="4012" spans="1:11" ht="51" x14ac:dyDescent="0.4">
      <c r="A4012" s="10" t="s">
        <v>3982</v>
      </c>
      <c r="B4012" s="10" t="s">
        <v>3983</v>
      </c>
      <c r="C4012" s="10" t="s">
        <v>152</v>
      </c>
      <c r="D4012" s="10" t="s">
        <v>3984</v>
      </c>
      <c r="E4012" s="10" t="s">
        <v>30</v>
      </c>
      <c r="F4012" s="10" t="s">
        <v>3985</v>
      </c>
      <c r="G4012" s="10" t="s">
        <v>32</v>
      </c>
      <c r="H4012" s="7" t="s">
        <v>24</v>
      </c>
      <c r="I4012" s="7" t="s">
        <v>25</v>
      </c>
      <c r="J4012" s="13" t="str">
        <f>HYPERLINK("https://www.airitibooks.com/Detail/Detail?PublicationID=P20151111114", "https://www.airitibooks.com/Detail/Detail?PublicationID=P20151111114")</f>
        <v>https://www.airitibooks.com/Detail/Detail?PublicationID=P20151111114</v>
      </c>
      <c r="K4012" s="13" t="str">
        <f>HYPERLINK("https://ntsu.idm.oclc.org/login?url=https://www.airitibooks.com/Detail/Detail?PublicationID=P20151111114", "https://ntsu.idm.oclc.org/login?url=https://www.airitibooks.com/Detail/Detail?PublicationID=P20151111114")</f>
        <v>https://ntsu.idm.oclc.org/login?url=https://www.airitibooks.com/Detail/Detail?PublicationID=P20151111114</v>
      </c>
    </row>
    <row r="4013" spans="1:11" ht="51" x14ac:dyDescent="0.4">
      <c r="A4013" s="10" t="s">
        <v>3986</v>
      </c>
      <c r="B4013" s="10" t="s">
        <v>3987</v>
      </c>
      <c r="C4013" s="10" t="s">
        <v>152</v>
      </c>
      <c r="D4013" s="10" t="s">
        <v>3988</v>
      </c>
      <c r="E4013" s="10" t="s">
        <v>30</v>
      </c>
      <c r="F4013" s="10" t="s">
        <v>1941</v>
      </c>
      <c r="G4013" s="10" t="s">
        <v>32</v>
      </c>
      <c r="H4013" s="7" t="s">
        <v>24</v>
      </c>
      <c r="I4013" s="7" t="s">
        <v>25</v>
      </c>
      <c r="J4013" s="13" t="str">
        <f>HYPERLINK("https://www.airitibooks.com/Detail/Detail?PublicationID=P20151111115", "https://www.airitibooks.com/Detail/Detail?PublicationID=P20151111115")</f>
        <v>https://www.airitibooks.com/Detail/Detail?PublicationID=P20151111115</v>
      </c>
      <c r="K4013" s="13" t="str">
        <f>HYPERLINK("https://ntsu.idm.oclc.org/login?url=https://www.airitibooks.com/Detail/Detail?PublicationID=P20151111115", "https://ntsu.idm.oclc.org/login?url=https://www.airitibooks.com/Detail/Detail?PublicationID=P20151111115")</f>
        <v>https://ntsu.idm.oclc.org/login?url=https://www.airitibooks.com/Detail/Detail?PublicationID=P20151111115</v>
      </c>
    </row>
    <row r="4014" spans="1:11" ht="51" x14ac:dyDescent="0.4">
      <c r="A4014" s="10" t="s">
        <v>3989</v>
      </c>
      <c r="B4014" s="10" t="s">
        <v>3990</v>
      </c>
      <c r="C4014" s="10" t="s">
        <v>152</v>
      </c>
      <c r="D4014" s="10" t="s">
        <v>3991</v>
      </c>
      <c r="E4014" s="10" t="s">
        <v>30</v>
      </c>
      <c r="F4014" s="10" t="s">
        <v>3364</v>
      </c>
      <c r="G4014" s="10" t="s">
        <v>32</v>
      </c>
      <c r="H4014" s="7" t="s">
        <v>24</v>
      </c>
      <c r="I4014" s="7" t="s">
        <v>25</v>
      </c>
      <c r="J4014" s="13" t="str">
        <f>HYPERLINK("https://www.airitibooks.com/Detail/Detail?PublicationID=P20151111116", "https://www.airitibooks.com/Detail/Detail?PublicationID=P20151111116")</f>
        <v>https://www.airitibooks.com/Detail/Detail?PublicationID=P20151111116</v>
      </c>
      <c r="K4014" s="13" t="str">
        <f>HYPERLINK("https://ntsu.idm.oclc.org/login?url=https://www.airitibooks.com/Detail/Detail?PublicationID=P20151111116", "https://ntsu.idm.oclc.org/login?url=https://www.airitibooks.com/Detail/Detail?PublicationID=P20151111116")</f>
        <v>https://ntsu.idm.oclc.org/login?url=https://www.airitibooks.com/Detail/Detail?PublicationID=P20151111116</v>
      </c>
    </row>
    <row r="4015" spans="1:11" ht="51" x14ac:dyDescent="0.4">
      <c r="A4015" s="10" t="s">
        <v>3992</v>
      </c>
      <c r="B4015" s="10" t="s">
        <v>3993</v>
      </c>
      <c r="C4015" s="10" t="s">
        <v>152</v>
      </c>
      <c r="D4015" s="10" t="s">
        <v>3994</v>
      </c>
      <c r="E4015" s="10" t="s">
        <v>30</v>
      </c>
      <c r="F4015" s="10" t="s">
        <v>1135</v>
      </c>
      <c r="G4015" s="10" t="s">
        <v>32</v>
      </c>
      <c r="H4015" s="7" t="s">
        <v>24</v>
      </c>
      <c r="I4015" s="7" t="s">
        <v>25</v>
      </c>
      <c r="J4015" s="13" t="str">
        <f>HYPERLINK("https://www.airitibooks.com/Detail/Detail?PublicationID=P20151111117", "https://www.airitibooks.com/Detail/Detail?PublicationID=P20151111117")</f>
        <v>https://www.airitibooks.com/Detail/Detail?PublicationID=P20151111117</v>
      </c>
      <c r="K4015" s="13" t="str">
        <f>HYPERLINK("https://ntsu.idm.oclc.org/login?url=https://www.airitibooks.com/Detail/Detail?PublicationID=P20151111117", "https://ntsu.idm.oclc.org/login?url=https://www.airitibooks.com/Detail/Detail?PublicationID=P20151111117")</f>
        <v>https://ntsu.idm.oclc.org/login?url=https://www.airitibooks.com/Detail/Detail?PublicationID=P20151111117</v>
      </c>
    </row>
    <row r="4016" spans="1:11" ht="51" x14ac:dyDescent="0.4">
      <c r="A4016" s="10" t="s">
        <v>3995</v>
      </c>
      <c r="B4016" s="10" t="s">
        <v>3996</v>
      </c>
      <c r="C4016" s="10" t="s">
        <v>152</v>
      </c>
      <c r="D4016" s="10" t="s">
        <v>3997</v>
      </c>
      <c r="E4016" s="10" t="s">
        <v>30</v>
      </c>
      <c r="F4016" s="10" t="s">
        <v>162</v>
      </c>
      <c r="G4016" s="10" t="s">
        <v>32</v>
      </c>
      <c r="H4016" s="7" t="s">
        <v>24</v>
      </c>
      <c r="I4016" s="7" t="s">
        <v>25</v>
      </c>
      <c r="J4016" s="13" t="str">
        <f>HYPERLINK("https://www.airitibooks.com/Detail/Detail?PublicationID=P20151111118", "https://www.airitibooks.com/Detail/Detail?PublicationID=P20151111118")</f>
        <v>https://www.airitibooks.com/Detail/Detail?PublicationID=P20151111118</v>
      </c>
      <c r="K4016" s="13" t="str">
        <f>HYPERLINK("https://ntsu.idm.oclc.org/login?url=https://www.airitibooks.com/Detail/Detail?PublicationID=P20151111118", "https://ntsu.idm.oclc.org/login?url=https://www.airitibooks.com/Detail/Detail?PublicationID=P20151111118")</f>
        <v>https://ntsu.idm.oclc.org/login?url=https://www.airitibooks.com/Detail/Detail?PublicationID=P20151111118</v>
      </c>
    </row>
    <row r="4017" spans="1:11" ht="51" x14ac:dyDescent="0.4">
      <c r="A4017" s="10" t="s">
        <v>3998</v>
      </c>
      <c r="B4017" s="10" t="s">
        <v>3999</v>
      </c>
      <c r="C4017" s="10" t="s">
        <v>152</v>
      </c>
      <c r="D4017" s="10" t="s">
        <v>4000</v>
      </c>
      <c r="E4017" s="10" t="s">
        <v>30</v>
      </c>
      <c r="F4017" s="10" t="s">
        <v>162</v>
      </c>
      <c r="G4017" s="10" t="s">
        <v>32</v>
      </c>
      <c r="H4017" s="7" t="s">
        <v>24</v>
      </c>
      <c r="I4017" s="7" t="s">
        <v>25</v>
      </c>
      <c r="J4017" s="13" t="str">
        <f>HYPERLINK("https://www.airitibooks.com/Detail/Detail?PublicationID=P20151111119", "https://www.airitibooks.com/Detail/Detail?PublicationID=P20151111119")</f>
        <v>https://www.airitibooks.com/Detail/Detail?PublicationID=P20151111119</v>
      </c>
      <c r="K4017" s="13" t="str">
        <f>HYPERLINK("https://ntsu.idm.oclc.org/login?url=https://www.airitibooks.com/Detail/Detail?PublicationID=P20151111119", "https://ntsu.idm.oclc.org/login?url=https://www.airitibooks.com/Detail/Detail?PublicationID=P20151111119")</f>
        <v>https://ntsu.idm.oclc.org/login?url=https://www.airitibooks.com/Detail/Detail?PublicationID=P20151111119</v>
      </c>
    </row>
    <row r="4018" spans="1:11" ht="51" x14ac:dyDescent="0.4">
      <c r="A4018" s="10" t="s">
        <v>4035</v>
      </c>
      <c r="B4018" s="10" t="s">
        <v>4036</v>
      </c>
      <c r="C4018" s="10" t="s">
        <v>938</v>
      </c>
      <c r="D4018" s="10" t="s">
        <v>4037</v>
      </c>
      <c r="E4018" s="10" t="s">
        <v>30</v>
      </c>
      <c r="F4018" s="10" t="s">
        <v>4038</v>
      </c>
      <c r="G4018" s="10" t="s">
        <v>32</v>
      </c>
      <c r="H4018" s="7" t="s">
        <v>24</v>
      </c>
      <c r="I4018" s="7" t="s">
        <v>25</v>
      </c>
      <c r="J4018" s="13" t="str">
        <f>HYPERLINK("https://www.airitibooks.com/Detail/Detail?PublicationID=P20151204024", "https://www.airitibooks.com/Detail/Detail?PublicationID=P20151204024")</f>
        <v>https://www.airitibooks.com/Detail/Detail?PublicationID=P20151204024</v>
      </c>
      <c r="K4018" s="13" t="str">
        <f>HYPERLINK("https://ntsu.idm.oclc.org/login?url=https://www.airitibooks.com/Detail/Detail?PublicationID=P20151204024", "https://ntsu.idm.oclc.org/login?url=https://www.airitibooks.com/Detail/Detail?PublicationID=P20151204024")</f>
        <v>https://ntsu.idm.oclc.org/login?url=https://www.airitibooks.com/Detail/Detail?PublicationID=P20151204024</v>
      </c>
    </row>
    <row r="4019" spans="1:11" ht="51" x14ac:dyDescent="0.4">
      <c r="A4019" s="10" t="s">
        <v>4061</v>
      </c>
      <c r="B4019" s="10" t="s">
        <v>4062</v>
      </c>
      <c r="C4019" s="10" t="s">
        <v>297</v>
      </c>
      <c r="D4019" s="10" t="s">
        <v>4063</v>
      </c>
      <c r="E4019" s="10" t="s">
        <v>30</v>
      </c>
      <c r="F4019" s="10" t="s">
        <v>1941</v>
      </c>
      <c r="G4019" s="10" t="s">
        <v>32</v>
      </c>
      <c r="H4019" s="7" t="s">
        <v>24</v>
      </c>
      <c r="I4019" s="7" t="s">
        <v>25</v>
      </c>
      <c r="J4019" s="13" t="str">
        <f>HYPERLINK("https://www.airitibooks.com/Detail/Detail?PublicationID=P20151204051", "https://www.airitibooks.com/Detail/Detail?PublicationID=P20151204051")</f>
        <v>https://www.airitibooks.com/Detail/Detail?PublicationID=P20151204051</v>
      </c>
      <c r="K4019" s="13" t="str">
        <f>HYPERLINK("https://ntsu.idm.oclc.org/login?url=https://www.airitibooks.com/Detail/Detail?PublicationID=P20151204051", "https://ntsu.idm.oclc.org/login?url=https://www.airitibooks.com/Detail/Detail?PublicationID=P20151204051")</f>
        <v>https://ntsu.idm.oclc.org/login?url=https://www.airitibooks.com/Detail/Detail?PublicationID=P20151204051</v>
      </c>
    </row>
    <row r="4020" spans="1:11" ht="51" x14ac:dyDescent="0.4">
      <c r="A4020" s="10" t="s">
        <v>4064</v>
      </c>
      <c r="B4020" s="10" t="s">
        <v>4065</v>
      </c>
      <c r="C4020" s="10" t="s">
        <v>297</v>
      </c>
      <c r="D4020" s="10" t="s">
        <v>4066</v>
      </c>
      <c r="E4020" s="10" t="s">
        <v>30</v>
      </c>
      <c r="F4020" s="10" t="s">
        <v>4067</v>
      </c>
      <c r="G4020" s="10" t="s">
        <v>32</v>
      </c>
      <c r="H4020" s="7" t="s">
        <v>24</v>
      </c>
      <c r="I4020" s="7" t="s">
        <v>25</v>
      </c>
      <c r="J4020" s="13" t="str">
        <f>HYPERLINK("https://www.airitibooks.com/Detail/Detail?PublicationID=P20151204052", "https://www.airitibooks.com/Detail/Detail?PublicationID=P20151204052")</f>
        <v>https://www.airitibooks.com/Detail/Detail?PublicationID=P20151204052</v>
      </c>
      <c r="K4020" s="13" t="str">
        <f>HYPERLINK("https://ntsu.idm.oclc.org/login?url=https://www.airitibooks.com/Detail/Detail?PublicationID=P20151204052", "https://ntsu.idm.oclc.org/login?url=https://www.airitibooks.com/Detail/Detail?PublicationID=P20151204052")</f>
        <v>https://ntsu.idm.oclc.org/login?url=https://www.airitibooks.com/Detail/Detail?PublicationID=P20151204052</v>
      </c>
    </row>
    <row r="4021" spans="1:11" ht="51" x14ac:dyDescent="0.4">
      <c r="A4021" s="10" t="s">
        <v>4070</v>
      </c>
      <c r="B4021" s="10" t="s">
        <v>4071</v>
      </c>
      <c r="C4021" s="10" t="s">
        <v>212</v>
      </c>
      <c r="D4021" s="10" t="s">
        <v>1587</v>
      </c>
      <c r="E4021" s="10" t="s">
        <v>30</v>
      </c>
      <c r="F4021" s="10" t="s">
        <v>1903</v>
      </c>
      <c r="G4021" s="10" t="s">
        <v>32</v>
      </c>
      <c r="H4021" s="7" t="s">
        <v>24</v>
      </c>
      <c r="I4021" s="7" t="s">
        <v>25</v>
      </c>
      <c r="J4021" s="13" t="str">
        <f>HYPERLINK("https://www.airitibooks.com/Detail/Detail?PublicationID=P20151204057", "https://www.airitibooks.com/Detail/Detail?PublicationID=P20151204057")</f>
        <v>https://www.airitibooks.com/Detail/Detail?PublicationID=P20151204057</v>
      </c>
      <c r="K4021" s="13" t="str">
        <f>HYPERLINK("https://ntsu.idm.oclc.org/login?url=https://www.airitibooks.com/Detail/Detail?PublicationID=P20151204057", "https://ntsu.idm.oclc.org/login?url=https://www.airitibooks.com/Detail/Detail?PublicationID=P20151204057")</f>
        <v>https://ntsu.idm.oclc.org/login?url=https://www.airitibooks.com/Detail/Detail?PublicationID=P20151204057</v>
      </c>
    </row>
    <row r="4022" spans="1:11" ht="51" x14ac:dyDescent="0.4">
      <c r="A4022" s="10" t="s">
        <v>4080</v>
      </c>
      <c r="B4022" s="10" t="s">
        <v>4081</v>
      </c>
      <c r="C4022" s="10" t="s">
        <v>1203</v>
      </c>
      <c r="D4022" s="10" t="s">
        <v>4082</v>
      </c>
      <c r="E4022" s="10" t="s">
        <v>30</v>
      </c>
      <c r="F4022" s="10" t="s">
        <v>4083</v>
      </c>
      <c r="G4022" s="10" t="s">
        <v>32</v>
      </c>
      <c r="H4022" s="7" t="s">
        <v>24</v>
      </c>
      <c r="I4022" s="7" t="s">
        <v>25</v>
      </c>
      <c r="J4022" s="13" t="str">
        <f>HYPERLINK("https://www.airitibooks.com/Detail/Detail?PublicationID=P20151204061", "https://www.airitibooks.com/Detail/Detail?PublicationID=P20151204061")</f>
        <v>https://www.airitibooks.com/Detail/Detail?PublicationID=P20151204061</v>
      </c>
      <c r="K4022" s="13" t="str">
        <f>HYPERLINK("https://ntsu.idm.oclc.org/login?url=https://www.airitibooks.com/Detail/Detail?PublicationID=P20151204061", "https://ntsu.idm.oclc.org/login?url=https://www.airitibooks.com/Detail/Detail?PublicationID=P20151204061")</f>
        <v>https://ntsu.idm.oclc.org/login?url=https://www.airitibooks.com/Detail/Detail?PublicationID=P20151204061</v>
      </c>
    </row>
    <row r="4023" spans="1:11" ht="51" x14ac:dyDescent="0.4">
      <c r="A4023" s="10" t="s">
        <v>4092</v>
      </c>
      <c r="B4023" s="10" t="s">
        <v>4093</v>
      </c>
      <c r="C4023" s="10" t="s">
        <v>28</v>
      </c>
      <c r="D4023" s="10" t="s">
        <v>4094</v>
      </c>
      <c r="E4023" s="10" t="s">
        <v>30</v>
      </c>
      <c r="F4023" s="10" t="s">
        <v>47</v>
      </c>
      <c r="G4023" s="10" t="s">
        <v>32</v>
      </c>
      <c r="H4023" s="7" t="s">
        <v>24</v>
      </c>
      <c r="I4023" s="7" t="s">
        <v>25</v>
      </c>
      <c r="J4023" s="13" t="str">
        <f>HYPERLINK("https://www.airitibooks.com/Detail/Detail?PublicationID=P20151204076", "https://www.airitibooks.com/Detail/Detail?PublicationID=P20151204076")</f>
        <v>https://www.airitibooks.com/Detail/Detail?PublicationID=P20151204076</v>
      </c>
      <c r="K4023" s="13" t="str">
        <f>HYPERLINK("https://ntsu.idm.oclc.org/login?url=https://www.airitibooks.com/Detail/Detail?PublicationID=P20151204076", "https://ntsu.idm.oclc.org/login?url=https://www.airitibooks.com/Detail/Detail?PublicationID=P20151204076")</f>
        <v>https://ntsu.idm.oclc.org/login?url=https://www.airitibooks.com/Detail/Detail?PublicationID=P20151204076</v>
      </c>
    </row>
    <row r="4024" spans="1:11" ht="51" x14ac:dyDescent="0.4">
      <c r="A4024" s="10" t="s">
        <v>4095</v>
      </c>
      <c r="B4024" s="10" t="s">
        <v>4096</v>
      </c>
      <c r="C4024" s="10" t="s">
        <v>28</v>
      </c>
      <c r="D4024" s="10" t="s">
        <v>4097</v>
      </c>
      <c r="E4024" s="10" t="s">
        <v>30</v>
      </c>
      <c r="F4024" s="10" t="s">
        <v>4098</v>
      </c>
      <c r="G4024" s="10" t="s">
        <v>32</v>
      </c>
      <c r="H4024" s="7" t="s">
        <v>24</v>
      </c>
      <c r="I4024" s="7" t="s">
        <v>25</v>
      </c>
      <c r="J4024" s="13" t="str">
        <f>HYPERLINK("https://www.airitibooks.com/Detail/Detail?PublicationID=P20151204078", "https://www.airitibooks.com/Detail/Detail?PublicationID=P20151204078")</f>
        <v>https://www.airitibooks.com/Detail/Detail?PublicationID=P20151204078</v>
      </c>
      <c r="K4024" s="13" t="str">
        <f>HYPERLINK("https://ntsu.idm.oclc.org/login?url=https://www.airitibooks.com/Detail/Detail?PublicationID=P20151204078", "https://ntsu.idm.oclc.org/login?url=https://www.airitibooks.com/Detail/Detail?PublicationID=P20151204078")</f>
        <v>https://ntsu.idm.oclc.org/login?url=https://www.airitibooks.com/Detail/Detail?PublicationID=P20151204078</v>
      </c>
    </row>
    <row r="4025" spans="1:11" ht="51" x14ac:dyDescent="0.4">
      <c r="A4025" s="10" t="s">
        <v>4099</v>
      </c>
      <c r="B4025" s="10" t="s">
        <v>4100</v>
      </c>
      <c r="C4025" s="10" t="s">
        <v>28</v>
      </c>
      <c r="D4025" s="10" t="s">
        <v>4101</v>
      </c>
      <c r="E4025" s="10" t="s">
        <v>30</v>
      </c>
      <c r="F4025" s="10" t="s">
        <v>258</v>
      </c>
      <c r="G4025" s="10" t="s">
        <v>32</v>
      </c>
      <c r="H4025" s="7" t="s">
        <v>24</v>
      </c>
      <c r="I4025" s="7" t="s">
        <v>25</v>
      </c>
      <c r="J4025" s="13" t="str">
        <f>HYPERLINK("https://www.airitibooks.com/Detail/Detail?PublicationID=P20151204079", "https://www.airitibooks.com/Detail/Detail?PublicationID=P20151204079")</f>
        <v>https://www.airitibooks.com/Detail/Detail?PublicationID=P20151204079</v>
      </c>
      <c r="K4025" s="13" t="str">
        <f>HYPERLINK("https://ntsu.idm.oclc.org/login?url=https://www.airitibooks.com/Detail/Detail?PublicationID=P20151204079", "https://ntsu.idm.oclc.org/login?url=https://www.airitibooks.com/Detail/Detail?PublicationID=P20151204079")</f>
        <v>https://ntsu.idm.oclc.org/login?url=https://www.airitibooks.com/Detail/Detail?PublicationID=P20151204079</v>
      </c>
    </row>
    <row r="4026" spans="1:11" ht="51" x14ac:dyDescent="0.4">
      <c r="A4026" s="10" t="s">
        <v>4102</v>
      </c>
      <c r="B4026" s="10" t="s">
        <v>4103</v>
      </c>
      <c r="C4026" s="10" t="s">
        <v>28</v>
      </c>
      <c r="D4026" s="10" t="s">
        <v>4104</v>
      </c>
      <c r="E4026" s="10" t="s">
        <v>30</v>
      </c>
      <c r="F4026" s="10" t="s">
        <v>4105</v>
      </c>
      <c r="G4026" s="10" t="s">
        <v>32</v>
      </c>
      <c r="H4026" s="7" t="s">
        <v>24</v>
      </c>
      <c r="I4026" s="7" t="s">
        <v>25</v>
      </c>
      <c r="J4026" s="13" t="str">
        <f>HYPERLINK("https://www.airitibooks.com/Detail/Detail?PublicationID=P20151204083", "https://www.airitibooks.com/Detail/Detail?PublicationID=P20151204083")</f>
        <v>https://www.airitibooks.com/Detail/Detail?PublicationID=P20151204083</v>
      </c>
      <c r="K4026" s="13" t="str">
        <f>HYPERLINK("https://ntsu.idm.oclc.org/login?url=https://www.airitibooks.com/Detail/Detail?PublicationID=P20151204083", "https://ntsu.idm.oclc.org/login?url=https://www.airitibooks.com/Detail/Detail?PublicationID=P20151204083")</f>
        <v>https://ntsu.idm.oclc.org/login?url=https://www.airitibooks.com/Detail/Detail?PublicationID=P20151204083</v>
      </c>
    </row>
    <row r="4027" spans="1:11" ht="51" x14ac:dyDescent="0.4">
      <c r="A4027" s="10" t="s">
        <v>4116</v>
      </c>
      <c r="B4027" s="10" t="s">
        <v>4117</v>
      </c>
      <c r="C4027" s="10" t="s">
        <v>1114</v>
      </c>
      <c r="D4027" s="10" t="s">
        <v>2454</v>
      </c>
      <c r="E4027" s="10" t="s">
        <v>30</v>
      </c>
      <c r="F4027" s="10" t="s">
        <v>1317</v>
      </c>
      <c r="G4027" s="10" t="s">
        <v>32</v>
      </c>
      <c r="H4027" s="7" t="s">
        <v>24</v>
      </c>
      <c r="I4027" s="7" t="s">
        <v>25</v>
      </c>
      <c r="J4027" s="13" t="str">
        <f>HYPERLINK("https://www.airitibooks.com/Detail/Detail?PublicationID=P20151210005", "https://www.airitibooks.com/Detail/Detail?PublicationID=P20151210005")</f>
        <v>https://www.airitibooks.com/Detail/Detail?PublicationID=P20151210005</v>
      </c>
      <c r="K4027" s="13" t="str">
        <f>HYPERLINK("https://ntsu.idm.oclc.org/login?url=https://www.airitibooks.com/Detail/Detail?PublicationID=P20151210005", "https://ntsu.idm.oclc.org/login?url=https://www.airitibooks.com/Detail/Detail?PublicationID=P20151210005")</f>
        <v>https://ntsu.idm.oclc.org/login?url=https://www.airitibooks.com/Detail/Detail?PublicationID=P20151210005</v>
      </c>
    </row>
    <row r="4028" spans="1:11" ht="51" x14ac:dyDescent="0.4">
      <c r="A4028" s="10" t="s">
        <v>4155</v>
      </c>
      <c r="B4028" s="10" t="s">
        <v>4156</v>
      </c>
      <c r="C4028" s="10" t="s">
        <v>130</v>
      </c>
      <c r="D4028" s="10" t="s">
        <v>4157</v>
      </c>
      <c r="E4028" s="10" t="s">
        <v>30</v>
      </c>
      <c r="F4028" s="10" t="s">
        <v>4158</v>
      </c>
      <c r="G4028" s="10" t="s">
        <v>32</v>
      </c>
      <c r="H4028" s="7" t="s">
        <v>24</v>
      </c>
      <c r="I4028" s="7" t="s">
        <v>25</v>
      </c>
      <c r="J4028" s="13" t="str">
        <f>HYPERLINK("https://www.airitibooks.com/Detail/Detail?PublicationID=P20160224042", "https://www.airitibooks.com/Detail/Detail?PublicationID=P20160224042")</f>
        <v>https://www.airitibooks.com/Detail/Detail?PublicationID=P20160224042</v>
      </c>
      <c r="K4028" s="13" t="str">
        <f>HYPERLINK("https://ntsu.idm.oclc.org/login?url=https://www.airitibooks.com/Detail/Detail?PublicationID=P20160224042", "https://ntsu.idm.oclc.org/login?url=https://www.airitibooks.com/Detail/Detail?PublicationID=P20160224042")</f>
        <v>https://ntsu.idm.oclc.org/login?url=https://www.airitibooks.com/Detail/Detail?PublicationID=P20160224042</v>
      </c>
    </row>
    <row r="4029" spans="1:11" ht="51" x14ac:dyDescent="0.4">
      <c r="A4029" s="10" t="s">
        <v>4162</v>
      </c>
      <c r="B4029" s="10" t="s">
        <v>4163</v>
      </c>
      <c r="C4029" s="10" t="s">
        <v>130</v>
      </c>
      <c r="D4029" s="10" t="s">
        <v>4164</v>
      </c>
      <c r="E4029" s="10" t="s">
        <v>30</v>
      </c>
      <c r="F4029" s="10" t="s">
        <v>3371</v>
      </c>
      <c r="G4029" s="10" t="s">
        <v>32</v>
      </c>
      <c r="H4029" s="7" t="s">
        <v>24</v>
      </c>
      <c r="I4029" s="7" t="s">
        <v>25</v>
      </c>
      <c r="J4029" s="13" t="str">
        <f>HYPERLINK("https://www.airitibooks.com/Detail/Detail?PublicationID=P20160224044", "https://www.airitibooks.com/Detail/Detail?PublicationID=P20160224044")</f>
        <v>https://www.airitibooks.com/Detail/Detail?PublicationID=P20160224044</v>
      </c>
      <c r="K4029" s="13" t="str">
        <f>HYPERLINK("https://ntsu.idm.oclc.org/login?url=https://www.airitibooks.com/Detail/Detail?PublicationID=P20160224044", "https://ntsu.idm.oclc.org/login?url=https://www.airitibooks.com/Detail/Detail?PublicationID=P20160224044")</f>
        <v>https://ntsu.idm.oclc.org/login?url=https://www.airitibooks.com/Detail/Detail?PublicationID=P20160224044</v>
      </c>
    </row>
    <row r="4030" spans="1:11" ht="51" x14ac:dyDescent="0.4">
      <c r="A4030" s="10" t="s">
        <v>4180</v>
      </c>
      <c r="B4030" s="10" t="s">
        <v>4181</v>
      </c>
      <c r="C4030" s="10" t="s">
        <v>746</v>
      </c>
      <c r="D4030" s="10" t="s">
        <v>4182</v>
      </c>
      <c r="E4030" s="10" t="s">
        <v>30</v>
      </c>
      <c r="F4030" s="10" t="s">
        <v>42</v>
      </c>
      <c r="G4030" s="10" t="s">
        <v>32</v>
      </c>
      <c r="H4030" s="7" t="s">
        <v>24</v>
      </c>
      <c r="I4030" s="7" t="s">
        <v>25</v>
      </c>
      <c r="J4030" s="13" t="str">
        <f>HYPERLINK("https://www.airitibooks.com/Detail/Detail?PublicationID=P20160226038", "https://www.airitibooks.com/Detail/Detail?PublicationID=P20160226038")</f>
        <v>https://www.airitibooks.com/Detail/Detail?PublicationID=P20160226038</v>
      </c>
      <c r="K4030" s="13" t="str">
        <f>HYPERLINK("https://ntsu.idm.oclc.org/login?url=https://www.airitibooks.com/Detail/Detail?PublicationID=P20160226038", "https://ntsu.idm.oclc.org/login?url=https://www.airitibooks.com/Detail/Detail?PublicationID=P20160226038")</f>
        <v>https://ntsu.idm.oclc.org/login?url=https://www.airitibooks.com/Detail/Detail?PublicationID=P20160226038</v>
      </c>
    </row>
    <row r="4031" spans="1:11" ht="51" x14ac:dyDescent="0.4">
      <c r="A4031" s="10" t="s">
        <v>4219</v>
      </c>
      <c r="B4031" s="10" t="s">
        <v>4220</v>
      </c>
      <c r="C4031" s="10" t="s">
        <v>499</v>
      </c>
      <c r="D4031" s="10" t="s">
        <v>4221</v>
      </c>
      <c r="E4031" s="10" t="s">
        <v>30</v>
      </c>
      <c r="F4031" s="10" t="s">
        <v>4222</v>
      </c>
      <c r="G4031" s="10" t="s">
        <v>32</v>
      </c>
      <c r="H4031" s="7" t="s">
        <v>24</v>
      </c>
      <c r="I4031" s="7" t="s">
        <v>25</v>
      </c>
      <c r="J4031" s="13" t="str">
        <f>HYPERLINK("https://www.airitibooks.com/Detail/Detail?PublicationID=P20160309003", "https://www.airitibooks.com/Detail/Detail?PublicationID=P20160309003")</f>
        <v>https://www.airitibooks.com/Detail/Detail?PublicationID=P20160309003</v>
      </c>
      <c r="K4031" s="13" t="str">
        <f>HYPERLINK("https://ntsu.idm.oclc.org/login?url=https://www.airitibooks.com/Detail/Detail?PublicationID=P20160309003", "https://ntsu.idm.oclc.org/login?url=https://www.airitibooks.com/Detail/Detail?PublicationID=P20160309003")</f>
        <v>https://ntsu.idm.oclc.org/login?url=https://www.airitibooks.com/Detail/Detail?PublicationID=P20160309003</v>
      </c>
    </row>
    <row r="4032" spans="1:11" ht="51" x14ac:dyDescent="0.4">
      <c r="A4032" s="10" t="s">
        <v>4547</v>
      </c>
      <c r="B4032" s="10" t="s">
        <v>4548</v>
      </c>
      <c r="C4032" s="10" t="s">
        <v>2146</v>
      </c>
      <c r="D4032" s="10" t="s">
        <v>4549</v>
      </c>
      <c r="E4032" s="10" t="s">
        <v>30</v>
      </c>
      <c r="F4032" s="10" t="s">
        <v>2152</v>
      </c>
      <c r="G4032" s="10" t="s">
        <v>32</v>
      </c>
      <c r="H4032" s="7" t="s">
        <v>24</v>
      </c>
      <c r="I4032" s="7" t="s">
        <v>25</v>
      </c>
      <c r="J4032" s="13" t="str">
        <f>HYPERLINK("https://www.airitibooks.com/Detail/Detail?PublicationID=P20160422009", "https://www.airitibooks.com/Detail/Detail?PublicationID=P20160422009")</f>
        <v>https://www.airitibooks.com/Detail/Detail?PublicationID=P20160422009</v>
      </c>
      <c r="K4032" s="13" t="str">
        <f>HYPERLINK("https://ntsu.idm.oclc.org/login?url=https://www.airitibooks.com/Detail/Detail?PublicationID=P20160422009", "https://ntsu.idm.oclc.org/login?url=https://www.airitibooks.com/Detail/Detail?PublicationID=P20160422009")</f>
        <v>https://ntsu.idm.oclc.org/login?url=https://www.airitibooks.com/Detail/Detail?PublicationID=P20160422009</v>
      </c>
    </row>
    <row r="4033" spans="1:11" ht="51" x14ac:dyDescent="0.4">
      <c r="A4033" s="10" t="s">
        <v>4607</v>
      </c>
      <c r="B4033" s="10" t="s">
        <v>4608</v>
      </c>
      <c r="C4033" s="10" t="s">
        <v>4609</v>
      </c>
      <c r="D4033" s="10" t="s">
        <v>4610</v>
      </c>
      <c r="E4033" s="10" t="s">
        <v>30</v>
      </c>
      <c r="F4033" s="10" t="s">
        <v>185</v>
      </c>
      <c r="G4033" s="10" t="s">
        <v>32</v>
      </c>
      <c r="H4033" s="7" t="s">
        <v>24</v>
      </c>
      <c r="I4033" s="7" t="s">
        <v>25</v>
      </c>
      <c r="J4033" s="13" t="str">
        <f>HYPERLINK("https://www.airitibooks.com/Detail/Detail?PublicationID=P20160525024", "https://www.airitibooks.com/Detail/Detail?PublicationID=P20160525024")</f>
        <v>https://www.airitibooks.com/Detail/Detail?PublicationID=P20160525024</v>
      </c>
      <c r="K4033" s="13" t="str">
        <f>HYPERLINK("https://ntsu.idm.oclc.org/login?url=https://www.airitibooks.com/Detail/Detail?PublicationID=P20160525024", "https://ntsu.idm.oclc.org/login?url=https://www.airitibooks.com/Detail/Detail?PublicationID=P20160525024")</f>
        <v>https://ntsu.idm.oclc.org/login?url=https://www.airitibooks.com/Detail/Detail?PublicationID=P20160525024</v>
      </c>
    </row>
    <row r="4034" spans="1:11" ht="51" x14ac:dyDescent="0.4">
      <c r="A4034" s="10" t="s">
        <v>4634</v>
      </c>
      <c r="B4034" s="10" t="s">
        <v>4635</v>
      </c>
      <c r="C4034" s="10" t="s">
        <v>1067</v>
      </c>
      <c r="D4034" s="10" t="s">
        <v>4636</v>
      </c>
      <c r="E4034" s="10" t="s">
        <v>30</v>
      </c>
      <c r="F4034" s="10" t="s">
        <v>1913</v>
      </c>
      <c r="G4034" s="10" t="s">
        <v>32</v>
      </c>
      <c r="H4034" s="7" t="s">
        <v>24</v>
      </c>
      <c r="I4034" s="7" t="s">
        <v>25</v>
      </c>
      <c r="J4034" s="13" t="str">
        <f>HYPERLINK("https://www.airitibooks.com/Detail/Detail?PublicationID=P20160601037", "https://www.airitibooks.com/Detail/Detail?PublicationID=P20160601037")</f>
        <v>https://www.airitibooks.com/Detail/Detail?PublicationID=P20160601037</v>
      </c>
      <c r="K4034" s="13" t="str">
        <f>HYPERLINK("https://ntsu.idm.oclc.org/login?url=https://www.airitibooks.com/Detail/Detail?PublicationID=P20160601037", "https://ntsu.idm.oclc.org/login?url=https://www.airitibooks.com/Detail/Detail?PublicationID=P20160601037")</f>
        <v>https://ntsu.idm.oclc.org/login?url=https://www.airitibooks.com/Detail/Detail?PublicationID=P20160601037</v>
      </c>
    </row>
    <row r="4035" spans="1:11" ht="68" x14ac:dyDescent="0.4">
      <c r="A4035" s="10" t="s">
        <v>4637</v>
      </c>
      <c r="B4035" s="10" t="s">
        <v>4638</v>
      </c>
      <c r="C4035" s="10" t="s">
        <v>1067</v>
      </c>
      <c r="D4035" s="10" t="s">
        <v>4639</v>
      </c>
      <c r="E4035" s="10" t="s">
        <v>30</v>
      </c>
      <c r="F4035" s="10" t="s">
        <v>4640</v>
      </c>
      <c r="G4035" s="10" t="s">
        <v>32</v>
      </c>
      <c r="H4035" s="7" t="s">
        <v>24</v>
      </c>
      <c r="I4035" s="7" t="s">
        <v>25</v>
      </c>
      <c r="J4035" s="13" t="str">
        <f>HYPERLINK("https://www.airitibooks.com/Detail/Detail?PublicationID=P20160601038", "https://www.airitibooks.com/Detail/Detail?PublicationID=P20160601038")</f>
        <v>https://www.airitibooks.com/Detail/Detail?PublicationID=P20160601038</v>
      </c>
      <c r="K4035" s="13" t="str">
        <f>HYPERLINK("https://ntsu.idm.oclc.org/login?url=https://www.airitibooks.com/Detail/Detail?PublicationID=P20160601038", "https://ntsu.idm.oclc.org/login?url=https://www.airitibooks.com/Detail/Detail?PublicationID=P20160601038")</f>
        <v>https://ntsu.idm.oclc.org/login?url=https://www.airitibooks.com/Detail/Detail?PublicationID=P20160601038</v>
      </c>
    </row>
    <row r="4036" spans="1:11" ht="51" x14ac:dyDescent="0.4">
      <c r="A4036" s="10" t="s">
        <v>4643</v>
      </c>
      <c r="B4036" s="10" t="s">
        <v>4644</v>
      </c>
      <c r="C4036" s="10" t="s">
        <v>1067</v>
      </c>
      <c r="D4036" s="10" t="s">
        <v>4645</v>
      </c>
      <c r="E4036" s="10" t="s">
        <v>30</v>
      </c>
      <c r="F4036" s="10" t="s">
        <v>4646</v>
      </c>
      <c r="G4036" s="10" t="s">
        <v>32</v>
      </c>
      <c r="H4036" s="7" t="s">
        <v>24</v>
      </c>
      <c r="I4036" s="7" t="s">
        <v>25</v>
      </c>
      <c r="J4036" s="13" t="str">
        <f>HYPERLINK("https://www.airitibooks.com/Detail/Detail?PublicationID=P20160601040", "https://www.airitibooks.com/Detail/Detail?PublicationID=P20160601040")</f>
        <v>https://www.airitibooks.com/Detail/Detail?PublicationID=P20160601040</v>
      </c>
      <c r="K4036" s="13" t="str">
        <f>HYPERLINK("https://ntsu.idm.oclc.org/login?url=https://www.airitibooks.com/Detail/Detail?PublicationID=P20160601040", "https://ntsu.idm.oclc.org/login?url=https://www.airitibooks.com/Detail/Detail?PublicationID=P20160601040")</f>
        <v>https://ntsu.idm.oclc.org/login?url=https://www.airitibooks.com/Detail/Detail?PublicationID=P20160601040</v>
      </c>
    </row>
    <row r="4037" spans="1:11" ht="51" x14ac:dyDescent="0.4">
      <c r="A4037" s="10" t="s">
        <v>4654</v>
      </c>
      <c r="B4037" s="10" t="s">
        <v>4655</v>
      </c>
      <c r="C4037" s="10" t="s">
        <v>1986</v>
      </c>
      <c r="D4037" s="10" t="s">
        <v>2109</v>
      </c>
      <c r="E4037" s="10" t="s">
        <v>30</v>
      </c>
      <c r="F4037" s="10" t="s">
        <v>2110</v>
      </c>
      <c r="G4037" s="10" t="s">
        <v>32</v>
      </c>
      <c r="H4037" s="7" t="s">
        <v>24</v>
      </c>
      <c r="I4037" s="7" t="s">
        <v>25</v>
      </c>
      <c r="J4037" s="13" t="str">
        <f>HYPERLINK("https://www.airitibooks.com/Detail/Detail?PublicationID=P20160601069", "https://www.airitibooks.com/Detail/Detail?PublicationID=P20160601069")</f>
        <v>https://www.airitibooks.com/Detail/Detail?PublicationID=P20160601069</v>
      </c>
      <c r="K4037" s="13" t="str">
        <f>HYPERLINK("https://ntsu.idm.oclc.org/login?url=https://www.airitibooks.com/Detail/Detail?PublicationID=P20160601069", "https://ntsu.idm.oclc.org/login?url=https://www.airitibooks.com/Detail/Detail?PublicationID=P20160601069")</f>
        <v>https://ntsu.idm.oclc.org/login?url=https://www.airitibooks.com/Detail/Detail?PublicationID=P20160601069</v>
      </c>
    </row>
    <row r="4038" spans="1:11" ht="51" x14ac:dyDescent="0.4">
      <c r="A4038" s="10" t="s">
        <v>4659</v>
      </c>
      <c r="B4038" s="10" t="s">
        <v>4660</v>
      </c>
      <c r="C4038" s="10" t="s">
        <v>3863</v>
      </c>
      <c r="D4038" s="10" t="s">
        <v>4661</v>
      </c>
      <c r="E4038" s="10" t="s">
        <v>30</v>
      </c>
      <c r="F4038" s="10" t="s">
        <v>575</v>
      </c>
      <c r="G4038" s="10" t="s">
        <v>32</v>
      </c>
      <c r="H4038" s="7" t="s">
        <v>24</v>
      </c>
      <c r="I4038" s="7" t="s">
        <v>25</v>
      </c>
      <c r="J4038" s="13" t="str">
        <f>HYPERLINK("https://www.airitibooks.com/Detail/Detail?PublicationID=P20160601072", "https://www.airitibooks.com/Detail/Detail?PublicationID=P20160601072")</f>
        <v>https://www.airitibooks.com/Detail/Detail?PublicationID=P20160601072</v>
      </c>
      <c r="K4038" s="13" t="str">
        <f>HYPERLINK("https://ntsu.idm.oclc.org/login?url=https://www.airitibooks.com/Detail/Detail?PublicationID=P20160601072", "https://ntsu.idm.oclc.org/login?url=https://www.airitibooks.com/Detail/Detail?PublicationID=P20160601072")</f>
        <v>https://ntsu.idm.oclc.org/login?url=https://www.airitibooks.com/Detail/Detail?PublicationID=P20160601072</v>
      </c>
    </row>
    <row r="4039" spans="1:11" ht="51" x14ac:dyDescent="0.4">
      <c r="A4039" s="10" t="s">
        <v>4758</v>
      </c>
      <c r="B4039" s="10" t="s">
        <v>4759</v>
      </c>
      <c r="C4039" s="10" t="s">
        <v>4609</v>
      </c>
      <c r="D4039" s="10" t="s">
        <v>4760</v>
      </c>
      <c r="E4039" s="10" t="s">
        <v>30</v>
      </c>
      <c r="F4039" s="10" t="s">
        <v>4761</v>
      </c>
      <c r="G4039" s="10" t="s">
        <v>32</v>
      </c>
      <c r="H4039" s="7" t="s">
        <v>24</v>
      </c>
      <c r="I4039" s="7" t="s">
        <v>25</v>
      </c>
      <c r="J4039" s="13" t="str">
        <f>HYPERLINK("https://www.airitibooks.com/Detail/Detail?PublicationID=P20160614007", "https://www.airitibooks.com/Detail/Detail?PublicationID=P20160614007")</f>
        <v>https://www.airitibooks.com/Detail/Detail?PublicationID=P20160614007</v>
      </c>
      <c r="K4039" s="13" t="str">
        <f>HYPERLINK("https://ntsu.idm.oclc.org/login?url=https://www.airitibooks.com/Detail/Detail?PublicationID=P20160614007", "https://ntsu.idm.oclc.org/login?url=https://www.airitibooks.com/Detail/Detail?PublicationID=P20160614007")</f>
        <v>https://ntsu.idm.oclc.org/login?url=https://www.airitibooks.com/Detail/Detail?PublicationID=P20160614007</v>
      </c>
    </row>
    <row r="4040" spans="1:11" ht="51" x14ac:dyDescent="0.4">
      <c r="A4040" s="10" t="s">
        <v>4762</v>
      </c>
      <c r="B4040" s="10" t="s">
        <v>4763</v>
      </c>
      <c r="C4040" s="10" t="s">
        <v>4609</v>
      </c>
      <c r="D4040" s="10" t="s">
        <v>4764</v>
      </c>
      <c r="E4040" s="10" t="s">
        <v>30</v>
      </c>
      <c r="F4040" s="10" t="s">
        <v>4765</v>
      </c>
      <c r="G4040" s="10" t="s">
        <v>32</v>
      </c>
      <c r="H4040" s="7" t="s">
        <v>24</v>
      </c>
      <c r="I4040" s="7" t="s">
        <v>25</v>
      </c>
      <c r="J4040" s="13" t="str">
        <f>HYPERLINK("https://www.airitibooks.com/Detail/Detail?PublicationID=P20160614009", "https://www.airitibooks.com/Detail/Detail?PublicationID=P20160614009")</f>
        <v>https://www.airitibooks.com/Detail/Detail?PublicationID=P20160614009</v>
      </c>
      <c r="K4040" s="13" t="str">
        <f>HYPERLINK("https://ntsu.idm.oclc.org/login?url=https://www.airitibooks.com/Detail/Detail?PublicationID=P20160614009", "https://ntsu.idm.oclc.org/login?url=https://www.airitibooks.com/Detail/Detail?PublicationID=P20160614009")</f>
        <v>https://ntsu.idm.oclc.org/login?url=https://www.airitibooks.com/Detail/Detail?PublicationID=P20160614009</v>
      </c>
    </row>
    <row r="4041" spans="1:11" ht="51" x14ac:dyDescent="0.4">
      <c r="A4041" s="10" t="s">
        <v>4807</v>
      </c>
      <c r="B4041" s="10" t="s">
        <v>4808</v>
      </c>
      <c r="C4041" s="10" t="s">
        <v>2367</v>
      </c>
      <c r="D4041" s="10" t="s">
        <v>4809</v>
      </c>
      <c r="E4041" s="10" t="s">
        <v>30</v>
      </c>
      <c r="F4041" s="10" t="s">
        <v>176</v>
      </c>
      <c r="G4041" s="10" t="s">
        <v>32</v>
      </c>
      <c r="H4041" s="7" t="s">
        <v>24</v>
      </c>
      <c r="I4041" s="7" t="s">
        <v>25</v>
      </c>
      <c r="J4041" s="13" t="str">
        <f>HYPERLINK("https://www.airitibooks.com/Detail/Detail?PublicationID=P20160715076", "https://www.airitibooks.com/Detail/Detail?PublicationID=P20160715076")</f>
        <v>https://www.airitibooks.com/Detail/Detail?PublicationID=P20160715076</v>
      </c>
      <c r="K4041" s="13" t="str">
        <f>HYPERLINK("https://ntsu.idm.oclc.org/login?url=https://www.airitibooks.com/Detail/Detail?PublicationID=P20160715076", "https://ntsu.idm.oclc.org/login?url=https://www.airitibooks.com/Detail/Detail?PublicationID=P20160715076")</f>
        <v>https://ntsu.idm.oclc.org/login?url=https://www.airitibooks.com/Detail/Detail?PublicationID=P20160715076</v>
      </c>
    </row>
    <row r="4042" spans="1:11" ht="51" x14ac:dyDescent="0.4">
      <c r="A4042" s="10" t="s">
        <v>4810</v>
      </c>
      <c r="B4042" s="10" t="s">
        <v>4811</v>
      </c>
      <c r="C4042" s="10" t="s">
        <v>2367</v>
      </c>
      <c r="D4042" s="10" t="s">
        <v>3632</v>
      </c>
      <c r="E4042" s="10" t="s">
        <v>30</v>
      </c>
      <c r="F4042" s="10" t="s">
        <v>185</v>
      </c>
      <c r="G4042" s="10" t="s">
        <v>32</v>
      </c>
      <c r="H4042" s="7" t="s">
        <v>24</v>
      </c>
      <c r="I4042" s="7" t="s">
        <v>25</v>
      </c>
      <c r="J4042" s="13" t="str">
        <f>HYPERLINK("https://www.airitibooks.com/Detail/Detail?PublicationID=P20160715077", "https://www.airitibooks.com/Detail/Detail?PublicationID=P20160715077")</f>
        <v>https://www.airitibooks.com/Detail/Detail?PublicationID=P20160715077</v>
      </c>
      <c r="K4042" s="13" t="str">
        <f>HYPERLINK("https://ntsu.idm.oclc.org/login?url=https://www.airitibooks.com/Detail/Detail?PublicationID=P20160715077", "https://ntsu.idm.oclc.org/login?url=https://www.airitibooks.com/Detail/Detail?PublicationID=P20160715077")</f>
        <v>https://ntsu.idm.oclc.org/login?url=https://www.airitibooks.com/Detail/Detail?PublicationID=P20160715077</v>
      </c>
    </row>
    <row r="4043" spans="1:11" ht="51" x14ac:dyDescent="0.4">
      <c r="A4043" s="10" t="s">
        <v>4812</v>
      </c>
      <c r="B4043" s="10" t="s">
        <v>4813</v>
      </c>
      <c r="C4043" s="10" t="s">
        <v>2367</v>
      </c>
      <c r="D4043" s="10" t="s">
        <v>2379</v>
      </c>
      <c r="E4043" s="10" t="s">
        <v>30</v>
      </c>
      <c r="F4043" s="10" t="s">
        <v>1903</v>
      </c>
      <c r="G4043" s="10" t="s">
        <v>32</v>
      </c>
      <c r="H4043" s="7" t="s">
        <v>24</v>
      </c>
      <c r="I4043" s="7" t="s">
        <v>25</v>
      </c>
      <c r="J4043" s="13" t="str">
        <f>HYPERLINK("https://www.airitibooks.com/Detail/Detail?PublicationID=P20160715078", "https://www.airitibooks.com/Detail/Detail?PublicationID=P20160715078")</f>
        <v>https://www.airitibooks.com/Detail/Detail?PublicationID=P20160715078</v>
      </c>
      <c r="K4043" s="13" t="str">
        <f>HYPERLINK("https://ntsu.idm.oclc.org/login?url=https://www.airitibooks.com/Detail/Detail?PublicationID=P20160715078", "https://ntsu.idm.oclc.org/login?url=https://www.airitibooks.com/Detail/Detail?PublicationID=P20160715078")</f>
        <v>https://ntsu.idm.oclc.org/login?url=https://www.airitibooks.com/Detail/Detail?PublicationID=P20160715078</v>
      </c>
    </row>
    <row r="4044" spans="1:11" ht="51" x14ac:dyDescent="0.4">
      <c r="A4044" s="10" t="s">
        <v>4814</v>
      </c>
      <c r="B4044" s="10" t="s">
        <v>4815</v>
      </c>
      <c r="C4044" s="10" t="s">
        <v>2367</v>
      </c>
      <c r="D4044" s="10" t="s">
        <v>4809</v>
      </c>
      <c r="E4044" s="10" t="s">
        <v>30</v>
      </c>
      <c r="F4044" s="10" t="s">
        <v>2628</v>
      </c>
      <c r="G4044" s="10" t="s">
        <v>32</v>
      </c>
      <c r="H4044" s="7" t="s">
        <v>24</v>
      </c>
      <c r="I4044" s="7" t="s">
        <v>25</v>
      </c>
      <c r="J4044" s="13" t="str">
        <f>HYPERLINK("https://www.airitibooks.com/Detail/Detail?PublicationID=P20160715087", "https://www.airitibooks.com/Detail/Detail?PublicationID=P20160715087")</f>
        <v>https://www.airitibooks.com/Detail/Detail?PublicationID=P20160715087</v>
      </c>
      <c r="K4044" s="13" t="str">
        <f>HYPERLINK("https://ntsu.idm.oclc.org/login?url=https://www.airitibooks.com/Detail/Detail?PublicationID=P20160715087", "https://ntsu.idm.oclc.org/login?url=https://www.airitibooks.com/Detail/Detail?PublicationID=P20160715087")</f>
        <v>https://ntsu.idm.oclc.org/login?url=https://www.airitibooks.com/Detail/Detail?PublicationID=P20160715087</v>
      </c>
    </row>
    <row r="4045" spans="1:11" ht="51" x14ac:dyDescent="0.4">
      <c r="A4045" s="10" t="s">
        <v>4820</v>
      </c>
      <c r="B4045" s="10" t="s">
        <v>4821</v>
      </c>
      <c r="C4045" s="10" t="s">
        <v>2367</v>
      </c>
      <c r="D4045" s="10" t="s">
        <v>4822</v>
      </c>
      <c r="E4045" s="10" t="s">
        <v>30</v>
      </c>
      <c r="F4045" s="10" t="s">
        <v>4823</v>
      </c>
      <c r="G4045" s="10" t="s">
        <v>32</v>
      </c>
      <c r="H4045" s="7" t="s">
        <v>24</v>
      </c>
      <c r="I4045" s="7" t="s">
        <v>25</v>
      </c>
      <c r="J4045" s="13" t="str">
        <f>HYPERLINK("https://www.airitibooks.com/Detail/Detail?PublicationID=P20160715107", "https://www.airitibooks.com/Detail/Detail?PublicationID=P20160715107")</f>
        <v>https://www.airitibooks.com/Detail/Detail?PublicationID=P20160715107</v>
      </c>
      <c r="K4045" s="13" t="str">
        <f>HYPERLINK("https://ntsu.idm.oclc.org/login?url=https://www.airitibooks.com/Detail/Detail?PublicationID=P20160715107", "https://ntsu.idm.oclc.org/login?url=https://www.airitibooks.com/Detail/Detail?PublicationID=P20160715107")</f>
        <v>https://ntsu.idm.oclc.org/login?url=https://www.airitibooks.com/Detail/Detail?PublicationID=P20160715107</v>
      </c>
    </row>
    <row r="4046" spans="1:11" ht="51" x14ac:dyDescent="0.4">
      <c r="A4046" s="10" t="s">
        <v>4824</v>
      </c>
      <c r="B4046" s="10" t="s">
        <v>4825</v>
      </c>
      <c r="C4046" s="10" t="s">
        <v>2367</v>
      </c>
      <c r="D4046" s="10" t="s">
        <v>4826</v>
      </c>
      <c r="E4046" s="10" t="s">
        <v>30</v>
      </c>
      <c r="F4046" s="10" t="s">
        <v>2844</v>
      </c>
      <c r="G4046" s="10" t="s">
        <v>32</v>
      </c>
      <c r="H4046" s="7" t="s">
        <v>24</v>
      </c>
      <c r="I4046" s="7" t="s">
        <v>25</v>
      </c>
      <c r="J4046" s="13" t="str">
        <f>HYPERLINK("https://www.airitibooks.com/Detail/Detail?PublicationID=P20160715108", "https://www.airitibooks.com/Detail/Detail?PublicationID=P20160715108")</f>
        <v>https://www.airitibooks.com/Detail/Detail?PublicationID=P20160715108</v>
      </c>
      <c r="K4046" s="13" t="str">
        <f>HYPERLINK("https://ntsu.idm.oclc.org/login?url=https://www.airitibooks.com/Detail/Detail?PublicationID=P20160715108", "https://ntsu.idm.oclc.org/login?url=https://www.airitibooks.com/Detail/Detail?PublicationID=P20160715108")</f>
        <v>https://ntsu.idm.oclc.org/login?url=https://www.airitibooks.com/Detail/Detail?PublicationID=P20160715108</v>
      </c>
    </row>
    <row r="4047" spans="1:11" ht="51" x14ac:dyDescent="0.4">
      <c r="A4047" s="10" t="s">
        <v>4832</v>
      </c>
      <c r="B4047" s="10" t="s">
        <v>4833</v>
      </c>
      <c r="C4047" s="10" t="s">
        <v>3670</v>
      </c>
      <c r="D4047" s="10" t="s">
        <v>2368</v>
      </c>
      <c r="E4047" s="10" t="s">
        <v>30</v>
      </c>
      <c r="F4047" s="10" t="s">
        <v>185</v>
      </c>
      <c r="G4047" s="10" t="s">
        <v>32</v>
      </c>
      <c r="H4047" s="7" t="s">
        <v>24</v>
      </c>
      <c r="I4047" s="7" t="s">
        <v>25</v>
      </c>
      <c r="J4047" s="13" t="str">
        <f>HYPERLINK("https://www.airitibooks.com/Detail/Detail?PublicationID=P20160715122", "https://www.airitibooks.com/Detail/Detail?PublicationID=P20160715122")</f>
        <v>https://www.airitibooks.com/Detail/Detail?PublicationID=P20160715122</v>
      </c>
      <c r="K4047" s="13" t="str">
        <f>HYPERLINK("https://ntsu.idm.oclc.org/login?url=https://www.airitibooks.com/Detail/Detail?PublicationID=P20160715122", "https://ntsu.idm.oclc.org/login?url=https://www.airitibooks.com/Detail/Detail?PublicationID=P20160715122")</f>
        <v>https://ntsu.idm.oclc.org/login?url=https://www.airitibooks.com/Detail/Detail?PublicationID=P20160715122</v>
      </c>
    </row>
    <row r="4048" spans="1:11" ht="51" x14ac:dyDescent="0.4">
      <c r="A4048" s="10" t="s">
        <v>4843</v>
      </c>
      <c r="B4048" s="10" t="s">
        <v>4844</v>
      </c>
      <c r="C4048" s="10" t="s">
        <v>3670</v>
      </c>
      <c r="D4048" s="10" t="s">
        <v>2372</v>
      </c>
      <c r="E4048" s="10" t="s">
        <v>30</v>
      </c>
      <c r="F4048" s="10" t="s">
        <v>1517</v>
      </c>
      <c r="G4048" s="10" t="s">
        <v>32</v>
      </c>
      <c r="H4048" s="7" t="s">
        <v>24</v>
      </c>
      <c r="I4048" s="7" t="s">
        <v>25</v>
      </c>
      <c r="J4048" s="13" t="str">
        <f>HYPERLINK("https://www.airitibooks.com/Detail/Detail?PublicationID=P20160715135", "https://www.airitibooks.com/Detail/Detail?PublicationID=P20160715135")</f>
        <v>https://www.airitibooks.com/Detail/Detail?PublicationID=P20160715135</v>
      </c>
      <c r="K4048" s="13" t="str">
        <f>HYPERLINK("https://ntsu.idm.oclc.org/login?url=https://www.airitibooks.com/Detail/Detail?PublicationID=P20160715135", "https://ntsu.idm.oclc.org/login?url=https://www.airitibooks.com/Detail/Detail?PublicationID=P20160715135")</f>
        <v>https://ntsu.idm.oclc.org/login?url=https://www.airitibooks.com/Detail/Detail?PublicationID=P20160715135</v>
      </c>
    </row>
    <row r="4049" spans="1:11" ht="51" x14ac:dyDescent="0.4">
      <c r="A4049" s="10" t="s">
        <v>4854</v>
      </c>
      <c r="B4049" s="10" t="s">
        <v>4855</v>
      </c>
      <c r="C4049" s="10" t="s">
        <v>3670</v>
      </c>
      <c r="D4049" s="10" t="s">
        <v>3603</v>
      </c>
      <c r="E4049" s="10" t="s">
        <v>30</v>
      </c>
      <c r="F4049" s="10" t="s">
        <v>203</v>
      </c>
      <c r="G4049" s="10" t="s">
        <v>32</v>
      </c>
      <c r="H4049" s="7" t="s">
        <v>24</v>
      </c>
      <c r="I4049" s="7" t="s">
        <v>25</v>
      </c>
      <c r="J4049" s="13" t="str">
        <f>HYPERLINK("https://www.airitibooks.com/Detail/Detail?PublicationID=P20160715146", "https://www.airitibooks.com/Detail/Detail?PublicationID=P20160715146")</f>
        <v>https://www.airitibooks.com/Detail/Detail?PublicationID=P20160715146</v>
      </c>
      <c r="K4049" s="13" t="str">
        <f>HYPERLINK("https://ntsu.idm.oclc.org/login?url=https://www.airitibooks.com/Detail/Detail?PublicationID=P20160715146", "https://ntsu.idm.oclc.org/login?url=https://www.airitibooks.com/Detail/Detail?PublicationID=P20160715146")</f>
        <v>https://ntsu.idm.oclc.org/login?url=https://www.airitibooks.com/Detail/Detail?PublicationID=P20160715146</v>
      </c>
    </row>
    <row r="4050" spans="1:11" ht="51" x14ac:dyDescent="0.4">
      <c r="A4050" s="10" t="s">
        <v>4858</v>
      </c>
      <c r="B4050" s="10" t="s">
        <v>4859</v>
      </c>
      <c r="C4050" s="10" t="s">
        <v>3670</v>
      </c>
      <c r="D4050" s="10" t="s">
        <v>4860</v>
      </c>
      <c r="E4050" s="10" t="s">
        <v>30</v>
      </c>
      <c r="F4050" s="10" t="s">
        <v>2628</v>
      </c>
      <c r="G4050" s="10" t="s">
        <v>32</v>
      </c>
      <c r="H4050" s="7" t="s">
        <v>24</v>
      </c>
      <c r="I4050" s="7" t="s">
        <v>25</v>
      </c>
      <c r="J4050" s="13" t="str">
        <f>HYPERLINK("https://www.airitibooks.com/Detail/Detail?PublicationID=P20160715148", "https://www.airitibooks.com/Detail/Detail?PublicationID=P20160715148")</f>
        <v>https://www.airitibooks.com/Detail/Detail?PublicationID=P20160715148</v>
      </c>
      <c r="K4050" s="13" t="str">
        <f>HYPERLINK("https://ntsu.idm.oclc.org/login?url=https://www.airitibooks.com/Detail/Detail?PublicationID=P20160715148", "https://ntsu.idm.oclc.org/login?url=https://www.airitibooks.com/Detail/Detail?PublicationID=P20160715148")</f>
        <v>https://ntsu.idm.oclc.org/login?url=https://www.airitibooks.com/Detail/Detail?PublicationID=P20160715148</v>
      </c>
    </row>
    <row r="4051" spans="1:11" ht="51" x14ac:dyDescent="0.4">
      <c r="A4051" s="10" t="s">
        <v>4901</v>
      </c>
      <c r="B4051" s="10" t="s">
        <v>4902</v>
      </c>
      <c r="C4051" s="10" t="s">
        <v>4903</v>
      </c>
      <c r="D4051" s="10" t="s">
        <v>4904</v>
      </c>
      <c r="E4051" s="10" t="s">
        <v>30</v>
      </c>
      <c r="F4051" s="10" t="s">
        <v>1789</v>
      </c>
      <c r="G4051" s="10" t="s">
        <v>32</v>
      </c>
      <c r="H4051" s="7" t="s">
        <v>24</v>
      </c>
      <c r="I4051" s="7" t="s">
        <v>25</v>
      </c>
      <c r="J4051" s="13" t="str">
        <f>HYPERLINK("https://www.airitibooks.com/Detail/Detail?PublicationID=P20160715203", "https://www.airitibooks.com/Detail/Detail?PublicationID=P20160715203")</f>
        <v>https://www.airitibooks.com/Detail/Detail?PublicationID=P20160715203</v>
      </c>
      <c r="K4051" s="13" t="str">
        <f>HYPERLINK("https://ntsu.idm.oclc.org/login?url=https://www.airitibooks.com/Detail/Detail?PublicationID=P20160715203", "https://ntsu.idm.oclc.org/login?url=https://www.airitibooks.com/Detail/Detail?PublicationID=P20160715203")</f>
        <v>https://ntsu.idm.oclc.org/login?url=https://www.airitibooks.com/Detail/Detail?PublicationID=P20160715203</v>
      </c>
    </row>
    <row r="4052" spans="1:11" ht="51" x14ac:dyDescent="0.4">
      <c r="A4052" s="10" t="s">
        <v>4918</v>
      </c>
      <c r="B4052" s="10" t="s">
        <v>4919</v>
      </c>
      <c r="C4052" s="10" t="s">
        <v>1034</v>
      </c>
      <c r="D4052" s="10" t="s">
        <v>4920</v>
      </c>
      <c r="E4052" s="10" t="s">
        <v>30</v>
      </c>
      <c r="F4052" s="10" t="s">
        <v>4038</v>
      </c>
      <c r="G4052" s="10" t="s">
        <v>32</v>
      </c>
      <c r="H4052" s="7" t="s">
        <v>24</v>
      </c>
      <c r="I4052" s="7" t="s">
        <v>25</v>
      </c>
      <c r="J4052" s="13" t="str">
        <f>HYPERLINK("https://www.airitibooks.com/Detail/Detail?PublicationID=P20160715255", "https://www.airitibooks.com/Detail/Detail?PublicationID=P20160715255")</f>
        <v>https://www.airitibooks.com/Detail/Detail?PublicationID=P20160715255</v>
      </c>
      <c r="K4052" s="13" t="str">
        <f>HYPERLINK("https://ntsu.idm.oclc.org/login?url=https://www.airitibooks.com/Detail/Detail?PublicationID=P20160715255", "https://ntsu.idm.oclc.org/login?url=https://www.airitibooks.com/Detail/Detail?PublicationID=P20160715255")</f>
        <v>https://ntsu.idm.oclc.org/login?url=https://www.airitibooks.com/Detail/Detail?PublicationID=P20160715255</v>
      </c>
    </row>
    <row r="4053" spans="1:11" ht="51" x14ac:dyDescent="0.4">
      <c r="A4053" s="10" t="s">
        <v>5085</v>
      </c>
      <c r="B4053" s="10" t="s">
        <v>5086</v>
      </c>
      <c r="C4053" s="10" t="s">
        <v>990</v>
      </c>
      <c r="D4053" s="10" t="s">
        <v>5087</v>
      </c>
      <c r="E4053" s="10" t="s">
        <v>30</v>
      </c>
      <c r="F4053" s="10" t="s">
        <v>5088</v>
      </c>
      <c r="G4053" s="10" t="s">
        <v>32</v>
      </c>
      <c r="H4053" s="7" t="s">
        <v>24</v>
      </c>
      <c r="I4053" s="7" t="s">
        <v>25</v>
      </c>
      <c r="J4053" s="13" t="str">
        <f>HYPERLINK("https://www.airitibooks.com/Detail/Detail?PublicationID=P20160806138", "https://www.airitibooks.com/Detail/Detail?PublicationID=P20160806138")</f>
        <v>https://www.airitibooks.com/Detail/Detail?PublicationID=P20160806138</v>
      </c>
      <c r="K4053" s="13" t="str">
        <f>HYPERLINK("https://ntsu.idm.oclc.org/login?url=https://www.airitibooks.com/Detail/Detail?PublicationID=P20160806138", "https://ntsu.idm.oclc.org/login?url=https://www.airitibooks.com/Detail/Detail?PublicationID=P20160806138")</f>
        <v>https://ntsu.idm.oclc.org/login?url=https://www.airitibooks.com/Detail/Detail?PublicationID=P20160806138</v>
      </c>
    </row>
    <row r="4054" spans="1:11" ht="68" x14ac:dyDescent="0.4">
      <c r="A4054" s="10" t="s">
        <v>5214</v>
      </c>
      <c r="B4054" s="10" t="s">
        <v>5215</v>
      </c>
      <c r="C4054" s="10" t="s">
        <v>791</v>
      </c>
      <c r="D4054" s="10" t="s">
        <v>5216</v>
      </c>
      <c r="E4054" s="10" t="s">
        <v>30</v>
      </c>
      <c r="F4054" s="10" t="s">
        <v>1135</v>
      </c>
      <c r="G4054" s="10" t="s">
        <v>32</v>
      </c>
      <c r="H4054" s="7" t="s">
        <v>24</v>
      </c>
      <c r="I4054" s="7" t="s">
        <v>25</v>
      </c>
      <c r="J4054" s="13" t="str">
        <f>HYPERLINK("https://www.airitibooks.com/Detail/Detail?PublicationID=P20160829104", "https://www.airitibooks.com/Detail/Detail?PublicationID=P20160829104")</f>
        <v>https://www.airitibooks.com/Detail/Detail?PublicationID=P20160829104</v>
      </c>
      <c r="K4054" s="13" t="str">
        <f>HYPERLINK("https://ntsu.idm.oclc.org/login?url=https://www.airitibooks.com/Detail/Detail?PublicationID=P20160829104", "https://ntsu.idm.oclc.org/login?url=https://www.airitibooks.com/Detail/Detail?PublicationID=P20160829104")</f>
        <v>https://ntsu.idm.oclc.org/login?url=https://www.airitibooks.com/Detail/Detail?PublicationID=P20160829104</v>
      </c>
    </row>
    <row r="4055" spans="1:11" ht="51" x14ac:dyDescent="0.4">
      <c r="A4055" s="10" t="s">
        <v>5385</v>
      </c>
      <c r="B4055" s="10" t="s">
        <v>5386</v>
      </c>
      <c r="C4055" s="10" t="s">
        <v>2367</v>
      </c>
      <c r="D4055" s="10" t="s">
        <v>2368</v>
      </c>
      <c r="E4055" s="10" t="s">
        <v>30</v>
      </c>
      <c r="F4055" s="10" t="s">
        <v>185</v>
      </c>
      <c r="G4055" s="10" t="s">
        <v>32</v>
      </c>
      <c r="H4055" s="7" t="s">
        <v>24</v>
      </c>
      <c r="I4055" s="7" t="s">
        <v>25</v>
      </c>
      <c r="J4055" s="13" t="str">
        <f>HYPERLINK("https://www.airitibooks.com/Detail/Detail?PublicationID=P20160907282", "https://www.airitibooks.com/Detail/Detail?PublicationID=P20160907282")</f>
        <v>https://www.airitibooks.com/Detail/Detail?PublicationID=P20160907282</v>
      </c>
      <c r="K4055" s="13" t="str">
        <f>HYPERLINK("https://ntsu.idm.oclc.org/login?url=https://www.airitibooks.com/Detail/Detail?PublicationID=P20160907282", "https://ntsu.idm.oclc.org/login?url=https://www.airitibooks.com/Detail/Detail?PublicationID=P20160907282")</f>
        <v>https://ntsu.idm.oclc.org/login?url=https://www.airitibooks.com/Detail/Detail?PublicationID=P20160907282</v>
      </c>
    </row>
    <row r="4056" spans="1:11" ht="51" x14ac:dyDescent="0.4">
      <c r="A4056" s="10" t="s">
        <v>5616</v>
      </c>
      <c r="B4056" s="10" t="s">
        <v>5617</v>
      </c>
      <c r="C4056" s="10" t="s">
        <v>1086</v>
      </c>
      <c r="D4056" s="10" t="s">
        <v>5618</v>
      </c>
      <c r="E4056" s="10" t="s">
        <v>30</v>
      </c>
      <c r="F4056" s="10" t="s">
        <v>172</v>
      </c>
      <c r="G4056" s="10" t="s">
        <v>32</v>
      </c>
      <c r="H4056" s="7" t="s">
        <v>24</v>
      </c>
      <c r="I4056" s="7" t="s">
        <v>25</v>
      </c>
      <c r="J4056" s="13" t="str">
        <f>HYPERLINK("https://www.airitibooks.com/Detail/Detail?PublicationID=P20161004110", "https://www.airitibooks.com/Detail/Detail?PublicationID=P20161004110")</f>
        <v>https://www.airitibooks.com/Detail/Detail?PublicationID=P20161004110</v>
      </c>
      <c r="K4056" s="13" t="str">
        <f>HYPERLINK("https://ntsu.idm.oclc.org/login?url=https://www.airitibooks.com/Detail/Detail?PublicationID=P20161004110", "https://ntsu.idm.oclc.org/login?url=https://www.airitibooks.com/Detail/Detail?PublicationID=P20161004110")</f>
        <v>https://ntsu.idm.oclc.org/login?url=https://www.airitibooks.com/Detail/Detail?PublicationID=P20161004110</v>
      </c>
    </row>
    <row r="4057" spans="1:11" ht="51" x14ac:dyDescent="0.4">
      <c r="A4057" s="10" t="s">
        <v>6152</v>
      </c>
      <c r="B4057" s="10" t="s">
        <v>6153</v>
      </c>
      <c r="C4057" s="10" t="s">
        <v>147</v>
      </c>
      <c r="D4057" s="10" t="s">
        <v>6154</v>
      </c>
      <c r="E4057" s="10" t="s">
        <v>30</v>
      </c>
      <c r="F4057" s="10" t="s">
        <v>2937</v>
      </c>
      <c r="G4057" s="10" t="s">
        <v>32</v>
      </c>
      <c r="H4057" s="7" t="s">
        <v>24</v>
      </c>
      <c r="I4057" s="7" t="s">
        <v>25</v>
      </c>
      <c r="J4057" s="13" t="str">
        <f>HYPERLINK("https://www.airitibooks.com/Detail/Detail?PublicationID=P20170203314", "https://www.airitibooks.com/Detail/Detail?PublicationID=P20170203314")</f>
        <v>https://www.airitibooks.com/Detail/Detail?PublicationID=P20170203314</v>
      </c>
      <c r="K4057" s="13" t="str">
        <f>HYPERLINK("https://ntsu.idm.oclc.org/login?url=https://www.airitibooks.com/Detail/Detail?PublicationID=P20170203314", "https://ntsu.idm.oclc.org/login?url=https://www.airitibooks.com/Detail/Detail?PublicationID=P20170203314")</f>
        <v>https://ntsu.idm.oclc.org/login?url=https://www.airitibooks.com/Detail/Detail?PublicationID=P20170203314</v>
      </c>
    </row>
    <row r="4058" spans="1:11" ht="51" x14ac:dyDescent="0.4">
      <c r="A4058" s="10" t="s">
        <v>6155</v>
      </c>
      <c r="B4058" s="10" t="s">
        <v>6156</v>
      </c>
      <c r="C4058" s="10" t="s">
        <v>147</v>
      </c>
      <c r="D4058" s="10" t="s">
        <v>6157</v>
      </c>
      <c r="E4058" s="10" t="s">
        <v>30</v>
      </c>
      <c r="F4058" s="10" t="s">
        <v>185</v>
      </c>
      <c r="G4058" s="10" t="s">
        <v>32</v>
      </c>
      <c r="H4058" s="7" t="s">
        <v>24</v>
      </c>
      <c r="I4058" s="7" t="s">
        <v>25</v>
      </c>
      <c r="J4058" s="13" t="str">
        <f>HYPERLINK("https://www.airitibooks.com/Detail/Detail?PublicationID=P20170203315", "https://www.airitibooks.com/Detail/Detail?PublicationID=P20170203315")</f>
        <v>https://www.airitibooks.com/Detail/Detail?PublicationID=P20170203315</v>
      </c>
      <c r="K4058" s="13" t="str">
        <f>HYPERLINK("https://ntsu.idm.oclc.org/login?url=https://www.airitibooks.com/Detail/Detail?PublicationID=P20170203315", "https://ntsu.idm.oclc.org/login?url=https://www.airitibooks.com/Detail/Detail?PublicationID=P20170203315")</f>
        <v>https://ntsu.idm.oclc.org/login?url=https://www.airitibooks.com/Detail/Detail?PublicationID=P20170203315</v>
      </c>
    </row>
    <row r="4059" spans="1:11" ht="51" x14ac:dyDescent="0.4">
      <c r="A4059" s="10" t="s">
        <v>6158</v>
      </c>
      <c r="B4059" s="10" t="s">
        <v>6159</v>
      </c>
      <c r="C4059" s="10" t="s">
        <v>147</v>
      </c>
      <c r="D4059" s="10" t="s">
        <v>6160</v>
      </c>
      <c r="E4059" s="10" t="s">
        <v>30</v>
      </c>
      <c r="F4059" s="10" t="s">
        <v>172</v>
      </c>
      <c r="G4059" s="10" t="s">
        <v>32</v>
      </c>
      <c r="H4059" s="7" t="s">
        <v>24</v>
      </c>
      <c r="I4059" s="7" t="s">
        <v>25</v>
      </c>
      <c r="J4059" s="13" t="str">
        <f>HYPERLINK("https://www.airitibooks.com/Detail/Detail?PublicationID=P20170203319", "https://www.airitibooks.com/Detail/Detail?PublicationID=P20170203319")</f>
        <v>https://www.airitibooks.com/Detail/Detail?PublicationID=P20170203319</v>
      </c>
      <c r="K4059" s="13" t="str">
        <f>HYPERLINK("https://ntsu.idm.oclc.org/login?url=https://www.airitibooks.com/Detail/Detail?PublicationID=P20170203319", "https://ntsu.idm.oclc.org/login?url=https://www.airitibooks.com/Detail/Detail?PublicationID=P20170203319")</f>
        <v>https://ntsu.idm.oclc.org/login?url=https://www.airitibooks.com/Detail/Detail?PublicationID=P20170203319</v>
      </c>
    </row>
    <row r="4060" spans="1:11" ht="51" x14ac:dyDescent="0.4">
      <c r="A4060" s="10" t="s">
        <v>6161</v>
      </c>
      <c r="B4060" s="10" t="s">
        <v>6162</v>
      </c>
      <c r="C4060" s="10" t="s">
        <v>147</v>
      </c>
      <c r="D4060" s="10" t="s">
        <v>6160</v>
      </c>
      <c r="E4060" s="10" t="s">
        <v>30</v>
      </c>
      <c r="F4060" s="10" t="s">
        <v>6163</v>
      </c>
      <c r="G4060" s="10" t="s">
        <v>32</v>
      </c>
      <c r="H4060" s="7" t="s">
        <v>24</v>
      </c>
      <c r="I4060" s="7" t="s">
        <v>25</v>
      </c>
      <c r="J4060" s="13" t="str">
        <f>HYPERLINK("https://www.airitibooks.com/Detail/Detail?PublicationID=P20170203320", "https://www.airitibooks.com/Detail/Detail?PublicationID=P20170203320")</f>
        <v>https://www.airitibooks.com/Detail/Detail?PublicationID=P20170203320</v>
      </c>
      <c r="K4060" s="13" t="str">
        <f>HYPERLINK("https://ntsu.idm.oclc.org/login?url=https://www.airitibooks.com/Detail/Detail?PublicationID=P20170203320", "https://ntsu.idm.oclc.org/login?url=https://www.airitibooks.com/Detail/Detail?PublicationID=P20170203320")</f>
        <v>https://ntsu.idm.oclc.org/login?url=https://www.airitibooks.com/Detail/Detail?PublicationID=P20170203320</v>
      </c>
    </row>
    <row r="4061" spans="1:11" ht="51" x14ac:dyDescent="0.4">
      <c r="A4061" s="10" t="s">
        <v>6812</v>
      </c>
      <c r="B4061" s="10" t="s">
        <v>6813</v>
      </c>
      <c r="C4061" s="10" t="s">
        <v>6814</v>
      </c>
      <c r="D4061" s="10" t="s">
        <v>6815</v>
      </c>
      <c r="E4061" s="10" t="s">
        <v>30</v>
      </c>
      <c r="F4061" s="10" t="s">
        <v>6816</v>
      </c>
      <c r="G4061" s="10" t="s">
        <v>32</v>
      </c>
      <c r="H4061" s="7" t="s">
        <v>24</v>
      </c>
      <c r="I4061" s="7" t="s">
        <v>25</v>
      </c>
      <c r="J4061" s="13" t="str">
        <f>HYPERLINK("https://www.airitibooks.com/Detail/Detail?PublicationID=P20170616069", "https://www.airitibooks.com/Detail/Detail?PublicationID=P20170616069")</f>
        <v>https://www.airitibooks.com/Detail/Detail?PublicationID=P20170616069</v>
      </c>
      <c r="K4061" s="13" t="str">
        <f>HYPERLINK("https://ntsu.idm.oclc.org/login?url=https://www.airitibooks.com/Detail/Detail?PublicationID=P20170616069", "https://ntsu.idm.oclc.org/login?url=https://www.airitibooks.com/Detail/Detail?PublicationID=P20170616069")</f>
        <v>https://ntsu.idm.oclc.org/login?url=https://www.airitibooks.com/Detail/Detail?PublicationID=P20170616069</v>
      </c>
    </row>
    <row r="4062" spans="1:11" ht="51" x14ac:dyDescent="0.4">
      <c r="A4062" s="10" t="s">
        <v>6843</v>
      </c>
      <c r="B4062" s="10" t="s">
        <v>6844</v>
      </c>
      <c r="C4062" s="10" t="s">
        <v>1504</v>
      </c>
      <c r="D4062" s="10" t="s">
        <v>2204</v>
      </c>
      <c r="E4062" s="10" t="s">
        <v>30</v>
      </c>
      <c r="F4062" s="10" t="s">
        <v>6845</v>
      </c>
      <c r="G4062" s="10" t="s">
        <v>32</v>
      </c>
      <c r="H4062" s="7" t="s">
        <v>24</v>
      </c>
      <c r="I4062" s="7" t="s">
        <v>25</v>
      </c>
      <c r="J4062" s="13" t="str">
        <f>HYPERLINK("https://www.airitibooks.com/Detail/Detail?PublicationID=P20170706020", "https://www.airitibooks.com/Detail/Detail?PublicationID=P20170706020")</f>
        <v>https://www.airitibooks.com/Detail/Detail?PublicationID=P20170706020</v>
      </c>
      <c r="K4062" s="13" t="str">
        <f>HYPERLINK("https://ntsu.idm.oclc.org/login?url=https://www.airitibooks.com/Detail/Detail?PublicationID=P20170706020", "https://ntsu.idm.oclc.org/login?url=https://www.airitibooks.com/Detail/Detail?PublicationID=P20170706020")</f>
        <v>https://ntsu.idm.oclc.org/login?url=https://www.airitibooks.com/Detail/Detail?PublicationID=P20170706020</v>
      </c>
    </row>
    <row r="4063" spans="1:11" ht="68" x14ac:dyDescent="0.4">
      <c r="A4063" s="10" t="s">
        <v>6894</v>
      </c>
      <c r="B4063" s="10" t="s">
        <v>6895</v>
      </c>
      <c r="C4063" s="10" t="s">
        <v>1504</v>
      </c>
      <c r="D4063" s="10" t="s">
        <v>6896</v>
      </c>
      <c r="E4063" s="10" t="s">
        <v>30</v>
      </c>
      <c r="F4063" s="10" t="s">
        <v>575</v>
      </c>
      <c r="G4063" s="10" t="s">
        <v>32</v>
      </c>
      <c r="H4063" s="7" t="s">
        <v>24</v>
      </c>
      <c r="I4063" s="7" t="s">
        <v>25</v>
      </c>
      <c r="J4063" s="13" t="str">
        <f>HYPERLINK("https://www.airitibooks.com/Detail/Detail?PublicationID=P20170706049", "https://www.airitibooks.com/Detail/Detail?PublicationID=P20170706049")</f>
        <v>https://www.airitibooks.com/Detail/Detail?PublicationID=P20170706049</v>
      </c>
      <c r="K4063" s="13" t="str">
        <f>HYPERLINK("https://ntsu.idm.oclc.org/login?url=https://www.airitibooks.com/Detail/Detail?PublicationID=P20170706049", "https://ntsu.idm.oclc.org/login?url=https://www.airitibooks.com/Detail/Detail?PublicationID=P20170706049")</f>
        <v>https://ntsu.idm.oclc.org/login?url=https://www.airitibooks.com/Detail/Detail?PublicationID=P20170706049</v>
      </c>
    </row>
    <row r="4064" spans="1:11" ht="51" x14ac:dyDescent="0.4">
      <c r="A4064" s="10" t="s">
        <v>6947</v>
      </c>
      <c r="B4064" s="10" t="s">
        <v>6948</v>
      </c>
      <c r="C4064" s="10" t="s">
        <v>1504</v>
      </c>
      <c r="D4064" s="10" t="s">
        <v>6949</v>
      </c>
      <c r="E4064" s="10" t="s">
        <v>30</v>
      </c>
      <c r="F4064" s="10" t="s">
        <v>6950</v>
      </c>
      <c r="G4064" s="10" t="s">
        <v>32</v>
      </c>
      <c r="H4064" s="7" t="s">
        <v>24</v>
      </c>
      <c r="I4064" s="7" t="s">
        <v>25</v>
      </c>
      <c r="J4064" s="13" t="str">
        <f>HYPERLINK("https://www.airitibooks.com/Detail/Detail?PublicationID=P20170706090", "https://www.airitibooks.com/Detail/Detail?PublicationID=P20170706090")</f>
        <v>https://www.airitibooks.com/Detail/Detail?PublicationID=P20170706090</v>
      </c>
      <c r="K4064" s="13" t="str">
        <f>HYPERLINK("https://ntsu.idm.oclc.org/login?url=https://www.airitibooks.com/Detail/Detail?PublicationID=P20170706090", "https://ntsu.idm.oclc.org/login?url=https://www.airitibooks.com/Detail/Detail?PublicationID=P20170706090")</f>
        <v>https://ntsu.idm.oclc.org/login?url=https://www.airitibooks.com/Detail/Detail?PublicationID=P20170706090</v>
      </c>
    </row>
    <row r="4065" spans="1:11" ht="51" x14ac:dyDescent="0.4">
      <c r="A4065" s="10" t="s">
        <v>9046</v>
      </c>
      <c r="B4065" s="10" t="s">
        <v>9047</v>
      </c>
      <c r="C4065" s="10" t="s">
        <v>452</v>
      </c>
      <c r="D4065" s="10" t="s">
        <v>9044</v>
      </c>
      <c r="E4065" s="10" t="s">
        <v>30</v>
      </c>
      <c r="F4065" s="10" t="s">
        <v>9048</v>
      </c>
      <c r="G4065" s="10" t="s">
        <v>32</v>
      </c>
      <c r="H4065" s="7" t="s">
        <v>24</v>
      </c>
      <c r="I4065" s="7" t="s">
        <v>25</v>
      </c>
      <c r="J4065" s="13" t="str">
        <f>HYPERLINK("https://www.airitibooks.com/Detail/Detail?PublicationID=P20180413164", "https://www.airitibooks.com/Detail/Detail?PublicationID=P20180413164")</f>
        <v>https://www.airitibooks.com/Detail/Detail?PublicationID=P20180413164</v>
      </c>
      <c r="K4065" s="13" t="str">
        <f>HYPERLINK("https://ntsu.idm.oclc.org/login?url=https://www.airitibooks.com/Detail/Detail?PublicationID=P20180413164", "https://ntsu.idm.oclc.org/login?url=https://www.airitibooks.com/Detail/Detail?PublicationID=P20180413164")</f>
        <v>https://ntsu.idm.oclc.org/login?url=https://www.airitibooks.com/Detail/Detail?PublicationID=P20180413164</v>
      </c>
    </row>
    <row r="4066" spans="1:11" ht="51" x14ac:dyDescent="0.4">
      <c r="A4066" s="10" t="s">
        <v>9718</v>
      </c>
      <c r="B4066" s="10" t="s">
        <v>9719</v>
      </c>
      <c r="C4066" s="10" t="s">
        <v>1296</v>
      </c>
      <c r="D4066" s="10" t="s">
        <v>9720</v>
      </c>
      <c r="E4066" s="10" t="s">
        <v>30</v>
      </c>
      <c r="F4066" s="10" t="s">
        <v>274</v>
      </c>
      <c r="G4066" s="10" t="s">
        <v>32</v>
      </c>
      <c r="H4066" s="7" t="s">
        <v>24</v>
      </c>
      <c r="I4066" s="7" t="s">
        <v>25</v>
      </c>
      <c r="J4066" s="13" t="str">
        <f>HYPERLINK("https://www.airitibooks.com/Detail/Detail?PublicationID=P20180821004", "https://www.airitibooks.com/Detail/Detail?PublicationID=P20180821004")</f>
        <v>https://www.airitibooks.com/Detail/Detail?PublicationID=P20180821004</v>
      </c>
      <c r="K4066" s="13" t="str">
        <f>HYPERLINK("https://ntsu.idm.oclc.org/login?url=https://www.airitibooks.com/Detail/Detail?PublicationID=P20180821004", "https://ntsu.idm.oclc.org/login?url=https://www.airitibooks.com/Detail/Detail?PublicationID=P20180821004")</f>
        <v>https://ntsu.idm.oclc.org/login?url=https://www.airitibooks.com/Detail/Detail?PublicationID=P20180821004</v>
      </c>
    </row>
    <row r="4067" spans="1:11" ht="51" x14ac:dyDescent="0.4">
      <c r="A4067" s="10" t="s">
        <v>10855</v>
      </c>
      <c r="B4067" s="10" t="s">
        <v>10856</v>
      </c>
      <c r="C4067" s="10" t="s">
        <v>462</v>
      </c>
      <c r="D4067" s="10" t="s">
        <v>10857</v>
      </c>
      <c r="E4067" s="10" t="s">
        <v>30</v>
      </c>
      <c r="F4067" s="10" t="s">
        <v>4823</v>
      </c>
      <c r="G4067" s="10" t="s">
        <v>32</v>
      </c>
      <c r="H4067" s="7" t="s">
        <v>24</v>
      </c>
      <c r="I4067" s="7" t="s">
        <v>25</v>
      </c>
      <c r="J4067" s="13" t="str">
        <f>HYPERLINK("https://www.airitibooks.com/Detail/Detail?PublicationID=P20190221026", "https://www.airitibooks.com/Detail/Detail?PublicationID=P20190221026")</f>
        <v>https://www.airitibooks.com/Detail/Detail?PublicationID=P20190221026</v>
      </c>
      <c r="K4067" s="13" t="str">
        <f>HYPERLINK("https://ntsu.idm.oclc.org/login?url=https://www.airitibooks.com/Detail/Detail?PublicationID=P20190221026", "https://ntsu.idm.oclc.org/login?url=https://www.airitibooks.com/Detail/Detail?PublicationID=P20190221026")</f>
        <v>https://ntsu.idm.oclc.org/login?url=https://www.airitibooks.com/Detail/Detail?PublicationID=P20190221026</v>
      </c>
    </row>
    <row r="4068" spans="1:11" ht="51" x14ac:dyDescent="0.4">
      <c r="A4068" s="10" t="s">
        <v>13324</v>
      </c>
      <c r="B4068" s="10" t="s">
        <v>13325</v>
      </c>
      <c r="C4068" s="10" t="s">
        <v>1039</v>
      </c>
      <c r="D4068" s="10" t="s">
        <v>13326</v>
      </c>
      <c r="E4068" s="10" t="s">
        <v>30</v>
      </c>
      <c r="F4068" s="10" t="s">
        <v>13327</v>
      </c>
      <c r="G4068" s="10" t="s">
        <v>32</v>
      </c>
      <c r="H4068" s="7" t="s">
        <v>24</v>
      </c>
      <c r="I4068" s="7" t="s">
        <v>25</v>
      </c>
      <c r="J4068" s="13" t="str">
        <f>HYPERLINK("https://www.airitibooks.com/Detail/Detail?PublicationID=P20200117003", "https://www.airitibooks.com/Detail/Detail?PublicationID=P20200117003")</f>
        <v>https://www.airitibooks.com/Detail/Detail?PublicationID=P20200117003</v>
      </c>
      <c r="K4068" s="13" t="str">
        <f>HYPERLINK("https://ntsu.idm.oclc.org/login?url=https://www.airitibooks.com/Detail/Detail?PublicationID=P20200117003", "https://ntsu.idm.oclc.org/login?url=https://www.airitibooks.com/Detail/Detail?PublicationID=P20200117003")</f>
        <v>https://ntsu.idm.oclc.org/login?url=https://www.airitibooks.com/Detail/Detail?PublicationID=P20200117003</v>
      </c>
    </row>
    <row r="4069" spans="1:11" ht="51" x14ac:dyDescent="0.4">
      <c r="A4069" s="10" t="s">
        <v>2347</v>
      </c>
      <c r="B4069" s="10" t="s">
        <v>2348</v>
      </c>
      <c r="C4069" s="10" t="s">
        <v>661</v>
      </c>
      <c r="D4069" s="10" t="s">
        <v>2349</v>
      </c>
      <c r="E4069" s="10" t="s">
        <v>30</v>
      </c>
      <c r="F4069" s="10" t="s">
        <v>2350</v>
      </c>
      <c r="G4069" s="10" t="s">
        <v>502</v>
      </c>
      <c r="H4069" s="7" t="s">
        <v>24</v>
      </c>
      <c r="I4069" s="7" t="s">
        <v>25</v>
      </c>
      <c r="J4069" s="13" t="str">
        <f>HYPERLINK("https://www.airitibooks.com/Detail/Detail?PublicationID=P20150414109", "https://www.airitibooks.com/Detail/Detail?PublicationID=P20150414109")</f>
        <v>https://www.airitibooks.com/Detail/Detail?PublicationID=P20150414109</v>
      </c>
      <c r="K4069" s="13" t="str">
        <f>HYPERLINK("https://ntsu.idm.oclc.org/login?url=https://www.airitibooks.com/Detail/Detail?PublicationID=P20150414109", "https://ntsu.idm.oclc.org/login?url=https://www.airitibooks.com/Detail/Detail?PublicationID=P20150414109")</f>
        <v>https://ntsu.idm.oclc.org/login?url=https://www.airitibooks.com/Detail/Detail?PublicationID=P20150414109</v>
      </c>
    </row>
    <row r="4070" spans="1:11" ht="51" x14ac:dyDescent="0.4">
      <c r="A4070" s="10" t="s">
        <v>2988</v>
      </c>
      <c r="B4070" s="10" t="s">
        <v>2989</v>
      </c>
      <c r="C4070" s="10" t="s">
        <v>1203</v>
      </c>
      <c r="D4070" s="10" t="s">
        <v>2085</v>
      </c>
      <c r="E4070" s="10" t="s">
        <v>30</v>
      </c>
      <c r="F4070" s="10" t="s">
        <v>2990</v>
      </c>
      <c r="G4070" s="10" t="s">
        <v>502</v>
      </c>
      <c r="H4070" s="7" t="s">
        <v>24</v>
      </c>
      <c r="I4070" s="7" t="s">
        <v>25</v>
      </c>
      <c r="J4070" s="13" t="str">
        <f>HYPERLINK("https://www.airitibooks.com/Detail/Detail?PublicationID=P20150807037", "https://www.airitibooks.com/Detail/Detail?PublicationID=P20150807037")</f>
        <v>https://www.airitibooks.com/Detail/Detail?PublicationID=P20150807037</v>
      </c>
      <c r="K4070" s="13" t="str">
        <f>HYPERLINK("https://ntsu.idm.oclc.org/login?url=https://www.airitibooks.com/Detail/Detail?PublicationID=P20150807037", "https://ntsu.idm.oclc.org/login?url=https://www.airitibooks.com/Detail/Detail?PublicationID=P20150807037")</f>
        <v>https://ntsu.idm.oclc.org/login?url=https://www.airitibooks.com/Detail/Detail?PublicationID=P20150807037</v>
      </c>
    </row>
    <row r="4071" spans="1:11" ht="51" x14ac:dyDescent="0.4">
      <c r="A4071" s="10" t="s">
        <v>3870</v>
      </c>
      <c r="B4071" s="10" t="s">
        <v>3871</v>
      </c>
      <c r="C4071" s="10" t="s">
        <v>3863</v>
      </c>
      <c r="D4071" s="10" t="s">
        <v>3872</v>
      </c>
      <c r="E4071" s="10" t="s">
        <v>30</v>
      </c>
      <c r="F4071" s="10" t="s">
        <v>3873</v>
      </c>
      <c r="G4071" s="10" t="s">
        <v>502</v>
      </c>
      <c r="H4071" s="7" t="s">
        <v>24</v>
      </c>
      <c r="I4071" s="7" t="s">
        <v>25</v>
      </c>
      <c r="J4071" s="13" t="str">
        <f>HYPERLINK("https://www.airitibooks.com/Detail/Detail?PublicationID=P20151110057", "https://www.airitibooks.com/Detail/Detail?PublicationID=P20151110057")</f>
        <v>https://www.airitibooks.com/Detail/Detail?PublicationID=P20151110057</v>
      </c>
      <c r="K4071" s="13" t="str">
        <f>HYPERLINK("https://ntsu.idm.oclc.org/login?url=https://www.airitibooks.com/Detail/Detail?PublicationID=P20151110057", "https://ntsu.idm.oclc.org/login?url=https://www.airitibooks.com/Detail/Detail?PublicationID=P20151110057")</f>
        <v>https://ntsu.idm.oclc.org/login?url=https://www.airitibooks.com/Detail/Detail?PublicationID=P20151110057</v>
      </c>
    </row>
    <row r="4072" spans="1:11" ht="51" x14ac:dyDescent="0.4">
      <c r="A4072" s="10" t="s">
        <v>4148</v>
      </c>
      <c r="B4072" s="10" t="s">
        <v>4149</v>
      </c>
      <c r="C4072" s="10" t="s">
        <v>130</v>
      </c>
      <c r="D4072" s="10" t="s">
        <v>4150</v>
      </c>
      <c r="E4072" s="10" t="s">
        <v>30</v>
      </c>
      <c r="F4072" s="10" t="s">
        <v>501</v>
      </c>
      <c r="G4072" s="10" t="s">
        <v>502</v>
      </c>
      <c r="H4072" s="7" t="s">
        <v>24</v>
      </c>
      <c r="I4072" s="7" t="s">
        <v>25</v>
      </c>
      <c r="J4072" s="13" t="str">
        <f>HYPERLINK("https://www.airitibooks.com/Detail/Detail?PublicationID=P20160224040", "https://www.airitibooks.com/Detail/Detail?PublicationID=P20160224040")</f>
        <v>https://www.airitibooks.com/Detail/Detail?PublicationID=P20160224040</v>
      </c>
      <c r="K4072" s="13" t="str">
        <f>HYPERLINK("https://ntsu.idm.oclc.org/login?url=https://www.airitibooks.com/Detail/Detail?PublicationID=P20160224040", "https://ntsu.idm.oclc.org/login?url=https://www.airitibooks.com/Detail/Detail?PublicationID=P20160224040")</f>
        <v>https://ntsu.idm.oclc.org/login?url=https://www.airitibooks.com/Detail/Detail?PublicationID=P20160224040</v>
      </c>
    </row>
    <row r="4073" spans="1:11" ht="51" x14ac:dyDescent="0.4">
      <c r="A4073" s="10" t="s">
        <v>4717</v>
      </c>
      <c r="B4073" s="10" t="s">
        <v>4718</v>
      </c>
      <c r="C4073" s="10" t="s">
        <v>2515</v>
      </c>
      <c r="D4073" s="10" t="s">
        <v>4719</v>
      </c>
      <c r="E4073" s="10" t="s">
        <v>30</v>
      </c>
      <c r="F4073" s="10" t="s">
        <v>4720</v>
      </c>
      <c r="G4073" s="10" t="s">
        <v>502</v>
      </c>
      <c r="H4073" s="7" t="s">
        <v>24</v>
      </c>
      <c r="I4073" s="7" t="s">
        <v>25</v>
      </c>
      <c r="J4073" s="13" t="str">
        <f>HYPERLINK("https://www.airitibooks.com/Detail/Detail?PublicationID=P20160603024", "https://www.airitibooks.com/Detail/Detail?PublicationID=P20160603024")</f>
        <v>https://www.airitibooks.com/Detail/Detail?PublicationID=P20160603024</v>
      </c>
      <c r="K4073" s="13" t="str">
        <f>HYPERLINK("https://ntsu.idm.oclc.org/login?url=https://www.airitibooks.com/Detail/Detail?PublicationID=P20160603024", "https://ntsu.idm.oclc.org/login?url=https://www.airitibooks.com/Detail/Detail?PublicationID=P20160603024")</f>
        <v>https://ntsu.idm.oclc.org/login?url=https://www.airitibooks.com/Detail/Detail?PublicationID=P20160603024</v>
      </c>
    </row>
    <row r="4074" spans="1:11" ht="51" x14ac:dyDescent="0.4">
      <c r="A4074" s="10" t="s">
        <v>4816</v>
      </c>
      <c r="B4074" s="10" t="s">
        <v>4817</v>
      </c>
      <c r="C4074" s="10" t="s">
        <v>2367</v>
      </c>
      <c r="D4074" s="10" t="s">
        <v>4818</v>
      </c>
      <c r="E4074" s="10" t="s">
        <v>30</v>
      </c>
      <c r="F4074" s="10" t="s">
        <v>4819</v>
      </c>
      <c r="G4074" s="10" t="s">
        <v>502</v>
      </c>
      <c r="H4074" s="7" t="s">
        <v>24</v>
      </c>
      <c r="I4074" s="7" t="s">
        <v>25</v>
      </c>
      <c r="J4074" s="13" t="str">
        <f>HYPERLINK("https://www.airitibooks.com/Detail/Detail?PublicationID=P20160715100", "https://www.airitibooks.com/Detail/Detail?PublicationID=P20160715100")</f>
        <v>https://www.airitibooks.com/Detail/Detail?PublicationID=P20160715100</v>
      </c>
      <c r="K4074" s="13" t="str">
        <f>HYPERLINK("https://ntsu.idm.oclc.org/login?url=https://www.airitibooks.com/Detail/Detail?PublicationID=P20160715100", "https://ntsu.idm.oclc.org/login?url=https://www.airitibooks.com/Detail/Detail?PublicationID=P20160715100")</f>
        <v>https://ntsu.idm.oclc.org/login?url=https://www.airitibooks.com/Detail/Detail?PublicationID=P20160715100</v>
      </c>
    </row>
    <row r="4075" spans="1:11" ht="51" x14ac:dyDescent="0.4">
      <c r="A4075" s="10" t="s">
        <v>4914</v>
      </c>
      <c r="B4075" s="10" t="s">
        <v>4915</v>
      </c>
      <c r="C4075" s="10" t="s">
        <v>1034</v>
      </c>
      <c r="D4075" s="10" t="s">
        <v>4916</v>
      </c>
      <c r="E4075" s="10" t="s">
        <v>30</v>
      </c>
      <c r="F4075" s="10" t="s">
        <v>4917</v>
      </c>
      <c r="G4075" s="10" t="s">
        <v>502</v>
      </c>
      <c r="H4075" s="7" t="s">
        <v>24</v>
      </c>
      <c r="I4075" s="7" t="s">
        <v>25</v>
      </c>
      <c r="J4075" s="13" t="str">
        <f>HYPERLINK("https://www.airitibooks.com/Detail/Detail?PublicationID=P20160715236", "https://www.airitibooks.com/Detail/Detail?PublicationID=P20160715236")</f>
        <v>https://www.airitibooks.com/Detail/Detail?PublicationID=P20160715236</v>
      </c>
      <c r="K4075" s="13" t="str">
        <f>HYPERLINK("https://ntsu.idm.oclc.org/login?url=https://www.airitibooks.com/Detail/Detail?PublicationID=P20160715236", "https://ntsu.idm.oclc.org/login?url=https://www.airitibooks.com/Detail/Detail?PublicationID=P20160715236")</f>
        <v>https://ntsu.idm.oclc.org/login?url=https://www.airitibooks.com/Detail/Detail?PublicationID=P20160715236</v>
      </c>
    </row>
    <row r="4076" spans="1:11" ht="51" x14ac:dyDescent="0.4">
      <c r="A4076" s="10" t="s">
        <v>33</v>
      </c>
      <c r="B4076" s="10" t="s">
        <v>34</v>
      </c>
      <c r="C4076" s="10" t="s">
        <v>28</v>
      </c>
      <c r="D4076" s="10" t="s">
        <v>35</v>
      </c>
      <c r="E4076" s="10" t="s">
        <v>30</v>
      </c>
      <c r="F4076" s="10" t="s">
        <v>36</v>
      </c>
      <c r="G4076" s="10" t="s">
        <v>37</v>
      </c>
      <c r="H4076" s="7" t="s">
        <v>24</v>
      </c>
      <c r="I4076" s="7" t="s">
        <v>25</v>
      </c>
      <c r="J4076" s="13" t="str">
        <f>HYPERLINK("https://www.airitibooks.com/Detail/Detail?PublicationID=P20090526317", "https://www.airitibooks.com/Detail/Detail?PublicationID=P20090526317")</f>
        <v>https://www.airitibooks.com/Detail/Detail?PublicationID=P20090526317</v>
      </c>
      <c r="K4076" s="13" t="str">
        <f>HYPERLINK("https://ntsu.idm.oclc.org/login?url=https://www.airitibooks.com/Detail/Detail?PublicationID=P20090526317", "https://ntsu.idm.oclc.org/login?url=https://www.airitibooks.com/Detail/Detail?PublicationID=P20090526317")</f>
        <v>https://ntsu.idm.oclc.org/login?url=https://www.airitibooks.com/Detail/Detail?PublicationID=P20090526317</v>
      </c>
    </row>
    <row r="4077" spans="1:11" ht="51" x14ac:dyDescent="0.4">
      <c r="A4077" s="10" t="s">
        <v>2050</v>
      </c>
      <c r="B4077" s="10" t="s">
        <v>2051</v>
      </c>
      <c r="C4077" s="10" t="s">
        <v>2052</v>
      </c>
      <c r="D4077" s="10" t="s">
        <v>2053</v>
      </c>
      <c r="E4077" s="10" t="s">
        <v>30</v>
      </c>
      <c r="F4077" s="10" t="s">
        <v>2054</v>
      </c>
      <c r="G4077" s="10" t="s">
        <v>37</v>
      </c>
      <c r="H4077" s="7" t="s">
        <v>24</v>
      </c>
      <c r="I4077" s="7" t="s">
        <v>25</v>
      </c>
      <c r="J4077" s="13" t="str">
        <f>HYPERLINK("https://www.airitibooks.com/Detail/Detail?PublicationID=P20150309001", "https://www.airitibooks.com/Detail/Detail?PublicationID=P20150309001")</f>
        <v>https://www.airitibooks.com/Detail/Detail?PublicationID=P20150309001</v>
      </c>
      <c r="K4077" s="13" t="str">
        <f>HYPERLINK("https://ntsu.idm.oclc.org/login?url=https://www.airitibooks.com/Detail/Detail?PublicationID=P20150309001", "https://ntsu.idm.oclc.org/login?url=https://www.airitibooks.com/Detail/Detail?PublicationID=P20150309001")</f>
        <v>https://ntsu.idm.oclc.org/login?url=https://www.airitibooks.com/Detail/Detail?PublicationID=P20150309001</v>
      </c>
    </row>
    <row r="4078" spans="1:11" ht="51" x14ac:dyDescent="0.4">
      <c r="A4078" s="10" t="s">
        <v>2080</v>
      </c>
      <c r="B4078" s="10" t="s">
        <v>2081</v>
      </c>
      <c r="C4078" s="10" t="s">
        <v>1203</v>
      </c>
      <c r="D4078" s="10" t="s">
        <v>2082</v>
      </c>
      <c r="E4078" s="10" t="s">
        <v>30</v>
      </c>
      <c r="F4078" s="10" t="s">
        <v>1605</v>
      </c>
      <c r="G4078" s="10" t="s">
        <v>37</v>
      </c>
      <c r="H4078" s="7" t="s">
        <v>24</v>
      </c>
      <c r="I4078" s="7" t="s">
        <v>25</v>
      </c>
      <c r="J4078" s="13" t="str">
        <f>HYPERLINK("https://www.airitibooks.com/Detail/Detail?PublicationID=P20150309014", "https://www.airitibooks.com/Detail/Detail?PublicationID=P20150309014")</f>
        <v>https://www.airitibooks.com/Detail/Detail?PublicationID=P20150309014</v>
      </c>
      <c r="K4078" s="13" t="str">
        <f>HYPERLINK("https://ntsu.idm.oclc.org/login?url=https://www.airitibooks.com/Detail/Detail?PublicationID=P20150309014", "https://ntsu.idm.oclc.org/login?url=https://www.airitibooks.com/Detail/Detail?PublicationID=P20150309014")</f>
        <v>https://ntsu.idm.oclc.org/login?url=https://www.airitibooks.com/Detail/Detail?PublicationID=P20150309014</v>
      </c>
    </row>
    <row r="4079" spans="1:11" ht="68" x14ac:dyDescent="0.4">
      <c r="A4079" s="10" t="s">
        <v>2893</v>
      </c>
      <c r="B4079" s="10" t="s">
        <v>2894</v>
      </c>
      <c r="C4079" s="10" t="s">
        <v>938</v>
      </c>
      <c r="D4079" s="10" t="s">
        <v>2895</v>
      </c>
      <c r="E4079" s="10" t="s">
        <v>30</v>
      </c>
      <c r="F4079" s="10" t="s">
        <v>940</v>
      </c>
      <c r="G4079" s="10" t="s">
        <v>37</v>
      </c>
      <c r="H4079" s="7" t="s">
        <v>24</v>
      </c>
      <c r="I4079" s="7" t="s">
        <v>25</v>
      </c>
      <c r="J4079" s="13" t="str">
        <f>HYPERLINK("https://www.airitibooks.com/Detail/Detail?PublicationID=P20150708040", "https://www.airitibooks.com/Detail/Detail?PublicationID=P20150708040")</f>
        <v>https://www.airitibooks.com/Detail/Detail?PublicationID=P20150708040</v>
      </c>
      <c r="K4079" s="13" t="str">
        <f>HYPERLINK("https://ntsu.idm.oclc.org/login?url=https://www.airitibooks.com/Detail/Detail?PublicationID=P20150708040", "https://ntsu.idm.oclc.org/login?url=https://www.airitibooks.com/Detail/Detail?PublicationID=P20150708040")</f>
        <v>https://ntsu.idm.oclc.org/login?url=https://www.airitibooks.com/Detail/Detail?PublicationID=P20150708040</v>
      </c>
    </row>
    <row r="4080" spans="1:11" ht="51" x14ac:dyDescent="0.4">
      <c r="A4080" s="10" t="s">
        <v>2896</v>
      </c>
      <c r="B4080" s="10" t="s">
        <v>2897</v>
      </c>
      <c r="C4080" s="10" t="s">
        <v>938</v>
      </c>
      <c r="D4080" s="10" t="s">
        <v>939</v>
      </c>
      <c r="E4080" s="10" t="s">
        <v>30</v>
      </c>
      <c r="F4080" s="10" t="s">
        <v>940</v>
      </c>
      <c r="G4080" s="10" t="s">
        <v>37</v>
      </c>
      <c r="H4080" s="7" t="s">
        <v>24</v>
      </c>
      <c r="I4080" s="7" t="s">
        <v>25</v>
      </c>
      <c r="J4080" s="13" t="str">
        <f>HYPERLINK("https://www.airitibooks.com/Detail/Detail?PublicationID=P20150708042", "https://www.airitibooks.com/Detail/Detail?PublicationID=P20150708042")</f>
        <v>https://www.airitibooks.com/Detail/Detail?PublicationID=P20150708042</v>
      </c>
      <c r="K4080" s="13" t="str">
        <f>HYPERLINK("https://ntsu.idm.oclc.org/login?url=https://www.airitibooks.com/Detail/Detail?PublicationID=P20150708042", "https://ntsu.idm.oclc.org/login?url=https://www.airitibooks.com/Detail/Detail?PublicationID=P20150708042")</f>
        <v>https://ntsu.idm.oclc.org/login?url=https://www.airitibooks.com/Detail/Detail?PublicationID=P20150708042</v>
      </c>
    </row>
    <row r="4081" spans="1:11" ht="51" x14ac:dyDescent="0.4">
      <c r="A4081" s="10" t="s">
        <v>2930</v>
      </c>
      <c r="B4081" s="10" t="s">
        <v>2931</v>
      </c>
      <c r="C4081" s="10" t="s">
        <v>1271</v>
      </c>
      <c r="D4081" s="10" t="s">
        <v>2932</v>
      </c>
      <c r="E4081" s="10" t="s">
        <v>30</v>
      </c>
      <c r="F4081" s="10" t="s">
        <v>2933</v>
      </c>
      <c r="G4081" s="10" t="s">
        <v>37</v>
      </c>
      <c r="H4081" s="7" t="s">
        <v>24</v>
      </c>
      <c r="I4081" s="7" t="s">
        <v>25</v>
      </c>
      <c r="J4081" s="13" t="str">
        <f>HYPERLINK("https://www.airitibooks.com/Detail/Detail?PublicationID=P20150807002", "https://www.airitibooks.com/Detail/Detail?PublicationID=P20150807002")</f>
        <v>https://www.airitibooks.com/Detail/Detail?PublicationID=P20150807002</v>
      </c>
      <c r="K4081" s="13" t="str">
        <f>HYPERLINK("https://ntsu.idm.oclc.org/login?url=https://www.airitibooks.com/Detail/Detail?PublicationID=P20150807002", "https://ntsu.idm.oclc.org/login?url=https://www.airitibooks.com/Detail/Detail?PublicationID=P20150807002")</f>
        <v>https://ntsu.idm.oclc.org/login?url=https://www.airitibooks.com/Detail/Detail?PublicationID=P20150807002</v>
      </c>
    </row>
    <row r="4082" spans="1:11" ht="51" x14ac:dyDescent="0.4">
      <c r="A4082" s="10" t="s">
        <v>2948</v>
      </c>
      <c r="B4082" s="10" t="s">
        <v>2949</v>
      </c>
      <c r="C4082" s="10" t="s">
        <v>2950</v>
      </c>
      <c r="D4082" s="10" t="s">
        <v>2951</v>
      </c>
      <c r="E4082" s="10" t="s">
        <v>30</v>
      </c>
      <c r="F4082" s="10" t="s">
        <v>2952</v>
      </c>
      <c r="G4082" s="10" t="s">
        <v>37</v>
      </c>
      <c r="H4082" s="7" t="s">
        <v>24</v>
      </c>
      <c r="I4082" s="7" t="s">
        <v>25</v>
      </c>
      <c r="J4082" s="13" t="str">
        <f>HYPERLINK("https://www.airitibooks.com/Detail/Detail?PublicationID=P20150807016", "https://www.airitibooks.com/Detail/Detail?PublicationID=P20150807016")</f>
        <v>https://www.airitibooks.com/Detail/Detail?PublicationID=P20150807016</v>
      </c>
      <c r="K4082" s="13" t="str">
        <f>HYPERLINK("https://ntsu.idm.oclc.org/login?url=https://www.airitibooks.com/Detail/Detail?PublicationID=P20150807016", "https://ntsu.idm.oclc.org/login?url=https://www.airitibooks.com/Detail/Detail?PublicationID=P20150807016")</f>
        <v>https://ntsu.idm.oclc.org/login?url=https://www.airitibooks.com/Detail/Detail?PublicationID=P20150807016</v>
      </c>
    </row>
    <row r="4083" spans="1:11" ht="51" x14ac:dyDescent="0.4">
      <c r="A4083" s="10" t="s">
        <v>3043</v>
      </c>
      <c r="B4083" s="10" t="s">
        <v>3044</v>
      </c>
      <c r="C4083" s="10" t="s">
        <v>3034</v>
      </c>
      <c r="D4083" s="10" t="s">
        <v>3035</v>
      </c>
      <c r="E4083" s="10" t="s">
        <v>30</v>
      </c>
      <c r="F4083" s="10" t="s">
        <v>3045</v>
      </c>
      <c r="G4083" s="10" t="s">
        <v>37</v>
      </c>
      <c r="H4083" s="7" t="s">
        <v>24</v>
      </c>
      <c r="I4083" s="7" t="s">
        <v>25</v>
      </c>
      <c r="J4083" s="13" t="str">
        <f>HYPERLINK("https://www.airitibooks.com/Detail/Detail?PublicationID=P20150820006", "https://www.airitibooks.com/Detail/Detail?PublicationID=P20150820006")</f>
        <v>https://www.airitibooks.com/Detail/Detail?PublicationID=P20150820006</v>
      </c>
      <c r="K4083" s="13" t="str">
        <f>HYPERLINK("https://ntsu.idm.oclc.org/login?url=https://www.airitibooks.com/Detail/Detail?PublicationID=P20150820006", "https://ntsu.idm.oclc.org/login?url=https://www.airitibooks.com/Detail/Detail?PublicationID=P20150820006")</f>
        <v>https://ntsu.idm.oclc.org/login?url=https://www.airitibooks.com/Detail/Detail?PublicationID=P20150820006</v>
      </c>
    </row>
    <row r="4084" spans="1:11" ht="51" x14ac:dyDescent="0.4">
      <c r="A4084" s="10" t="s">
        <v>3174</v>
      </c>
      <c r="B4084" s="10" t="s">
        <v>3175</v>
      </c>
      <c r="C4084" s="10" t="s">
        <v>1271</v>
      </c>
      <c r="D4084" s="10" t="s">
        <v>3176</v>
      </c>
      <c r="E4084" s="10" t="s">
        <v>30</v>
      </c>
      <c r="F4084" s="10" t="s">
        <v>3177</v>
      </c>
      <c r="G4084" s="10" t="s">
        <v>37</v>
      </c>
      <c r="H4084" s="7" t="s">
        <v>24</v>
      </c>
      <c r="I4084" s="7" t="s">
        <v>25</v>
      </c>
      <c r="J4084" s="13" t="str">
        <f>HYPERLINK("https://www.airitibooks.com/Detail/Detail?PublicationID=P20150820155", "https://www.airitibooks.com/Detail/Detail?PublicationID=P20150820155")</f>
        <v>https://www.airitibooks.com/Detail/Detail?PublicationID=P20150820155</v>
      </c>
      <c r="K4084" s="13" t="str">
        <f>HYPERLINK("https://ntsu.idm.oclc.org/login?url=https://www.airitibooks.com/Detail/Detail?PublicationID=P20150820155", "https://ntsu.idm.oclc.org/login?url=https://www.airitibooks.com/Detail/Detail?PublicationID=P20150820155")</f>
        <v>https://ntsu.idm.oclc.org/login?url=https://www.airitibooks.com/Detail/Detail?PublicationID=P20150820155</v>
      </c>
    </row>
    <row r="4085" spans="1:11" ht="68" x14ac:dyDescent="0.4">
      <c r="A4085" s="10" t="s">
        <v>3260</v>
      </c>
      <c r="B4085" s="10" t="s">
        <v>3261</v>
      </c>
      <c r="C4085" s="10" t="s">
        <v>938</v>
      </c>
      <c r="D4085" s="10" t="s">
        <v>3262</v>
      </c>
      <c r="E4085" s="10" t="s">
        <v>30</v>
      </c>
      <c r="F4085" s="10" t="s">
        <v>955</v>
      </c>
      <c r="G4085" s="10" t="s">
        <v>37</v>
      </c>
      <c r="H4085" s="7" t="s">
        <v>24</v>
      </c>
      <c r="I4085" s="7" t="s">
        <v>25</v>
      </c>
      <c r="J4085" s="13" t="str">
        <f>HYPERLINK("https://www.airitibooks.com/Detail/Detail?PublicationID=P20150821076", "https://www.airitibooks.com/Detail/Detail?PublicationID=P20150821076")</f>
        <v>https://www.airitibooks.com/Detail/Detail?PublicationID=P20150821076</v>
      </c>
      <c r="K4085" s="13" t="str">
        <f>HYPERLINK("https://ntsu.idm.oclc.org/login?url=https://www.airitibooks.com/Detail/Detail?PublicationID=P20150821076", "https://ntsu.idm.oclc.org/login?url=https://www.airitibooks.com/Detail/Detail?PublicationID=P20150821076")</f>
        <v>https://ntsu.idm.oclc.org/login?url=https://www.airitibooks.com/Detail/Detail?PublicationID=P20150821076</v>
      </c>
    </row>
    <row r="4086" spans="1:11" ht="51" x14ac:dyDescent="0.4">
      <c r="A4086" s="10" t="s">
        <v>3264</v>
      </c>
      <c r="B4086" s="10" t="s">
        <v>3265</v>
      </c>
      <c r="C4086" s="10" t="s">
        <v>938</v>
      </c>
      <c r="D4086" s="10" t="s">
        <v>943</v>
      </c>
      <c r="E4086" s="10" t="s">
        <v>30</v>
      </c>
      <c r="F4086" s="10" t="s">
        <v>955</v>
      </c>
      <c r="G4086" s="10" t="s">
        <v>37</v>
      </c>
      <c r="H4086" s="7" t="s">
        <v>24</v>
      </c>
      <c r="I4086" s="7" t="s">
        <v>25</v>
      </c>
      <c r="J4086" s="13" t="str">
        <f>HYPERLINK("https://www.airitibooks.com/Detail/Detail?PublicationID=P20150821077", "https://www.airitibooks.com/Detail/Detail?PublicationID=P20150821077")</f>
        <v>https://www.airitibooks.com/Detail/Detail?PublicationID=P20150821077</v>
      </c>
      <c r="K4086" s="13" t="str">
        <f>HYPERLINK("https://ntsu.idm.oclc.org/login?url=https://www.airitibooks.com/Detail/Detail?PublicationID=P20150821077", "https://ntsu.idm.oclc.org/login?url=https://www.airitibooks.com/Detail/Detail?PublicationID=P20150821077")</f>
        <v>https://ntsu.idm.oclc.org/login?url=https://www.airitibooks.com/Detail/Detail?PublicationID=P20150821077</v>
      </c>
    </row>
    <row r="4087" spans="1:11" ht="51" x14ac:dyDescent="0.4">
      <c r="A4087" s="10" t="s">
        <v>3266</v>
      </c>
      <c r="B4087" s="10" t="s">
        <v>3267</v>
      </c>
      <c r="C4087" s="10" t="s">
        <v>938</v>
      </c>
      <c r="D4087" s="10" t="s">
        <v>939</v>
      </c>
      <c r="E4087" s="10" t="s">
        <v>30</v>
      </c>
      <c r="F4087" s="10" t="s">
        <v>940</v>
      </c>
      <c r="G4087" s="10" t="s">
        <v>37</v>
      </c>
      <c r="H4087" s="7" t="s">
        <v>24</v>
      </c>
      <c r="I4087" s="7" t="s">
        <v>25</v>
      </c>
      <c r="J4087" s="13" t="str">
        <f>HYPERLINK("https://www.airitibooks.com/Detail/Detail?PublicationID=P20150821078", "https://www.airitibooks.com/Detail/Detail?PublicationID=P20150821078")</f>
        <v>https://www.airitibooks.com/Detail/Detail?PublicationID=P20150821078</v>
      </c>
      <c r="K4087" s="13" t="str">
        <f>HYPERLINK("https://ntsu.idm.oclc.org/login?url=https://www.airitibooks.com/Detail/Detail?PublicationID=P20150821078", "https://ntsu.idm.oclc.org/login?url=https://www.airitibooks.com/Detail/Detail?PublicationID=P20150821078")</f>
        <v>https://ntsu.idm.oclc.org/login?url=https://www.airitibooks.com/Detail/Detail?PublicationID=P20150821078</v>
      </c>
    </row>
    <row r="4088" spans="1:11" ht="51" x14ac:dyDescent="0.4">
      <c r="A4088" s="10" t="s">
        <v>3268</v>
      </c>
      <c r="B4088" s="10" t="s">
        <v>3269</v>
      </c>
      <c r="C4088" s="10" t="s">
        <v>938</v>
      </c>
      <c r="D4088" s="10" t="s">
        <v>943</v>
      </c>
      <c r="E4088" s="10" t="s">
        <v>30</v>
      </c>
      <c r="F4088" s="10" t="s">
        <v>940</v>
      </c>
      <c r="G4088" s="10" t="s">
        <v>37</v>
      </c>
      <c r="H4088" s="7" t="s">
        <v>24</v>
      </c>
      <c r="I4088" s="7" t="s">
        <v>25</v>
      </c>
      <c r="J4088" s="13" t="str">
        <f>HYPERLINK("https://www.airitibooks.com/Detail/Detail?PublicationID=P20150821079", "https://www.airitibooks.com/Detail/Detail?PublicationID=P20150821079")</f>
        <v>https://www.airitibooks.com/Detail/Detail?PublicationID=P20150821079</v>
      </c>
      <c r="K4088" s="13" t="str">
        <f>HYPERLINK("https://ntsu.idm.oclc.org/login?url=https://www.airitibooks.com/Detail/Detail?PublicationID=P20150821079", "https://ntsu.idm.oclc.org/login?url=https://www.airitibooks.com/Detail/Detail?PublicationID=P20150821079")</f>
        <v>https://ntsu.idm.oclc.org/login?url=https://www.airitibooks.com/Detail/Detail?PublicationID=P20150821079</v>
      </c>
    </row>
    <row r="4089" spans="1:11" ht="51" x14ac:dyDescent="0.4">
      <c r="A4089" s="10" t="s">
        <v>3270</v>
      </c>
      <c r="B4089" s="10" t="s">
        <v>3271</v>
      </c>
      <c r="C4089" s="10" t="s">
        <v>938</v>
      </c>
      <c r="D4089" s="10" t="s">
        <v>939</v>
      </c>
      <c r="E4089" s="10" t="s">
        <v>30</v>
      </c>
      <c r="F4089" s="10" t="s">
        <v>940</v>
      </c>
      <c r="G4089" s="10" t="s">
        <v>37</v>
      </c>
      <c r="H4089" s="7" t="s">
        <v>24</v>
      </c>
      <c r="I4089" s="7" t="s">
        <v>25</v>
      </c>
      <c r="J4089" s="13" t="str">
        <f>HYPERLINK("https://www.airitibooks.com/Detail/Detail?PublicationID=P20150821080", "https://www.airitibooks.com/Detail/Detail?PublicationID=P20150821080")</f>
        <v>https://www.airitibooks.com/Detail/Detail?PublicationID=P20150821080</v>
      </c>
      <c r="K4089" s="13" t="str">
        <f>HYPERLINK("https://ntsu.idm.oclc.org/login?url=https://www.airitibooks.com/Detail/Detail?PublicationID=P20150821080", "https://ntsu.idm.oclc.org/login?url=https://www.airitibooks.com/Detail/Detail?PublicationID=P20150821080")</f>
        <v>https://ntsu.idm.oclc.org/login?url=https://www.airitibooks.com/Detail/Detail?PublicationID=P20150821080</v>
      </c>
    </row>
    <row r="4090" spans="1:11" ht="51" x14ac:dyDescent="0.4">
      <c r="A4090" s="10" t="s">
        <v>3272</v>
      </c>
      <c r="B4090" s="10" t="s">
        <v>3273</v>
      </c>
      <c r="C4090" s="10" t="s">
        <v>938</v>
      </c>
      <c r="D4090" s="10" t="s">
        <v>943</v>
      </c>
      <c r="E4090" s="10" t="s">
        <v>30</v>
      </c>
      <c r="F4090" s="10" t="s">
        <v>940</v>
      </c>
      <c r="G4090" s="10" t="s">
        <v>37</v>
      </c>
      <c r="H4090" s="7" t="s">
        <v>24</v>
      </c>
      <c r="I4090" s="7" t="s">
        <v>25</v>
      </c>
      <c r="J4090" s="13" t="str">
        <f>HYPERLINK("https://www.airitibooks.com/Detail/Detail?PublicationID=P20150821081", "https://www.airitibooks.com/Detail/Detail?PublicationID=P20150821081")</f>
        <v>https://www.airitibooks.com/Detail/Detail?PublicationID=P20150821081</v>
      </c>
      <c r="K4090" s="13" t="str">
        <f>HYPERLINK("https://ntsu.idm.oclc.org/login?url=https://www.airitibooks.com/Detail/Detail?PublicationID=P20150821081", "https://ntsu.idm.oclc.org/login?url=https://www.airitibooks.com/Detail/Detail?PublicationID=P20150821081")</f>
        <v>https://ntsu.idm.oclc.org/login?url=https://www.airitibooks.com/Detail/Detail?PublicationID=P20150821081</v>
      </c>
    </row>
    <row r="4091" spans="1:11" ht="51" x14ac:dyDescent="0.4">
      <c r="A4091" s="10" t="s">
        <v>3332</v>
      </c>
      <c r="B4091" s="10" t="s">
        <v>3333</v>
      </c>
      <c r="C4091" s="10" t="s">
        <v>3334</v>
      </c>
      <c r="D4091" s="10" t="s">
        <v>3335</v>
      </c>
      <c r="E4091" s="10" t="s">
        <v>30</v>
      </c>
      <c r="F4091" s="10" t="s">
        <v>1669</v>
      </c>
      <c r="G4091" s="10" t="s">
        <v>37</v>
      </c>
      <c r="H4091" s="7" t="s">
        <v>24</v>
      </c>
      <c r="I4091" s="7" t="s">
        <v>25</v>
      </c>
      <c r="J4091" s="13" t="str">
        <f>HYPERLINK("https://www.airitibooks.com/Detail/Detail?PublicationID=P20150909039", "https://www.airitibooks.com/Detail/Detail?PublicationID=P20150909039")</f>
        <v>https://www.airitibooks.com/Detail/Detail?PublicationID=P20150909039</v>
      </c>
      <c r="K4091" s="13" t="str">
        <f>HYPERLINK("https://ntsu.idm.oclc.org/login?url=https://www.airitibooks.com/Detail/Detail?PublicationID=P20150909039", "https://ntsu.idm.oclc.org/login?url=https://www.airitibooks.com/Detail/Detail?PublicationID=P20150909039")</f>
        <v>https://ntsu.idm.oclc.org/login?url=https://www.airitibooks.com/Detail/Detail?PublicationID=P20150909039</v>
      </c>
    </row>
    <row r="4092" spans="1:11" ht="51" x14ac:dyDescent="0.4">
      <c r="A4092" s="10" t="s">
        <v>3353</v>
      </c>
      <c r="B4092" s="10" t="s">
        <v>3354</v>
      </c>
      <c r="C4092" s="10" t="s">
        <v>568</v>
      </c>
      <c r="D4092" s="10" t="s">
        <v>3355</v>
      </c>
      <c r="E4092" s="10" t="s">
        <v>30</v>
      </c>
      <c r="F4092" s="10" t="s">
        <v>3356</v>
      </c>
      <c r="G4092" s="10" t="s">
        <v>37</v>
      </c>
      <c r="H4092" s="7" t="s">
        <v>24</v>
      </c>
      <c r="I4092" s="7" t="s">
        <v>25</v>
      </c>
      <c r="J4092" s="13" t="str">
        <f>HYPERLINK("https://www.airitibooks.com/Detail/Detail?PublicationID=P20150909072", "https://www.airitibooks.com/Detail/Detail?PublicationID=P20150909072")</f>
        <v>https://www.airitibooks.com/Detail/Detail?PublicationID=P20150909072</v>
      </c>
      <c r="K4092" s="13" t="str">
        <f>HYPERLINK("https://ntsu.idm.oclc.org/login?url=https://www.airitibooks.com/Detail/Detail?PublicationID=P20150909072", "https://ntsu.idm.oclc.org/login?url=https://www.airitibooks.com/Detail/Detail?PublicationID=P20150909072")</f>
        <v>https://ntsu.idm.oclc.org/login?url=https://www.airitibooks.com/Detail/Detail?PublicationID=P20150909072</v>
      </c>
    </row>
    <row r="4093" spans="1:11" ht="51" x14ac:dyDescent="0.4">
      <c r="A4093" s="10" t="s">
        <v>3558</v>
      </c>
      <c r="B4093" s="10" t="s">
        <v>3559</v>
      </c>
      <c r="C4093" s="10" t="s">
        <v>1203</v>
      </c>
      <c r="D4093" s="10" t="s">
        <v>3560</v>
      </c>
      <c r="E4093" s="10" t="s">
        <v>30</v>
      </c>
      <c r="F4093" s="10" t="s">
        <v>1605</v>
      </c>
      <c r="G4093" s="10" t="s">
        <v>37</v>
      </c>
      <c r="H4093" s="7" t="s">
        <v>24</v>
      </c>
      <c r="I4093" s="7" t="s">
        <v>25</v>
      </c>
      <c r="J4093" s="13" t="str">
        <f>HYPERLINK("https://www.airitibooks.com/Detail/Detail?PublicationID=P20150921017", "https://www.airitibooks.com/Detail/Detail?PublicationID=P20150921017")</f>
        <v>https://www.airitibooks.com/Detail/Detail?PublicationID=P20150921017</v>
      </c>
      <c r="K4093" s="13" t="str">
        <f>HYPERLINK("https://ntsu.idm.oclc.org/login?url=https://www.airitibooks.com/Detail/Detail?PublicationID=P20150921017", "https://ntsu.idm.oclc.org/login?url=https://www.airitibooks.com/Detail/Detail?PublicationID=P20150921017")</f>
        <v>https://ntsu.idm.oclc.org/login?url=https://www.airitibooks.com/Detail/Detail?PublicationID=P20150921017</v>
      </c>
    </row>
    <row r="4094" spans="1:11" ht="51" x14ac:dyDescent="0.4">
      <c r="A4094" s="10" t="s">
        <v>3817</v>
      </c>
      <c r="B4094" s="10" t="s">
        <v>3818</v>
      </c>
      <c r="C4094" s="10" t="s">
        <v>1114</v>
      </c>
      <c r="D4094" s="10" t="s">
        <v>3819</v>
      </c>
      <c r="E4094" s="10" t="s">
        <v>30</v>
      </c>
      <c r="F4094" s="10" t="s">
        <v>1116</v>
      </c>
      <c r="G4094" s="10" t="s">
        <v>37</v>
      </c>
      <c r="H4094" s="7" t="s">
        <v>24</v>
      </c>
      <c r="I4094" s="7" t="s">
        <v>25</v>
      </c>
      <c r="J4094" s="13" t="str">
        <f>HYPERLINK("https://www.airitibooks.com/Detail/Detail?PublicationID=P20151022016", "https://www.airitibooks.com/Detail/Detail?PublicationID=P20151022016")</f>
        <v>https://www.airitibooks.com/Detail/Detail?PublicationID=P20151022016</v>
      </c>
      <c r="K4094" s="13" t="str">
        <f>HYPERLINK("https://ntsu.idm.oclc.org/login?url=https://www.airitibooks.com/Detail/Detail?PublicationID=P20151022016", "https://ntsu.idm.oclc.org/login?url=https://www.airitibooks.com/Detail/Detail?PublicationID=P20151022016")</f>
        <v>https://ntsu.idm.oclc.org/login?url=https://www.airitibooks.com/Detail/Detail?PublicationID=P20151022016</v>
      </c>
    </row>
    <row r="4095" spans="1:11" ht="51" x14ac:dyDescent="0.4">
      <c r="A4095" s="10" t="s">
        <v>3889</v>
      </c>
      <c r="B4095" s="10" t="s">
        <v>3890</v>
      </c>
      <c r="C4095" s="10" t="s">
        <v>938</v>
      </c>
      <c r="D4095" s="10" t="s">
        <v>943</v>
      </c>
      <c r="E4095" s="10" t="s">
        <v>30</v>
      </c>
      <c r="F4095" s="10" t="s">
        <v>940</v>
      </c>
      <c r="G4095" s="10" t="s">
        <v>37</v>
      </c>
      <c r="H4095" s="7" t="s">
        <v>24</v>
      </c>
      <c r="I4095" s="7" t="s">
        <v>25</v>
      </c>
      <c r="J4095" s="13" t="str">
        <f>HYPERLINK("https://www.airitibooks.com/Detail/Detail?PublicationID=P20151111037", "https://www.airitibooks.com/Detail/Detail?PublicationID=P20151111037")</f>
        <v>https://www.airitibooks.com/Detail/Detail?PublicationID=P20151111037</v>
      </c>
      <c r="K4095" s="13" t="str">
        <f>HYPERLINK("https://ntsu.idm.oclc.org/login?url=https://www.airitibooks.com/Detail/Detail?PublicationID=P20151111037", "https://ntsu.idm.oclc.org/login?url=https://www.airitibooks.com/Detail/Detail?PublicationID=P20151111037")</f>
        <v>https://ntsu.idm.oclc.org/login?url=https://www.airitibooks.com/Detail/Detail?PublicationID=P20151111037</v>
      </c>
    </row>
    <row r="4096" spans="1:11" ht="51" x14ac:dyDescent="0.4">
      <c r="A4096" s="10" t="s">
        <v>3894</v>
      </c>
      <c r="B4096" s="10" t="s">
        <v>3895</v>
      </c>
      <c r="C4096" s="10" t="s">
        <v>938</v>
      </c>
      <c r="D4096" s="10" t="s">
        <v>3896</v>
      </c>
      <c r="E4096" s="10" t="s">
        <v>30</v>
      </c>
      <c r="F4096" s="10" t="s">
        <v>955</v>
      </c>
      <c r="G4096" s="10" t="s">
        <v>37</v>
      </c>
      <c r="H4096" s="7" t="s">
        <v>24</v>
      </c>
      <c r="I4096" s="7" t="s">
        <v>25</v>
      </c>
      <c r="J4096" s="13" t="str">
        <f>HYPERLINK("https://www.airitibooks.com/Detail/Detail?PublicationID=P20151111039", "https://www.airitibooks.com/Detail/Detail?PublicationID=P20151111039")</f>
        <v>https://www.airitibooks.com/Detail/Detail?PublicationID=P20151111039</v>
      </c>
      <c r="K4096" s="13" t="str">
        <f>HYPERLINK("https://ntsu.idm.oclc.org/login?url=https://www.airitibooks.com/Detail/Detail?PublicationID=P20151111039", "https://ntsu.idm.oclc.org/login?url=https://www.airitibooks.com/Detail/Detail?PublicationID=P20151111039")</f>
        <v>https://ntsu.idm.oclc.org/login?url=https://www.airitibooks.com/Detail/Detail?PublicationID=P20151111039</v>
      </c>
    </row>
    <row r="4097" spans="1:11" ht="51" x14ac:dyDescent="0.4">
      <c r="A4097" s="10" t="s">
        <v>3897</v>
      </c>
      <c r="B4097" s="10" t="s">
        <v>3898</v>
      </c>
      <c r="C4097" s="10" t="s">
        <v>938</v>
      </c>
      <c r="D4097" s="10" t="s">
        <v>3896</v>
      </c>
      <c r="E4097" s="10" t="s">
        <v>30</v>
      </c>
      <c r="F4097" s="10" t="s">
        <v>955</v>
      </c>
      <c r="G4097" s="10" t="s">
        <v>37</v>
      </c>
      <c r="H4097" s="7" t="s">
        <v>24</v>
      </c>
      <c r="I4097" s="7" t="s">
        <v>25</v>
      </c>
      <c r="J4097" s="13" t="str">
        <f>HYPERLINK("https://www.airitibooks.com/Detail/Detail?PublicationID=P20151111040", "https://www.airitibooks.com/Detail/Detail?PublicationID=P20151111040")</f>
        <v>https://www.airitibooks.com/Detail/Detail?PublicationID=P20151111040</v>
      </c>
      <c r="K4097" s="13" t="str">
        <f>HYPERLINK("https://ntsu.idm.oclc.org/login?url=https://www.airitibooks.com/Detail/Detail?PublicationID=P20151111040", "https://ntsu.idm.oclc.org/login?url=https://www.airitibooks.com/Detail/Detail?PublicationID=P20151111040")</f>
        <v>https://ntsu.idm.oclc.org/login?url=https://www.airitibooks.com/Detail/Detail?PublicationID=P20151111040</v>
      </c>
    </row>
    <row r="4098" spans="1:11" ht="51" x14ac:dyDescent="0.4">
      <c r="A4098" s="10" t="s">
        <v>3910</v>
      </c>
      <c r="B4098" s="10" t="s">
        <v>3911</v>
      </c>
      <c r="C4098" s="10" t="s">
        <v>3359</v>
      </c>
      <c r="D4098" s="10" t="s">
        <v>3912</v>
      </c>
      <c r="E4098" s="10" t="s">
        <v>30</v>
      </c>
      <c r="F4098" s="10" t="s">
        <v>3913</v>
      </c>
      <c r="G4098" s="10" t="s">
        <v>37</v>
      </c>
      <c r="H4098" s="7" t="s">
        <v>24</v>
      </c>
      <c r="I4098" s="7" t="s">
        <v>25</v>
      </c>
      <c r="J4098" s="13" t="str">
        <f>HYPERLINK("https://www.airitibooks.com/Detail/Detail?PublicationID=P20151111064", "https://www.airitibooks.com/Detail/Detail?PublicationID=P20151111064")</f>
        <v>https://www.airitibooks.com/Detail/Detail?PublicationID=P20151111064</v>
      </c>
      <c r="K4098" s="13" t="str">
        <f>HYPERLINK("https://ntsu.idm.oclc.org/login?url=https://www.airitibooks.com/Detail/Detail?PublicationID=P20151111064", "https://ntsu.idm.oclc.org/login?url=https://www.airitibooks.com/Detail/Detail?PublicationID=P20151111064")</f>
        <v>https://ntsu.idm.oclc.org/login?url=https://www.airitibooks.com/Detail/Detail?PublicationID=P20151111064</v>
      </c>
    </row>
    <row r="4099" spans="1:11" ht="51" x14ac:dyDescent="0.4">
      <c r="A4099" s="10" t="s">
        <v>3914</v>
      </c>
      <c r="B4099" s="10" t="s">
        <v>3915</v>
      </c>
      <c r="C4099" s="10" t="s">
        <v>222</v>
      </c>
      <c r="D4099" s="10" t="s">
        <v>218</v>
      </c>
      <c r="E4099" s="10" t="s">
        <v>30</v>
      </c>
      <c r="F4099" s="10" t="s">
        <v>3916</v>
      </c>
      <c r="G4099" s="10" t="s">
        <v>37</v>
      </c>
      <c r="H4099" s="7" t="s">
        <v>24</v>
      </c>
      <c r="I4099" s="7" t="s">
        <v>25</v>
      </c>
      <c r="J4099" s="13" t="str">
        <f>HYPERLINK("https://www.airitibooks.com/Detail/Detail?PublicationID=P20151111069", "https://www.airitibooks.com/Detail/Detail?PublicationID=P20151111069")</f>
        <v>https://www.airitibooks.com/Detail/Detail?PublicationID=P20151111069</v>
      </c>
      <c r="K4099" s="13" t="str">
        <f>HYPERLINK("https://ntsu.idm.oclc.org/login?url=https://www.airitibooks.com/Detail/Detail?PublicationID=P20151111069", "https://ntsu.idm.oclc.org/login?url=https://www.airitibooks.com/Detail/Detail?PublicationID=P20151111069")</f>
        <v>https://ntsu.idm.oclc.org/login?url=https://www.airitibooks.com/Detail/Detail?PublicationID=P20151111069</v>
      </c>
    </row>
    <row r="4100" spans="1:11" ht="51" x14ac:dyDescent="0.4">
      <c r="A4100" s="10" t="s">
        <v>4151</v>
      </c>
      <c r="B4100" s="10" t="s">
        <v>4152</v>
      </c>
      <c r="C4100" s="10" t="s">
        <v>130</v>
      </c>
      <c r="D4100" s="10" t="s">
        <v>4153</v>
      </c>
      <c r="E4100" s="10" t="s">
        <v>30</v>
      </c>
      <c r="F4100" s="10" t="s">
        <v>4154</v>
      </c>
      <c r="G4100" s="10" t="s">
        <v>37</v>
      </c>
      <c r="H4100" s="7" t="s">
        <v>24</v>
      </c>
      <c r="I4100" s="7" t="s">
        <v>25</v>
      </c>
      <c r="J4100" s="13" t="str">
        <f>HYPERLINK("https://www.airitibooks.com/Detail/Detail?PublicationID=P20160224041", "https://www.airitibooks.com/Detail/Detail?PublicationID=P20160224041")</f>
        <v>https://www.airitibooks.com/Detail/Detail?PublicationID=P20160224041</v>
      </c>
      <c r="K4100" s="13" t="str">
        <f>HYPERLINK("https://ntsu.idm.oclc.org/login?url=https://www.airitibooks.com/Detail/Detail?PublicationID=P20160224041", "https://ntsu.idm.oclc.org/login?url=https://www.airitibooks.com/Detail/Detail?PublicationID=P20160224041")</f>
        <v>https://ntsu.idm.oclc.org/login?url=https://www.airitibooks.com/Detail/Detail?PublicationID=P20160224041</v>
      </c>
    </row>
    <row r="4101" spans="1:11" ht="51" x14ac:dyDescent="0.4">
      <c r="A4101" s="10" t="s">
        <v>4477</v>
      </c>
      <c r="B4101" s="10" t="s">
        <v>4478</v>
      </c>
      <c r="C4101" s="10" t="s">
        <v>1574</v>
      </c>
      <c r="D4101" s="10" t="s">
        <v>1575</v>
      </c>
      <c r="E4101" s="10" t="s">
        <v>30</v>
      </c>
      <c r="F4101" s="10" t="s">
        <v>4479</v>
      </c>
      <c r="G4101" s="10" t="s">
        <v>37</v>
      </c>
      <c r="H4101" s="7" t="s">
        <v>24</v>
      </c>
      <c r="I4101" s="7" t="s">
        <v>25</v>
      </c>
      <c r="J4101" s="13" t="str">
        <f>HYPERLINK("https://www.airitibooks.com/Detail/Detail?PublicationID=P20160421075", "https://www.airitibooks.com/Detail/Detail?PublicationID=P20160421075")</f>
        <v>https://www.airitibooks.com/Detail/Detail?PublicationID=P20160421075</v>
      </c>
      <c r="K4101" s="13" t="str">
        <f>HYPERLINK("https://ntsu.idm.oclc.org/login?url=https://www.airitibooks.com/Detail/Detail?PublicationID=P20160421075", "https://ntsu.idm.oclc.org/login?url=https://www.airitibooks.com/Detail/Detail?PublicationID=P20160421075")</f>
        <v>https://ntsu.idm.oclc.org/login?url=https://www.airitibooks.com/Detail/Detail?PublicationID=P20160421075</v>
      </c>
    </row>
    <row r="4102" spans="1:11" ht="51" x14ac:dyDescent="0.4">
      <c r="A4102" s="10" t="s">
        <v>4489</v>
      </c>
      <c r="B4102" s="10" t="s">
        <v>4490</v>
      </c>
      <c r="C4102" s="10" t="s">
        <v>544</v>
      </c>
      <c r="D4102" s="10" t="s">
        <v>4491</v>
      </c>
      <c r="E4102" s="10" t="s">
        <v>30</v>
      </c>
      <c r="F4102" s="10" t="s">
        <v>4492</v>
      </c>
      <c r="G4102" s="10" t="s">
        <v>37</v>
      </c>
      <c r="H4102" s="7" t="s">
        <v>24</v>
      </c>
      <c r="I4102" s="7" t="s">
        <v>25</v>
      </c>
      <c r="J4102" s="13" t="str">
        <f>HYPERLINK("https://www.airitibooks.com/Detail/Detail?PublicationID=P20160421104", "https://www.airitibooks.com/Detail/Detail?PublicationID=P20160421104")</f>
        <v>https://www.airitibooks.com/Detail/Detail?PublicationID=P20160421104</v>
      </c>
      <c r="K4102" s="13" t="str">
        <f>HYPERLINK("https://ntsu.idm.oclc.org/login?url=https://www.airitibooks.com/Detail/Detail?PublicationID=P20160421104", "https://ntsu.idm.oclc.org/login?url=https://www.airitibooks.com/Detail/Detail?PublicationID=P20160421104")</f>
        <v>https://ntsu.idm.oclc.org/login?url=https://www.airitibooks.com/Detail/Detail?PublicationID=P20160421104</v>
      </c>
    </row>
    <row r="4103" spans="1:11" ht="51" x14ac:dyDescent="0.4">
      <c r="A4103" s="10" t="s">
        <v>4721</v>
      </c>
      <c r="B4103" s="10" t="s">
        <v>4722</v>
      </c>
      <c r="C4103" s="10" t="s">
        <v>2515</v>
      </c>
      <c r="D4103" s="10" t="s">
        <v>4723</v>
      </c>
      <c r="E4103" s="10" t="s">
        <v>30</v>
      </c>
      <c r="F4103" s="10" t="s">
        <v>4724</v>
      </c>
      <c r="G4103" s="10" t="s">
        <v>37</v>
      </c>
      <c r="H4103" s="7" t="s">
        <v>24</v>
      </c>
      <c r="I4103" s="7" t="s">
        <v>25</v>
      </c>
      <c r="J4103" s="13" t="str">
        <f>HYPERLINK("https://www.airitibooks.com/Detail/Detail?PublicationID=P20160603026", "https://www.airitibooks.com/Detail/Detail?PublicationID=P20160603026")</f>
        <v>https://www.airitibooks.com/Detail/Detail?PublicationID=P20160603026</v>
      </c>
      <c r="K4103" s="13" t="str">
        <f>HYPERLINK("https://ntsu.idm.oclc.org/login?url=https://www.airitibooks.com/Detail/Detail?PublicationID=P20160603026", "https://ntsu.idm.oclc.org/login?url=https://www.airitibooks.com/Detail/Detail?PublicationID=P20160603026")</f>
        <v>https://ntsu.idm.oclc.org/login?url=https://www.airitibooks.com/Detail/Detail?PublicationID=P20160603026</v>
      </c>
    </row>
    <row r="4104" spans="1:11" ht="51" x14ac:dyDescent="0.4">
      <c r="A4104" s="10" t="s">
        <v>4879</v>
      </c>
      <c r="B4104" s="10" t="s">
        <v>4880</v>
      </c>
      <c r="C4104" s="10" t="s">
        <v>4873</v>
      </c>
      <c r="D4104" s="10" t="s">
        <v>4881</v>
      </c>
      <c r="E4104" s="10" t="s">
        <v>30</v>
      </c>
      <c r="F4104" s="10" t="s">
        <v>4878</v>
      </c>
      <c r="G4104" s="10" t="s">
        <v>37</v>
      </c>
      <c r="H4104" s="7" t="s">
        <v>24</v>
      </c>
      <c r="I4104" s="7" t="s">
        <v>25</v>
      </c>
      <c r="J4104" s="13" t="str">
        <f>HYPERLINK("https://www.airitibooks.com/Detail/Detail?PublicationID=P20160715160", "https://www.airitibooks.com/Detail/Detail?PublicationID=P20160715160")</f>
        <v>https://www.airitibooks.com/Detail/Detail?PublicationID=P20160715160</v>
      </c>
      <c r="K4104" s="13" t="str">
        <f>HYPERLINK("https://ntsu.idm.oclc.org/login?url=https://www.airitibooks.com/Detail/Detail?PublicationID=P20160715160", "https://ntsu.idm.oclc.org/login?url=https://www.airitibooks.com/Detail/Detail?PublicationID=P20160715160")</f>
        <v>https://ntsu.idm.oclc.org/login?url=https://www.airitibooks.com/Detail/Detail?PublicationID=P20160715160</v>
      </c>
    </row>
    <row r="4105" spans="1:11" ht="51" x14ac:dyDescent="0.4">
      <c r="A4105" s="10" t="s">
        <v>4882</v>
      </c>
      <c r="B4105" s="10" t="s">
        <v>4883</v>
      </c>
      <c r="C4105" s="10" t="s">
        <v>4873</v>
      </c>
      <c r="D4105" s="10" t="s">
        <v>4884</v>
      </c>
      <c r="E4105" s="10" t="s">
        <v>30</v>
      </c>
      <c r="F4105" s="10" t="s">
        <v>4885</v>
      </c>
      <c r="G4105" s="10" t="s">
        <v>37</v>
      </c>
      <c r="H4105" s="7" t="s">
        <v>24</v>
      </c>
      <c r="I4105" s="7" t="s">
        <v>25</v>
      </c>
      <c r="J4105" s="13" t="str">
        <f>HYPERLINK("https://www.airitibooks.com/Detail/Detail?PublicationID=P20160715161", "https://www.airitibooks.com/Detail/Detail?PublicationID=P20160715161")</f>
        <v>https://www.airitibooks.com/Detail/Detail?PublicationID=P20160715161</v>
      </c>
      <c r="K4105" s="13" t="str">
        <f>HYPERLINK("https://ntsu.idm.oclc.org/login?url=https://www.airitibooks.com/Detail/Detail?PublicationID=P20160715161", "https://ntsu.idm.oclc.org/login?url=https://www.airitibooks.com/Detail/Detail?PublicationID=P20160715161")</f>
        <v>https://ntsu.idm.oclc.org/login?url=https://www.airitibooks.com/Detail/Detail?PublicationID=P20160715161</v>
      </c>
    </row>
    <row r="4106" spans="1:11" ht="51" x14ac:dyDescent="0.4">
      <c r="A4106" s="10" t="s">
        <v>4886</v>
      </c>
      <c r="B4106" s="10" t="s">
        <v>4887</v>
      </c>
      <c r="C4106" s="10" t="s">
        <v>4873</v>
      </c>
      <c r="D4106" s="10" t="s">
        <v>4888</v>
      </c>
      <c r="E4106" s="10" t="s">
        <v>30</v>
      </c>
      <c r="F4106" s="10" t="s">
        <v>4154</v>
      </c>
      <c r="G4106" s="10" t="s">
        <v>37</v>
      </c>
      <c r="H4106" s="7" t="s">
        <v>24</v>
      </c>
      <c r="I4106" s="7" t="s">
        <v>25</v>
      </c>
      <c r="J4106" s="13" t="str">
        <f>HYPERLINK("https://www.airitibooks.com/Detail/Detail?PublicationID=P20160715162", "https://www.airitibooks.com/Detail/Detail?PublicationID=P20160715162")</f>
        <v>https://www.airitibooks.com/Detail/Detail?PublicationID=P20160715162</v>
      </c>
      <c r="K4106" s="13" t="str">
        <f>HYPERLINK("https://ntsu.idm.oclc.org/login?url=https://www.airitibooks.com/Detail/Detail?PublicationID=P20160715162", "https://ntsu.idm.oclc.org/login?url=https://www.airitibooks.com/Detail/Detail?PublicationID=P20160715162")</f>
        <v>https://ntsu.idm.oclc.org/login?url=https://www.airitibooks.com/Detail/Detail?PublicationID=P20160715162</v>
      </c>
    </row>
    <row r="4107" spans="1:11" ht="51" x14ac:dyDescent="0.4">
      <c r="A4107" s="10" t="s">
        <v>5010</v>
      </c>
      <c r="B4107" s="10" t="s">
        <v>5011</v>
      </c>
      <c r="C4107" s="10" t="s">
        <v>1504</v>
      </c>
      <c r="D4107" s="10" t="s">
        <v>5012</v>
      </c>
      <c r="E4107" s="10" t="s">
        <v>30</v>
      </c>
      <c r="F4107" s="10" t="s">
        <v>3045</v>
      </c>
      <c r="G4107" s="10" t="s">
        <v>37</v>
      </c>
      <c r="H4107" s="7" t="s">
        <v>24</v>
      </c>
      <c r="I4107" s="7" t="s">
        <v>25</v>
      </c>
      <c r="J4107" s="13" t="str">
        <f>HYPERLINK("https://www.airitibooks.com/Detail/Detail?PublicationID=P20160723086", "https://www.airitibooks.com/Detail/Detail?PublicationID=P20160723086")</f>
        <v>https://www.airitibooks.com/Detail/Detail?PublicationID=P20160723086</v>
      </c>
      <c r="K4107" s="13" t="str">
        <f>HYPERLINK("https://ntsu.idm.oclc.org/login?url=https://www.airitibooks.com/Detail/Detail?PublicationID=P20160723086", "https://ntsu.idm.oclc.org/login?url=https://www.airitibooks.com/Detail/Detail?PublicationID=P20160723086")</f>
        <v>https://ntsu.idm.oclc.org/login?url=https://www.airitibooks.com/Detail/Detail?PublicationID=P20160723086</v>
      </c>
    </row>
    <row r="4108" spans="1:11" ht="68" x14ac:dyDescent="0.4">
      <c r="A4108" s="10" t="s">
        <v>5311</v>
      </c>
      <c r="B4108" s="10" t="s">
        <v>5312</v>
      </c>
      <c r="C4108" s="10" t="s">
        <v>5307</v>
      </c>
      <c r="D4108" s="10" t="s">
        <v>5313</v>
      </c>
      <c r="E4108" s="10" t="s">
        <v>30</v>
      </c>
      <c r="F4108" s="10" t="s">
        <v>5314</v>
      </c>
      <c r="G4108" s="10" t="s">
        <v>37</v>
      </c>
      <c r="H4108" s="7" t="s">
        <v>24</v>
      </c>
      <c r="I4108" s="7" t="s">
        <v>25</v>
      </c>
      <c r="J4108" s="13" t="str">
        <f>HYPERLINK("https://www.airitibooks.com/Detail/Detail?PublicationID=P20160901020", "https://www.airitibooks.com/Detail/Detail?PublicationID=P20160901020")</f>
        <v>https://www.airitibooks.com/Detail/Detail?PublicationID=P20160901020</v>
      </c>
      <c r="K4108" s="13" t="str">
        <f>HYPERLINK("https://ntsu.idm.oclc.org/login?url=https://www.airitibooks.com/Detail/Detail?PublicationID=P20160901020", "https://ntsu.idm.oclc.org/login?url=https://www.airitibooks.com/Detail/Detail?PublicationID=P20160901020")</f>
        <v>https://ntsu.idm.oclc.org/login?url=https://www.airitibooks.com/Detail/Detail?PublicationID=P20160901020</v>
      </c>
    </row>
    <row r="4109" spans="1:11" ht="51" x14ac:dyDescent="0.4">
      <c r="A4109" s="10" t="s">
        <v>6660</v>
      </c>
      <c r="B4109" s="10" t="s">
        <v>6661</v>
      </c>
      <c r="C4109" s="10" t="s">
        <v>6662</v>
      </c>
      <c r="D4109" s="10" t="s">
        <v>6663</v>
      </c>
      <c r="E4109" s="10" t="s">
        <v>30</v>
      </c>
      <c r="F4109" s="10" t="s">
        <v>6664</v>
      </c>
      <c r="G4109" s="10" t="s">
        <v>37</v>
      </c>
      <c r="H4109" s="7" t="s">
        <v>24</v>
      </c>
      <c r="I4109" s="7" t="s">
        <v>25</v>
      </c>
      <c r="J4109" s="13" t="str">
        <f>HYPERLINK("https://www.airitibooks.com/Detail/Detail?PublicationID=P20170518005", "https://www.airitibooks.com/Detail/Detail?PublicationID=P20170518005")</f>
        <v>https://www.airitibooks.com/Detail/Detail?PublicationID=P20170518005</v>
      </c>
      <c r="K4109" s="13" t="str">
        <f>HYPERLINK("https://ntsu.idm.oclc.org/login?url=https://www.airitibooks.com/Detail/Detail?PublicationID=P20170518005", "https://ntsu.idm.oclc.org/login?url=https://www.airitibooks.com/Detail/Detail?PublicationID=P20170518005")</f>
        <v>https://ntsu.idm.oclc.org/login?url=https://www.airitibooks.com/Detail/Detail?PublicationID=P20170518005</v>
      </c>
    </row>
    <row r="4110" spans="1:11" ht="51" x14ac:dyDescent="0.4">
      <c r="A4110" s="10" t="s">
        <v>7096</v>
      </c>
      <c r="B4110" s="10" t="s">
        <v>7097</v>
      </c>
      <c r="C4110" s="10" t="s">
        <v>1966</v>
      </c>
      <c r="D4110" s="10" t="s">
        <v>7098</v>
      </c>
      <c r="E4110" s="10" t="s">
        <v>30</v>
      </c>
      <c r="F4110" s="10" t="s">
        <v>1979</v>
      </c>
      <c r="G4110" s="10" t="s">
        <v>37</v>
      </c>
      <c r="H4110" s="7" t="s">
        <v>24</v>
      </c>
      <c r="I4110" s="7" t="s">
        <v>25</v>
      </c>
      <c r="J4110" s="13" t="str">
        <f>HYPERLINK("https://www.airitibooks.com/Detail/Detail?PublicationID=P20170929072", "https://www.airitibooks.com/Detail/Detail?PublicationID=P20170929072")</f>
        <v>https://www.airitibooks.com/Detail/Detail?PublicationID=P20170929072</v>
      </c>
      <c r="K4110" s="13" t="str">
        <f>HYPERLINK("https://ntsu.idm.oclc.org/login?url=https://www.airitibooks.com/Detail/Detail?PublicationID=P20170929072", "https://ntsu.idm.oclc.org/login?url=https://www.airitibooks.com/Detail/Detail?PublicationID=P20170929072")</f>
        <v>https://ntsu.idm.oclc.org/login?url=https://www.airitibooks.com/Detail/Detail?PublicationID=P20170929072</v>
      </c>
    </row>
    <row r="4111" spans="1:11" ht="51" x14ac:dyDescent="0.4">
      <c r="A4111" s="10" t="s">
        <v>10051</v>
      </c>
      <c r="B4111" s="10" t="s">
        <v>10052</v>
      </c>
      <c r="C4111" s="10" t="s">
        <v>9828</v>
      </c>
      <c r="D4111" s="10" t="s">
        <v>10053</v>
      </c>
      <c r="E4111" s="10" t="s">
        <v>30</v>
      </c>
      <c r="F4111" s="10" t="s">
        <v>4739</v>
      </c>
      <c r="G4111" s="10" t="s">
        <v>37</v>
      </c>
      <c r="H4111" s="7" t="s">
        <v>1031</v>
      </c>
      <c r="I4111" s="7" t="s">
        <v>25</v>
      </c>
      <c r="J4111" s="13" t="str">
        <f>HYPERLINK("https://www.airitibooks.com/Detail/Detail?PublicationID=P20181114042", "https://www.airitibooks.com/Detail/Detail?PublicationID=P20181114042")</f>
        <v>https://www.airitibooks.com/Detail/Detail?PublicationID=P20181114042</v>
      </c>
      <c r="K4111" s="13" t="str">
        <f>HYPERLINK("https://ntsu.idm.oclc.org/login?url=https://www.airitibooks.com/Detail/Detail?PublicationID=P20181114042", "https://ntsu.idm.oclc.org/login?url=https://www.airitibooks.com/Detail/Detail?PublicationID=P20181114042")</f>
        <v>https://ntsu.idm.oclc.org/login?url=https://www.airitibooks.com/Detail/Detail?PublicationID=P20181114042</v>
      </c>
    </row>
    <row r="4112" spans="1:11" ht="51" x14ac:dyDescent="0.4">
      <c r="A4112" s="10" t="s">
        <v>10054</v>
      </c>
      <c r="B4112" s="10" t="s">
        <v>10055</v>
      </c>
      <c r="C4112" s="10" t="s">
        <v>9828</v>
      </c>
      <c r="D4112" s="10" t="s">
        <v>10056</v>
      </c>
      <c r="E4112" s="10" t="s">
        <v>30</v>
      </c>
      <c r="F4112" s="10" t="s">
        <v>4739</v>
      </c>
      <c r="G4112" s="10" t="s">
        <v>37</v>
      </c>
      <c r="H4112" s="7" t="s">
        <v>1031</v>
      </c>
      <c r="I4112" s="7" t="s">
        <v>25</v>
      </c>
      <c r="J4112" s="13" t="str">
        <f>HYPERLINK("https://www.airitibooks.com/Detail/Detail?PublicationID=P20181114043", "https://www.airitibooks.com/Detail/Detail?PublicationID=P20181114043")</f>
        <v>https://www.airitibooks.com/Detail/Detail?PublicationID=P20181114043</v>
      </c>
      <c r="K4112" s="13" t="str">
        <f>HYPERLINK("https://ntsu.idm.oclc.org/login?url=https://www.airitibooks.com/Detail/Detail?PublicationID=P20181114043", "https://ntsu.idm.oclc.org/login?url=https://www.airitibooks.com/Detail/Detail?PublicationID=P20181114043")</f>
        <v>https://ntsu.idm.oclc.org/login?url=https://www.airitibooks.com/Detail/Detail?PublicationID=P20181114043</v>
      </c>
    </row>
    <row r="4113" spans="1:11" ht="51" x14ac:dyDescent="0.4">
      <c r="A4113" s="10" t="s">
        <v>10057</v>
      </c>
      <c r="B4113" s="10" t="s">
        <v>10058</v>
      </c>
      <c r="C4113" s="10" t="s">
        <v>9828</v>
      </c>
      <c r="D4113" s="10" t="s">
        <v>10059</v>
      </c>
      <c r="E4113" s="10" t="s">
        <v>30</v>
      </c>
      <c r="F4113" s="10" t="s">
        <v>4739</v>
      </c>
      <c r="G4113" s="10" t="s">
        <v>37</v>
      </c>
      <c r="H4113" s="7" t="s">
        <v>1031</v>
      </c>
      <c r="I4113" s="7" t="s">
        <v>25</v>
      </c>
      <c r="J4113" s="13" t="str">
        <f>HYPERLINK("https://www.airitibooks.com/Detail/Detail?PublicationID=P20181114045", "https://www.airitibooks.com/Detail/Detail?PublicationID=P20181114045")</f>
        <v>https://www.airitibooks.com/Detail/Detail?PublicationID=P20181114045</v>
      </c>
      <c r="K4113" s="13" t="str">
        <f>HYPERLINK("https://ntsu.idm.oclc.org/login?url=https://www.airitibooks.com/Detail/Detail?PublicationID=P20181114045", "https://ntsu.idm.oclc.org/login?url=https://www.airitibooks.com/Detail/Detail?PublicationID=P20181114045")</f>
        <v>https://ntsu.idm.oclc.org/login?url=https://www.airitibooks.com/Detail/Detail?PublicationID=P20181114045</v>
      </c>
    </row>
    <row r="4114" spans="1:11" ht="51" x14ac:dyDescent="0.4">
      <c r="A4114" s="10" t="s">
        <v>10060</v>
      </c>
      <c r="B4114" s="10" t="s">
        <v>10061</v>
      </c>
      <c r="C4114" s="10" t="s">
        <v>9828</v>
      </c>
      <c r="D4114" s="10" t="s">
        <v>10062</v>
      </c>
      <c r="E4114" s="10" t="s">
        <v>30</v>
      </c>
      <c r="F4114" s="10" t="s">
        <v>4739</v>
      </c>
      <c r="G4114" s="10" t="s">
        <v>37</v>
      </c>
      <c r="H4114" s="7" t="s">
        <v>1031</v>
      </c>
      <c r="I4114" s="7" t="s">
        <v>25</v>
      </c>
      <c r="J4114" s="13" t="str">
        <f>HYPERLINK("https://www.airitibooks.com/Detail/Detail?PublicationID=P20181114046", "https://www.airitibooks.com/Detail/Detail?PublicationID=P20181114046")</f>
        <v>https://www.airitibooks.com/Detail/Detail?PublicationID=P20181114046</v>
      </c>
      <c r="K4114" s="13" t="str">
        <f>HYPERLINK("https://ntsu.idm.oclc.org/login?url=https://www.airitibooks.com/Detail/Detail?PublicationID=P20181114046", "https://ntsu.idm.oclc.org/login?url=https://www.airitibooks.com/Detail/Detail?PublicationID=P20181114046")</f>
        <v>https://ntsu.idm.oclc.org/login?url=https://www.airitibooks.com/Detail/Detail?PublicationID=P20181114046</v>
      </c>
    </row>
    <row r="4115" spans="1:11" ht="51" x14ac:dyDescent="0.4">
      <c r="A4115" s="10" t="s">
        <v>10063</v>
      </c>
      <c r="B4115" s="10" t="s">
        <v>10064</v>
      </c>
      <c r="C4115" s="10" t="s">
        <v>9828</v>
      </c>
      <c r="D4115" s="10" t="s">
        <v>10065</v>
      </c>
      <c r="E4115" s="10" t="s">
        <v>30</v>
      </c>
      <c r="F4115" s="10" t="s">
        <v>4739</v>
      </c>
      <c r="G4115" s="10" t="s">
        <v>37</v>
      </c>
      <c r="H4115" s="7" t="s">
        <v>1031</v>
      </c>
      <c r="I4115" s="7" t="s">
        <v>25</v>
      </c>
      <c r="J4115" s="13" t="str">
        <f>HYPERLINK("https://www.airitibooks.com/Detail/Detail?PublicationID=P20181114047", "https://www.airitibooks.com/Detail/Detail?PublicationID=P20181114047")</f>
        <v>https://www.airitibooks.com/Detail/Detail?PublicationID=P20181114047</v>
      </c>
      <c r="K4115" s="13" t="str">
        <f>HYPERLINK("https://ntsu.idm.oclc.org/login?url=https://www.airitibooks.com/Detail/Detail?PublicationID=P20181114047", "https://ntsu.idm.oclc.org/login?url=https://www.airitibooks.com/Detail/Detail?PublicationID=P20181114047")</f>
        <v>https://ntsu.idm.oclc.org/login?url=https://www.airitibooks.com/Detail/Detail?PublicationID=P20181114047</v>
      </c>
    </row>
    <row r="4116" spans="1:11" ht="51" x14ac:dyDescent="0.4">
      <c r="A4116" s="10" t="s">
        <v>10069</v>
      </c>
      <c r="B4116" s="10" t="s">
        <v>10070</v>
      </c>
      <c r="C4116" s="10" t="s">
        <v>9828</v>
      </c>
      <c r="D4116" s="10" t="s">
        <v>10071</v>
      </c>
      <c r="E4116" s="10" t="s">
        <v>30</v>
      </c>
      <c r="F4116" s="10" t="s">
        <v>4739</v>
      </c>
      <c r="G4116" s="10" t="s">
        <v>37</v>
      </c>
      <c r="H4116" s="7" t="s">
        <v>1031</v>
      </c>
      <c r="I4116" s="7" t="s">
        <v>25</v>
      </c>
      <c r="J4116" s="13" t="str">
        <f>HYPERLINK("https://www.airitibooks.com/Detail/Detail?PublicationID=P20181114050", "https://www.airitibooks.com/Detail/Detail?PublicationID=P20181114050")</f>
        <v>https://www.airitibooks.com/Detail/Detail?PublicationID=P20181114050</v>
      </c>
      <c r="K4116" s="13" t="str">
        <f>HYPERLINK("https://ntsu.idm.oclc.org/login?url=https://www.airitibooks.com/Detail/Detail?PublicationID=P20181114050", "https://ntsu.idm.oclc.org/login?url=https://www.airitibooks.com/Detail/Detail?PublicationID=P20181114050")</f>
        <v>https://ntsu.idm.oclc.org/login?url=https://www.airitibooks.com/Detail/Detail?PublicationID=P20181114050</v>
      </c>
    </row>
    <row r="4117" spans="1:11" ht="51" x14ac:dyDescent="0.4">
      <c r="A4117" s="10" t="s">
        <v>10072</v>
      </c>
      <c r="B4117" s="10" t="s">
        <v>10073</v>
      </c>
      <c r="C4117" s="10" t="s">
        <v>9828</v>
      </c>
      <c r="D4117" s="10" t="s">
        <v>10074</v>
      </c>
      <c r="E4117" s="10" t="s">
        <v>30</v>
      </c>
      <c r="F4117" s="10" t="s">
        <v>4739</v>
      </c>
      <c r="G4117" s="10" t="s">
        <v>37</v>
      </c>
      <c r="H4117" s="7" t="s">
        <v>1031</v>
      </c>
      <c r="I4117" s="7" t="s">
        <v>25</v>
      </c>
      <c r="J4117" s="13" t="str">
        <f>HYPERLINK("https://www.airitibooks.com/Detail/Detail?PublicationID=P20181114051", "https://www.airitibooks.com/Detail/Detail?PublicationID=P20181114051")</f>
        <v>https://www.airitibooks.com/Detail/Detail?PublicationID=P20181114051</v>
      </c>
      <c r="K4117" s="13" t="str">
        <f>HYPERLINK("https://ntsu.idm.oclc.org/login?url=https://www.airitibooks.com/Detail/Detail?PublicationID=P20181114051", "https://ntsu.idm.oclc.org/login?url=https://www.airitibooks.com/Detail/Detail?PublicationID=P20181114051")</f>
        <v>https://ntsu.idm.oclc.org/login?url=https://www.airitibooks.com/Detail/Detail?PublicationID=P20181114051</v>
      </c>
    </row>
    <row r="4118" spans="1:11" ht="51" x14ac:dyDescent="0.4">
      <c r="A4118" s="10" t="s">
        <v>10075</v>
      </c>
      <c r="B4118" s="10" t="s">
        <v>10076</v>
      </c>
      <c r="C4118" s="10" t="s">
        <v>9828</v>
      </c>
      <c r="D4118" s="10" t="s">
        <v>10077</v>
      </c>
      <c r="E4118" s="10" t="s">
        <v>30</v>
      </c>
      <c r="F4118" s="10" t="s">
        <v>4739</v>
      </c>
      <c r="G4118" s="10" t="s">
        <v>37</v>
      </c>
      <c r="H4118" s="7" t="s">
        <v>1031</v>
      </c>
      <c r="I4118" s="7" t="s">
        <v>25</v>
      </c>
      <c r="J4118" s="13" t="str">
        <f>HYPERLINK("https://www.airitibooks.com/Detail/Detail?PublicationID=P20181114052", "https://www.airitibooks.com/Detail/Detail?PublicationID=P20181114052")</f>
        <v>https://www.airitibooks.com/Detail/Detail?PublicationID=P20181114052</v>
      </c>
      <c r="K4118" s="13" t="str">
        <f>HYPERLINK("https://ntsu.idm.oclc.org/login?url=https://www.airitibooks.com/Detail/Detail?PublicationID=P20181114052", "https://ntsu.idm.oclc.org/login?url=https://www.airitibooks.com/Detail/Detail?PublicationID=P20181114052")</f>
        <v>https://ntsu.idm.oclc.org/login?url=https://www.airitibooks.com/Detail/Detail?PublicationID=P20181114052</v>
      </c>
    </row>
    <row r="4119" spans="1:11" ht="51" x14ac:dyDescent="0.4">
      <c r="A4119" s="10" t="s">
        <v>10078</v>
      </c>
      <c r="B4119" s="10" t="s">
        <v>10079</v>
      </c>
      <c r="C4119" s="10" t="s">
        <v>9828</v>
      </c>
      <c r="D4119" s="10" t="s">
        <v>10080</v>
      </c>
      <c r="E4119" s="10" t="s">
        <v>30</v>
      </c>
      <c r="F4119" s="10" t="s">
        <v>4739</v>
      </c>
      <c r="G4119" s="10" t="s">
        <v>37</v>
      </c>
      <c r="H4119" s="7" t="s">
        <v>1031</v>
      </c>
      <c r="I4119" s="7" t="s">
        <v>25</v>
      </c>
      <c r="J4119" s="13" t="str">
        <f>HYPERLINK("https://www.airitibooks.com/Detail/Detail?PublicationID=P20181114053", "https://www.airitibooks.com/Detail/Detail?PublicationID=P20181114053")</f>
        <v>https://www.airitibooks.com/Detail/Detail?PublicationID=P20181114053</v>
      </c>
      <c r="K4119" s="13" t="str">
        <f>HYPERLINK("https://ntsu.idm.oclc.org/login?url=https://www.airitibooks.com/Detail/Detail?PublicationID=P20181114053", "https://ntsu.idm.oclc.org/login?url=https://www.airitibooks.com/Detail/Detail?PublicationID=P20181114053")</f>
        <v>https://ntsu.idm.oclc.org/login?url=https://www.airitibooks.com/Detail/Detail?PublicationID=P20181114053</v>
      </c>
    </row>
    <row r="4120" spans="1:11" ht="51" x14ac:dyDescent="0.4">
      <c r="A4120" s="10" t="s">
        <v>10081</v>
      </c>
      <c r="B4120" s="10" t="s">
        <v>10082</v>
      </c>
      <c r="C4120" s="10" t="s">
        <v>9828</v>
      </c>
      <c r="D4120" s="10" t="s">
        <v>10083</v>
      </c>
      <c r="E4120" s="10" t="s">
        <v>30</v>
      </c>
      <c r="F4120" s="10" t="s">
        <v>4739</v>
      </c>
      <c r="G4120" s="10" t="s">
        <v>37</v>
      </c>
      <c r="H4120" s="7" t="s">
        <v>1031</v>
      </c>
      <c r="I4120" s="7" t="s">
        <v>25</v>
      </c>
      <c r="J4120" s="13" t="str">
        <f>HYPERLINK("https://www.airitibooks.com/Detail/Detail?PublicationID=P20181114054", "https://www.airitibooks.com/Detail/Detail?PublicationID=P20181114054")</f>
        <v>https://www.airitibooks.com/Detail/Detail?PublicationID=P20181114054</v>
      </c>
      <c r="K4120" s="13" t="str">
        <f>HYPERLINK("https://ntsu.idm.oclc.org/login?url=https://www.airitibooks.com/Detail/Detail?PublicationID=P20181114054", "https://ntsu.idm.oclc.org/login?url=https://www.airitibooks.com/Detail/Detail?PublicationID=P20181114054")</f>
        <v>https://ntsu.idm.oclc.org/login?url=https://www.airitibooks.com/Detail/Detail?PublicationID=P20181114054</v>
      </c>
    </row>
    <row r="4121" spans="1:11" ht="51" x14ac:dyDescent="0.4">
      <c r="A4121" s="10" t="s">
        <v>10084</v>
      </c>
      <c r="B4121" s="10" t="s">
        <v>10085</v>
      </c>
      <c r="C4121" s="10" t="s">
        <v>9828</v>
      </c>
      <c r="D4121" s="10" t="s">
        <v>10086</v>
      </c>
      <c r="E4121" s="10" t="s">
        <v>30</v>
      </c>
      <c r="F4121" s="10" t="s">
        <v>4739</v>
      </c>
      <c r="G4121" s="10" t="s">
        <v>37</v>
      </c>
      <c r="H4121" s="7" t="s">
        <v>1031</v>
      </c>
      <c r="I4121" s="7" t="s">
        <v>25</v>
      </c>
      <c r="J4121" s="13" t="str">
        <f>HYPERLINK("https://www.airitibooks.com/Detail/Detail?PublicationID=P20181114055", "https://www.airitibooks.com/Detail/Detail?PublicationID=P20181114055")</f>
        <v>https://www.airitibooks.com/Detail/Detail?PublicationID=P20181114055</v>
      </c>
      <c r="K4121" s="13" t="str">
        <f>HYPERLINK("https://ntsu.idm.oclc.org/login?url=https://www.airitibooks.com/Detail/Detail?PublicationID=P20181114055", "https://ntsu.idm.oclc.org/login?url=https://www.airitibooks.com/Detail/Detail?PublicationID=P20181114055")</f>
        <v>https://ntsu.idm.oclc.org/login?url=https://www.airitibooks.com/Detail/Detail?PublicationID=P20181114055</v>
      </c>
    </row>
    <row r="4122" spans="1:11" ht="51" x14ac:dyDescent="0.4">
      <c r="A4122" s="10" t="s">
        <v>10851</v>
      </c>
      <c r="B4122" s="10" t="s">
        <v>10852</v>
      </c>
      <c r="C4122" s="10" t="s">
        <v>462</v>
      </c>
      <c r="D4122" s="10" t="s">
        <v>10853</v>
      </c>
      <c r="E4122" s="10" t="s">
        <v>30</v>
      </c>
      <c r="F4122" s="10" t="s">
        <v>10854</v>
      </c>
      <c r="G4122" s="10" t="s">
        <v>37</v>
      </c>
      <c r="H4122" s="7" t="s">
        <v>24</v>
      </c>
      <c r="I4122" s="7" t="s">
        <v>25</v>
      </c>
      <c r="J4122" s="13" t="str">
        <f>HYPERLINK("https://www.airitibooks.com/Detail/Detail?PublicationID=P20190221025", "https://www.airitibooks.com/Detail/Detail?PublicationID=P20190221025")</f>
        <v>https://www.airitibooks.com/Detail/Detail?PublicationID=P20190221025</v>
      </c>
      <c r="K4122" s="13" t="str">
        <f>HYPERLINK("https://ntsu.idm.oclc.org/login?url=https://www.airitibooks.com/Detail/Detail?PublicationID=P20190221025", "https://ntsu.idm.oclc.org/login?url=https://www.airitibooks.com/Detail/Detail?PublicationID=P20190221025")</f>
        <v>https://ntsu.idm.oclc.org/login?url=https://www.airitibooks.com/Detail/Detail?PublicationID=P20190221025</v>
      </c>
    </row>
    <row r="4123" spans="1:11" ht="51" x14ac:dyDescent="0.4">
      <c r="A4123" s="10" t="s">
        <v>1201</v>
      </c>
      <c r="B4123" s="10" t="s">
        <v>1202</v>
      </c>
      <c r="C4123" s="10" t="s">
        <v>1203</v>
      </c>
      <c r="D4123" s="10" t="s">
        <v>1204</v>
      </c>
      <c r="E4123" s="10" t="s">
        <v>70</v>
      </c>
      <c r="F4123" s="10" t="s">
        <v>483</v>
      </c>
      <c r="G4123" s="10" t="s">
        <v>237</v>
      </c>
      <c r="H4123" s="7" t="s">
        <v>24</v>
      </c>
      <c r="I4123" s="7" t="s">
        <v>25</v>
      </c>
      <c r="J4123" s="13" t="str">
        <f>HYPERLINK("https://www.airitibooks.com/Detail/Detail?PublicationID=P20140418103", "https://www.airitibooks.com/Detail/Detail?PublicationID=P20140418103")</f>
        <v>https://www.airitibooks.com/Detail/Detail?PublicationID=P20140418103</v>
      </c>
      <c r="K4123" s="13" t="str">
        <f>HYPERLINK("https://ntsu.idm.oclc.org/login?url=https://www.airitibooks.com/Detail/Detail?PublicationID=P20140418103", "https://ntsu.idm.oclc.org/login?url=https://www.airitibooks.com/Detail/Detail?PublicationID=P20140418103")</f>
        <v>https://ntsu.idm.oclc.org/login?url=https://www.airitibooks.com/Detail/Detail?PublicationID=P20140418103</v>
      </c>
    </row>
    <row r="4124" spans="1:11" ht="68" x14ac:dyDescent="0.4">
      <c r="A4124" s="10" t="s">
        <v>1432</v>
      </c>
      <c r="B4124" s="10" t="s">
        <v>1433</v>
      </c>
      <c r="C4124" s="10" t="s">
        <v>613</v>
      </c>
      <c r="D4124" s="10" t="s">
        <v>1434</v>
      </c>
      <c r="E4124" s="10" t="s">
        <v>70</v>
      </c>
      <c r="F4124" s="10" t="s">
        <v>1435</v>
      </c>
      <c r="G4124" s="10" t="s">
        <v>237</v>
      </c>
      <c r="H4124" s="7" t="s">
        <v>24</v>
      </c>
      <c r="I4124" s="7" t="s">
        <v>25</v>
      </c>
      <c r="J4124" s="13" t="str">
        <f>HYPERLINK("https://www.airitibooks.com/Detail/Detail?PublicationID=P20140829010", "https://www.airitibooks.com/Detail/Detail?PublicationID=P20140829010")</f>
        <v>https://www.airitibooks.com/Detail/Detail?PublicationID=P20140829010</v>
      </c>
      <c r="K4124" s="13" t="str">
        <f>HYPERLINK("https://ntsu.idm.oclc.org/login?url=https://www.airitibooks.com/Detail/Detail?PublicationID=P20140829010", "https://ntsu.idm.oclc.org/login?url=https://www.airitibooks.com/Detail/Detail?PublicationID=P20140829010")</f>
        <v>https://ntsu.idm.oclc.org/login?url=https://www.airitibooks.com/Detail/Detail?PublicationID=P20140829010</v>
      </c>
    </row>
    <row r="4125" spans="1:11" ht="51" x14ac:dyDescent="0.4">
      <c r="A4125" s="10" t="s">
        <v>1478</v>
      </c>
      <c r="B4125" s="10" t="s">
        <v>1479</v>
      </c>
      <c r="C4125" s="10" t="s">
        <v>985</v>
      </c>
      <c r="D4125" s="10" t="s">
        <v>1480</v>
      </c>
      <c r="E4125" s="10" t="s">
        <v>70</v>
      </c>
      <c r="F4125" s="10" t="s">
        <v>1481</v>
      </c>
      <c r="G4125" s="10" t="s">
        <v>237</v>
      </c>
      <c r="H4125" s="7" t="s">
        <v>24</v>
      </c>
      <c r="I4125" s="7" t="s">
        <v>25</v>
      </c>
      <c r="J4125" s="13" t="str">
        <f>HYPERLINK("https://www.airitibooks.com/Detail/Detail?PublicationID=P20140919128", "https://www.airitibooks.com/Detail/Detail?PublicationID=P20140919128")</f>
        <v>https://www.airitibooks.com/Detail/Detail?PublicationID=P20140919128</v>
      </c>
      <c r="K4125" s="13" t="str">
        <f>HYPERLINK("https://ntsu.idm.oclc.org/login?url=https://www.airitibooks.com/Detail/Detail?PublicationID=P20140919128", "https://ntsu.idm.oclc.org/login?url=https://www.airitibooks.com/Detail/Detail?PublicationID=P20140919128")</f>
        <v>https://ntsu.idm.oclc.org/login?url=https://www.airitibooks.com/Detail/Detail?PublicationID=P20140919128</v>
      </c>
    </row>
    <row r="4126" spans="1:11" ht="51" x14ac:dyDescent="0.4">
      <c r="A4126" s="10" t="s">
        <v>1528</v>
      </c>
      <c r="B4126" s="10" t="s">
        <v>1529</v>
      </c>
      <c r="C4126" s="10" t="s">
        <v>1504</v>
      </c>
      <c r="D4126" s="10" t="s">
        <v>1530</v>
      </c>
      <c r="E4126" s="10" t="s">
        <v>70</v>
      </c>
      <c r="F4126" s="10" t="s">
        <v>1531</v>
      </c>
      <c r="G4126" s="10" t="s">
        <v>237</v>
      </c>
      <c r="H4126" s="7" t="s">
        <v>24</v>
      </c>
      <c r="I4126" s="7" t="s">
        <v>25</v>
      </c>
      <c r="J4126" s="13" t="str">
        <f>HYPERLINK("https://www.airitibooks.com/Detail/Detail?PublicationID=P20141017062", "https://www.airitibooks.com/Detail/Detail?PublicationID=P20141017062")</f>
        <v>https://www.airitibooks.com/Detail/Detail?PublicationID=P20141017062</v>
      </c>
      <c r="K4126" s="13" t="str">
        <f>HYPERLINK("https://ntsu.idm.oclc.org/login?url=https://www.airitibooks.com/Detail/Detail?PublicationID=P20141017062", "https://ntsu.idm.oclc.org/login?url=https://www.airitibooks.com/Detail/Detail?PublicationID=P20141017062")</f>
        <v>https://ntsu.idm.oclc.org/login?url=https://www.airitibooks.com/Detail/Detail?PublicationID=P20141017062</v>
      </c>
    </row>
    <row r="4127" spans="1:11" ht="51" x14ac:dyDescent="0.4">
      <c r="A4127" s="10" t="s">
        <v>1536</v>
      </c>
      <c r="B4127" s="10" t="s">
        <v>1537</v>
      </c>
      <c r="C4127" s="10" t="s">
        <v>1067</v>
      </c>
      <c r="D4127" s="10" t="s">
        <v>1538</v>
      </c>
      <c r="E4127" s="10" t="s">
        <v>70</v>
      </c>
      <c r="F4127" s="10" t="s">
        <v>1539</v>
      </c>
      <c r="G4127" s="10" t="s">
        <v>237</v>
      </c>
      <c r="H4127" s="7" t="s">
        <v>24</v>
      </c>
      <c r="I4127" s="7" t="s">
        <v>25</v>
      </c>
      <c r="J4127" s="13" t="str">
        <f>HYPERLINK("https://www.airitibooks.com/Detail/Detail?PublicationID=P20141027136", "https://www.airitibooks.com/Detail/Detail?PublicationID=P20141027136")</f>
        <v>https://www.airitibooks.com/Detail/Detail?PublicationID=P20141027136</v>
      </c>
      <c r="K4127" s="13" t="str">
        <f>HYPERLINK("https://ntsu.idm.oclc.org/login?url=https://www.airitibooks.com/Detail/Detail?PublicationID=P20141027136", "https://ntsu.idm.oclc.org/login?url=https://www.airitibooks.com/Detail/Detail?PublicationID=P20141027136")</f>
        <v>https://ntsu.idm.oclc.org/login?url=https://www.airitibooks.com/Detail/Detail?PublicationID=P20141027136</v>
      </c>
    </row>
    <row r="4128" spans="1:11" ht="51" x14ac:dyDescent="0.4">
      <c r="A4128" s="10" t="s">
        <v>1572</v>
      </c>
      <c r="B4128" s="10" t="s">
        <v>1573</v>
      </c>
      <c r="C4128" s="10" t="s">
        <v>1574</v>
      </c>
      <c r="D4128" s="10" t="s">
        <v>1575</v>
      </c>
      <c r="E4128" s="10" t="s">
        <v>70</v>
      </c>
      <c r="F4128" s="10" t="s">
        <v>982</v>
      </c>
      <c r="G4128" s="10" t="s">
        <v>237</v>
      </c>
      <c r="H4128" s="7" t="s">
        <v>24</v>
      </c>
      <c r="I4128" s="7" t="s">
        <v>25</v>
      </c>
      <c r="J4128" s="13" t="str">
        <f>HYPERLINK("https://www.airitibooks.com/Detail/Detail?PublicationID=P20141027159", "https://www.airitibooks.com/Detail/Detail?PublicationID=P20141027159")</f>
        <v>https://www.airitibooks.com/Detail/Detail?PublicationID=P20141027159</v>
      </c>
      <c r="K4128" s="13" t="str">
        <f>HYPERLINK("https://ntsu.idm.oclc.org/login?url=https://www.airitibooks.com/Detail/Detail?PublicationID=P20141027159", "https://ntsu.idm.oclc.org/login?url=https://www.airitibooks.com/Detail/Detail?PublicationID=P20141027159")</f>
        <v>https://ntsu.idm.oclc.org/login?url=https://www.airitibooks.com/Detail/Detail?PublicationID=P20141027159</v>
      </c>
    </row>
    <row r="4129" spans="1:11" ht="68" x14ac:dyDescent="0.4">
      <c r="A4129" s="10" t="s">
        <v>1576</v>
      </c>
      <c r="B4129" s="10" t="s">
        <v>1577</v>
      </c>
      <c r="C4129" s="10" t="s">
        <v>1574</v>
      </c>
      <c r="D4129" s="10" t="s">
        <v>1578</v>
      </c>
      <c r="E4129" s="10" t="s">
        <v>70</v>
      </c>
      <c r="F4129" s="10" t="s">
        <v>982</v>
      </c>
      <c r="G4129" s="10" t="s">
        <v>237</v>
      </c>
      <c r="H4129" s="7" t="s">
        <v>24</v>
      </c>
      <c r="I4129" s="7" t="s">
        <v>25</v>
      </c>
      <c r="J4129" s="13" t="str">
        <f>HYPERLINK("https://www.airitibooks.com/Detail/Detail?PublicationID=P20141027160", "https://www.airitibooks.com/Detail/Detail?PublicationID=P20141027160")</f>
        <v>https://www.airitibooks.com/Detail/Detail?PublicationID=P20141027160</v>
      </c>
      <c r="K4129" s="13" t="str">
        <f>HYPERLINK("https://ntsu.idm.oclc.org/login?url=https://www.airitibooks.com/Detail/Detail?PublicationID=P20141027160", "https://ntsu.idm.oclc.org/login?url=https://www.airitibooks.com/Detail/Detail?PublicationID=P20141027160")</f>
        <v>https://ntsu.idm.oclc.org/login?url=https://www.airitibooks.com/Detail/Detail?PublicationID=P20141027160</v>
      </c>
    </row>
    <row r="4130" spans="1:11" ht="51" x14ac:dyDescent="0.4">
      <c r="A4130" s="10" t="s">
        <v>1579</v>
      </c>
      <c r="B4130" s="10" t="s">
        <v>1580</v>
      </c>
      <c r="C4130" s="10" t="s">
        <v>1574</v>
      </c>
      <c r="D4130" s="10" t="s">
        <v>1575</v>
      </c>
      <c r="E4130" s="10" t="s">
        <v>70</v>
      </c>
      <c r="F4130" s="10" t="s">
        <v>982</v>
      </c>
      <c r="G4130" s="10" t="s">
        <v>237</v>
      </c>
      <c r="H4130" s="7" t="s">
        <v>24</v>
      </c>
      <c r="I4130" s="7" t="s">
        <v>25</v>
      </c>
      <c r="J4130" s="13" t="str">
        <f>HYPERLINK("https://www.airitibooks.com/Detail/Detail?PublicationID=P20141027161", "https://www.airitibooks.com/Detail/Detail?PublicationID=P20141027161")</f>
        <v>https://www.airitibooks.com/Detail/Detail?PublicationID=P20141027161</v>
      </c>
      <c r="K4130" s="13" t="str">
        <f>HYPERLINK("https://ntsu.idm.oclc.org/login?url=https://www.airitibooks.com/Detail/Detail?PublicationID=P20141027161", "https://ntsu.idm.oclc.org/login?url=https://www.airitibooks.com/Detail/Detail?PublicationID=P20141027161")</f>
        <v>https://ntsu.idm.oclc.org/login?url=https://www.airitibooks.com/Detail/Detail?PublicationID=P20141027161</v>
      </c>
    </row>
    <row r="4131" spans="1:11" ht="51" x14ac:dyDescent="0.4">
      <c r="A4131" s="10" t="s">
        <v>1581</v>
      </c>
      <c r="B4131" s="10" t="s">
        <v>1582</v>
      </c>
      <c r="C4131" s="10" t="s">
        <v>1574</v>
      </c>
      <c r="D4131" s="10" t="s">
        <v>1575</v>
      </c>
      <c r="E4131" s="10" t="s">
        <v>70</v>
      </c>
      <c r="F4131" s="10" t="s">
        <v>982</v>
      </c>
      <c r="G4131" s="10" t="s">
        <v>237</v>
      </c>
      <c r="H4131" s="7" t="s">
        <v>24</v>
      </c>
      <c r="I4131" s="7" t="s">
        <v>25</v>
      </c>
      <c r="J4131" s="13" t="str">
        <f>HYPERLINK("https://www.airitibooks.com/Detail/Detail?PublicationID=P20141027165", "https://www.airitibooks.com/Detail/Detail?PublicationID=P20141027165")</f>
        <v>https://www.airitibooks.com/Detail/Detail?PublicationID=P20141027165</v>
      </c>
      <c r="K4131" s="13" t="str">
        <f>HYPERLINK("https://ntsu.idm.oclc.org/login?url=https://www.airitibooks.com/Detail/Detail?PublicationID=P20141027165", "https://ntsu.idm.oclc.org/login?url=https://www.airitibooks.com/Detail/Detail?PublicationID=P20141027165")</f>
        <v>https://ntsu.idm.oclc.org/login?url=https://www.airitibooks.com/Detail/Detail?PublicationID=P20141027165</v>
      </c>
    </row>
    <row r="4132" spans="1:11" ht="51" x14ac:dyDescent="0.4">
      <c r="A4132" s="10" t="s">
        <v>1583</v>
      </c>
      <c r="B4132" s="10" t="s">
        <v>1584</v>
      </c>
      <c r="C4132" s="10" t="s">
        <v>1574</v>
      </c>
      <c r="D4132" s="10" t="s">
        <v>1575</v>
      </c>
      <c r="E4132" s="10" t="s">
        <v>70</v>
      </c>
      <c r="F4132" s="10" t="s">
        <v>982</v>
      </c>
      <c r="G4132" s="10" t="s">
        <v>237</v>
      </c>
      <c r="H4132" s="7" t="s">
        <v>24</v>
      </c>
      <c r="I4132" s="7" t="s">
        <v>25</v>
      </c>
      <c r="J4132" s="13" t="str">
        <f>HYPERLINK("https://www.airitibooks.com/Detail/Detail?PublicationID=P20141027166", "https://www.airitibooks.com/Detail/Detail?PublicationID=P20141027166")</f>
        <v>https://www.airitibooks.com/Detail/Detail?PublicationID=P20141027166</v>
      </c>
      <c r="K4132" s="13" t="str">
        <f>HYPERLINK("https://ntsu.idm.oclc.org/login?url=https://www.airitibooks.com/Detail/Detail?PublicationID=P20141027166", "https://ntsu.idm.oclc.org/login?url=https://www.airitibooks.com/Detail/Detail?PublicationID=P20141027166")</f>
        <v>https://ntsu.idm.oclc.org/login?url=https://www.airitibooks.com/Detail/Detail?PublicationID=P20141027166</v>
      </c>
    </row>
    <row r="4133" spans="1:11" ht="51" x14ac:dyDescent="0.4">
      <c r="A4133" s="10" t="s">
        <v>1623</v>
      </c>
      <c r="B4133" s="10" t="s">
        <v>1624</v>
      </c>
      <c r="C4133" s="10" t="s">
        <v>1203</v>
      </c>
      <c r="D4133" s="10" t="s">
        <v>1625</v>
      </c>
      <c r="E4133" s="10" t="s">
        <v>70</v>
      </c>
      <c r="F4133" s="10" t="s">
        <v>483</v>
      </c>
      <c r="G4133" s="10" t="s">
        <v>237</v>
      </c>
      <c r="H4133" s="7" t="s">
        <v>24</v>
      </c>
      <c r="I4133" s="7" t="s">
        <v>25</v>
      </c>
      <c r="J4133" s="13" t="str">
        <f>HYPERLINK("https://www.airitibooks.com/Detail/Detail?PublicationID=P20141027201", "https://www.airitibooks.com/Detail/Detail?PublicationID=P20141027201")</f>
        <v>https://www.airitibooks.com/Detail/Detail?PublicationID=P20141027201</v>
      </c>
      <c r="K4133" s="13" t="str">
        <f>HYPERLINK("https://ntsu.idm.oclc.org/login?url=https://www.airitibooks.com/Detail/Detail?PublicationID=P20141027201", "https://ntsu.idm.oclc.org/login?url=https://www.airitibooks.com/Detail/Detail?PublicationID=P20141027201")</f>
        <v>https://ntsu.idm.oclc.org/login?url=https://www.airitibooks.com/Detail/Detail?PublicationID=P20141027201</v>
      </c>
    </row>
    <row r="4134" spans="1:11" ht="51" x14ac:dyDescent="0.4">
      <c r="A4134" s="10" t="s">
        <v>1676</v>
      </c>
      <c r="B4134" s="10" t="s">
        <v>1677</v>
      </c>
      <c r="C4134" s="10" t="s">
        <v>1271</v>
      </c>
      <c r="D4134" s="10" t="s">
        <v>1678</v>
      </c>
      <c r="E4134" s="10" t="s">
        <v>70</v>
      </c>
      <c r="F4134" s="10" t="s">
        <v>1679</v>
      </c>
      <c r="G4134" s="10" t="s">
        <v>237</v>
      </c>
      <c r="H4134" s="7" t="s">
        <v>24</v>
      </c>
      <c r="I4134" s="7" t="s">
        <v>25</v>
      </c>
      <c r="J4134" s="13" t="str">
        <f>HYPERLINK("https://www.airitibooks.com/Detail/Detail?PublicationID=P20141112005", "https://www.airitibooks.com/Detail/Detail?PublicationID=P20141112005")</f>
        <v>https://www.airitibooks.com/Detail/Detail?PublicationID=P20141112005</v>
      </c>
      <c r="K4134" s="13" t="str">
        <f>HYPERLINK("https://ntsu.idm.oclc.org/login?url=https://www.airitibooks.com/Detail/Detail?PublicationID=P20141112005", "https://ntsu.idm.oclc.org/login?url=https://www.airitibooks.com/Detail/Detail?PublicationID=P20141112005")</f>
        <v>https://ntsu.idm.oclc.org/login?url=https://www.airitibooks.com/Detail/Detail?PublicationID=P20141112005</v>
      </c>
    </row>
    <row r="4135" spans="1:11" ht="68" x14ac:dyDescent="0.4">
      <c r="A4135" s="10" t="s">
        <v>1680</v>
      </c>
      <c r="B4135" s="10" t="s">
        <v>1681</v>
      </c>
      <c r="C4135" s="10" t="s">
        <v>1271</v>
      </c>
      <c r="D4135" s="10" t="s">
        <v>1682</v>
      </c>
      <c r="E4135" s="10" t="s">
        <v>70</v>
      </c>
      <c r="F4135" s="10" t="s">
        <v>1683</v>
      </c>
      <c r="G4135" s="10" t="s">
        <v>237</v>
      </c>
      <c r="H4135" s="7" t="s">
        <v>24</v>
      </c>
      <c r="I4135" s="7" t="s">
        <v>25</v>
      </c>
      <c r="J4135" s="13" t="str">
        <f>HYPERLINK("https://www.airitibooks.com/Detail/Detail?PublicationID=P20141112007", "https://www.airitibooks.com/Detail/Detail?PublicationID=P20141112007")</f>
        <v>https://www.airitibooks.com/Detail/Detail?PublicationID=P20141112007</v>
      </c>
      <c r="K4135" s="13" t="str">
        <f>HYPERLINK("https://ntsu.idm.oclc.org/login?url=https://www.airitibooks.com/Detail/Detail?PublicationID=P20141112007", "https://ntsu.idm.oclc.org/login?url=https://www.airitibooks.com/Detail/Detail?PublicationID=P20141112007")</f>
        <v>https://ntsu.idm.oclc.org/login?url=https://www.airitibooks.com/Detail/Detail?PublicationID=P20141112007</v>
      </c>
    </row>
    <row r="4136" spans="1:11" ht="51" x14ac:dyDescent="0.4">
      <c r="A4136" s="10" t="s">
        <v>1716</v>
      </c>
      <c r="B4136" s="10" t="s">
        <v>1717</v>
      </c>
      <c r="C4136" s="10" t="s">
        <v>838</v>
      </c>
      <c r="D4136" s="10" t="s">
        <v>1718</v>
      </c>
      <c r="E4136" s="10" t="s">
        <v>70</v>
      </c>
      <c r="F4136" s="10" t="s">
        <v>1719</v>
      </c>
      <c r="G4136" s="10" t="s">
        <v>237</v>
      </c>
      <c r="H4136" s="7" t="s">
        <v>24</v>
      </c>
      <c r="I4136" s="7" t="s">
        <v>25</v>
      </c>
      <c r="J4136" s="13" t="str">
        <f>HYPERLINK("https://www.airitibooks.com/Detail/Detail?PublicationID=P20141205087", "https://www.airitibooks.com/Detail/Detail?PublicationID=P20141205087")</f>
        <v>https://www.airitibooks.com/Detail/Detail?PublicationID=P20141205087</v>
      </c>
      <c r="K4136" s="13" t="str">
        <f>HYPERLINK("https://ntsu.idm.oclc.org/login?url=https://www.airitibooks.com/Detail/Detail?PublicationID=P20141205087", "https://ntsu.idm.oclc.org/login?url=https://www.airitibooks.com/Detail/Detail?PublicationID=P20141205087")</f>
        <v>https://ntsu.idm.oclc.org/login?url=https://www.airitibooks.com/Detail/Detail?PublicationID=P20141205087</v>
      </c>
    </row>
    <row r="4137" spans="1:11" ht="51" x14ac:dyDescent="0.4">
      <c r="A4137" s="10" t="s">
        <v>1720</v>
      </c>
      <c r="B4137" s="10" t="s">
        <v>1721</v>
      </c>
      <c r="C4137" s="10" t="s">
        <v>1722</v>
      </c>
      <c r="D4137" s="10" t="s">
        <v>1723</v>
      </c>
      <c r="E4137" s="10" t="s">
        <v>70</v>
      </c>
      <c r="F4137" s="10" t="s">
        <v>1724</v>
      </c>
      <c r="G4137" s="10" t="s">
        <v>237</v>
      </c>
      <c r="H4137" s="7" t="s">
        <v>24</v>
      </c>
      <c r="I4137" s="7" t="s">
        <v>25</v>
      </c>
      <c r="J4137" s="13" t="str">
        <f>HYPERLINK("https://www.airitibooks.com/Detail/Detail?PublicationID=P20141205108", "https://www.airitibooks.com/Detail/Detail?PublicationID=P20141205108")</f>
        <v>https://www.airitibooks.com/Detail/Detail?PublicationID=P20141205108</v>
      </c>
      <c r="K4137" s="13" t="str">
        <f>HYPERLINK("https://ntsu.idm.oclc.org/login?url=https://www.airitibooks.com/Detail/Detail?PublicationID=P20141205108", "https://ntsu.idm.oclc.org/login?url=https://www.airitibooks.com/Detail/Detail?PublicationID=P20141205108")</f>
        <v>https://ntsu.idm.oclc.org/login?url=https://www.airitibooks.com/Detail/Detail?PublicationID=P20141205108</v>
      </c>
    </row>
    <row r="4138" spans="1:11" ht="51" x14ac:dyDescent="0.4">
      <c r="A4138" s="10" t="s">
        <v>1861</v>
      </c>
      <c r="B4138" s="10" t="s">
        <v>1862</v>
      </c>
      <c r="C4138" s="10" t="s">
        <v>544</v>
      </c>
      <c r="D4138" s="10" t="s">
        <v>1863</v>
      </c>
      <c r="E4138" s="10" t="s">
        <v>70</v>
      </c>
      <c r="F4138" s="10" t="s">
        <v>1864</v>
      </c>
      <c r="G4138" s="10" t="s">
        <v>237</v>
      </c>
      <c r="H4138" s="7" t="s">
        <v>24</v>
      </c>
      <c r="I4138" s="7" t="s">
        <v>25</v>
      </c>
      <c r="J4138" s="13" t="str">
        <f>HYPERLINK("https://www.airitibooks.com/Detail/Detail?PublicationID=P20150122033", "https://www.airitibooks.com/Detail/Detail?PublicationID=P20150122033")</f>
        <v>https://www.airitibooks.com/Detail/Detail?PublicationID=P20150122033</v>
      </c>
      <c r="K4138" s="13" t="str">
        <f>HYPERLINK("https://ntsu.idm.oclc.org/login?url=https://www.airitibooks.com/Detail/Detail?PublicationID=P20150122033", "https://ntsu.idm.oclc.org/login?url=https://www.airitibooks.com/Detail/Detail?PublicationID=P20150122033")</f>
        <v>https://ntsu.idm.oclc.org/login?url=https://www.airitibooks.com/Detail/Detail?PublicationID=P20150122033</v>
      </c>
    </row>
    <row r="4139" spans="1:11" ht="51" x14ac:dyDescent="0.4">
      <c r="A4139" s="10" t="s">
        <v>1934</v>
      </c>
      <c r="B4139" s="10" t="s">
        <v>1935</v>
      </c>
      <c r="C4139" s="10" t="s">
        <v>1936</v>
      </c>
      <c r="D4139" s="10" t="s">
        <v>1937</v>
      </c>
      <c r="E4139" s="10" t="s">
        <v>70</v>
      </c>
      <c r="F4139" s="10" t="s">
        <v>1539</v>
      </c>
      <c r="G4139" s="10" t="s">
        <v>237</v>
      </c>
      <c r="H4139" s="7" t="s">
        <v>24</v>
      </c>
      <c r="I4139" s="7" t="s">
        <v>25</v>
      </c>
      <c r="J4139" s="13" t="str">
        <f>HYPERLINK("https://www.airitibooks.com/Detail/Detail?PublicationID=P20150205074", "https://www.airitibooks.com/Detail/Detail?PublicationID=P20150205074")</f>
        <v>https://www.airitibooks.com/Detail/Detail?PublicationID=P20150205074</v>
      </c>
      <c r="K4139" s="13" t="str">
        <f>HYPERLINK("https://ntsu.idm.oclc.org/login?url=https://www.airitibooks.com/Detail/Detail?PublicationID=P20150205074", "https://ntsu.idm.oclc.org/login?url=https://www.airitibooks.com/Detail/Detail?PublicationID=P20150205074")</f>
        <v>https://ntsu.idm.oclc.org/login?url=https://www.airitibooks.com/Detail/Detail?PublicationID=P20150205074</v>
      </c>
    </row>
    <row r="4140" spans="1:11" ht="51" x14ac:dyDescent="0.4">
      <c r="A4140" s="10" t="s">
        <v>1980</v>
      </c>
      <c r="B4140" s="10" t="s">
        <v>1981</v>
      </c>
      <c r="C4140" s="10" t="s">
        <v>1982</v>
      </c>
      <c r="D4140" s="10" t="s">
        <v>1983</v>
      </c>
      <c r="E4140" s="10" t="s">
        <v>70</v>
      </c>
      <c r="F4140" s="10" t="s">
        <v>1435</v>
      </c>
      <c r="G4140" s="10" t="s">
        <v>237</v>
      </c>
      <c r="H4140" s="7" t="s">
        <v>24</v>
      </c>
      <c r="I4140" s="7" t="s">
        <v>25</v>
      </c>
      <c r="J4140" s="13" t="str">
        <f>HYPERLINK("https://www.airitibooks.com/Detail/Detail?PublicationID=P20150211008", "https://www.airitibooks.com/Detail/Detail?PublicationID=P20150211008")</f>
        <v>https://www.airitibooks.com/Detail/Detail?PublicationID=P20150211008</v>
      </c>
      <c r="K4140" s="13" t="str">
        <f>HYPERLINK("https://ntsu.idm.oclc.org/login?url=https://www.airitibooks.com/Detail/Detail?PublicationID=P20150211008", "https://ntsu.idm.oclc.org/login?url=https://www.airitibooks.com/Detail/Detail?PublicationID=P20150211008")</f>
        <v>https://ntsu.idm.oclc.org/login?url=https://www.airitibooks.com/Detail/Detail?PublicationID=P20150211008</v>
      </c>
    </row>
    <row r="4141" spans="1:11" ht="51" x14ac:dyDescent="0.4">
      <c r="A4141" s="10" t="s">
        <v>2281</v>
      </c>
      <c r="B4141" s="10" t="s">
        <v>2282</v>
      </c>
      <c r="C4141" s="10" t="s">
        <v>304</v>
      </c>
      <c r="D4141" s="10" t="s">
        <v>2283</v>
      </c>
      <c r="E4141" s="10" t="s">
        <v>70</v>
      </c>
      <c r="F4141" s="10" t="s">
        <v>2284</v>
      </c>
      <c r="G4141" s="10" t="s">
        <v>237</v>
      </c>
      <c r="H4141" s="7" t="s">
        <v>24</v>
      </c>
      <c r="I4141" s="7" t="s">
        <v>25</v>
      </c>
      <c r="J4141" s="13" t="str">
        <f>HYPERLINK("https://www.airitibooks.com/Detail/Detail?PublicationID=P20150323059", "https://www.airitibooks.com/Detail/Detail?PublicationID=P20150323059")</f>
        <v>https://www.airitibooks.com/Detail/Detail?PublicationID=P20150323059</v>
      </c>
      <c r="K4141" s="13" t="str">
        <f>HYPERLINK("https://ntsu.idm.oclc.org/login?url=https://www.airitibooks.com/Detail/Detail?PublicationID=P20150323059", "https://ntsu.idm.oclc.org/login?url=https://www.airitibooks.com/Detail/Detail?PublicationID=P20150323059")</f>
        <v>https://ntsu.idm.oclc.org/login?url=https://www.airitibooks.com/Detail/Detail?PublicationID=P20150323059</v>
      </c>
    </row>
    <row r="4142" spans="1:11" ht="51" x14ac:dyDescent="0.4">
      <c r="A4142" s="10" t="s">
        <v>2292</v>
      </c>
      <c r="B4142" s="10" t="s">
        <v>2293</v>
      </c>
      <c r="C4142" s="10" t="s">
        <v>304</v>
      </c>
      <c r="D4142" s="10" t="s">
        <v>353</v>
      </c>
      <c r="E4142" s="10" t="s">
        <v>70</v>
      </c>
      <c r="F4142" s="10" t="s">
        <v>354</v>
      </c>
      <c r="G4142" s="10" t="s">
        <v>237</v>
      </c>
      <c r="H4142" s="7" t="s">
        <v>24</v>
      </c>
      <c r="I4142" s="7" t="s">
        <v>25</v>
      </c>
      <c r="J4142" s="13" t="str">
        <f>HYPERLINK("https://www.airitibooks.com/Detail/Detail?PublicationID=P20150323063", "https://www.airitibooks.com/Detail/Detail?PublicationID=P20150323063")</f>
        <v>https://www.airitibooks.com/Detail/Detail?PublicationID=P20150323063</v>
      </c>
      <c r="K4142" s="13" t="str">
        <f>HYPERLINK("https://ntsu.idm.oclc.org/login?url=https://www.airitibooks.com/Detail/Detail?PublicationID=P20150323063", "https://ntsu.idm.oclc.org/login?url=https://www.airitibooks.com/Detail/Detail?PublicationID=P20150323063")</f>
        <v>https://ntsu.idm.oclc.org/login?url=https://www.airitibooks.com/Detail/Detail?PublicationID=P20150323063</v>
      </c>
    </row>
    <row r="4143" spans="1:11" ht="51" x14ac:dyDescent="0.4">
      <c r="A4143" s="10" t="s">
        <v>2326</v>
      </c>
      <c r="B4143" s="10" t="s">
        <v>2327</v>
      </c>
      <c r="C4143" s="10" t="s">
        <v>1982</v>
      </c>
      <c r="D4143" s="10" t="s">
        <v>2328</v>
      </c>
      <c r="E4143" s="10" t="s">
        <v>70</v>
      </c>
      <c r="F4143" s="10" t="s">
        <v>1435</v>
      </c>
      <c r="G4143" s="10" t="s">
        <v>237</v>
      </c>
      <c r="H4143" s="7" t="s">
        <v>24</v>
      </c>
      <c r="I4143" s="7" t="s">
        <v>25</v>
      </c>
      <c r="J4143" s="13" t="str">
        <f>HYPERLINK("https://www.airitibooks.com/Detail/Detail?PublicationID=P20150409033", "https://www.airitibooks.com/Detail/Detail?PublicationID=P20150409033")</f>
        <v>https://www.airitibooks.com/Detail/Detail?PublicationID=P20150409033</v>
      </c>
      <c r="K4143" s="13" t="str">
        <f>HYPERLINK("https://ntsu.idm.oclc.org/login?url=https://www.airitibooks.com/Detail/Detail?PublicationID=P20150409033", "https://ntsu.idm.oclc.org/login?url=https://www.airitibooks.com/Detail/Detail?PublicationID=P20150409033")</f>
        <v>https://ntsu.idm.oclc.org/login?url=https://www.airitibooks.com/Detail/Detail?PublicationID=P20150409033</v>
      </c>
    </row>
    <row r="4144" spans="1:11" ht="51" x14ac:dyDescent="0.4">
      <c r="A4144" s="10" t="s">
        <v>2351</v>
      </c>
      <c r="B4144" s="10" t="s">
        <v>2352</v>
      </c>
      <c r="C4144" s="10" t="s">
        <v>222</v>
      </c>
      <c r="D4144" s="10" t="s">
        <v>2353</v>
      </c>
      <c r="E4144" s="10" t="s">
        <v>70</v>
      </c>
      <c r="F4144" s="10" t="s">
        <v>2354</v>
      </c>
      <c r="G4144" s="10" t="s">
        <v>237</v>
      </c>
      <c r="H4144" s="7" t="s">
        <v>24</v>
      </c>
      <c r="I4144" s="7" t="s">
        <v>25</v>
      </c>
      <c r="J4144" s="13" t="str">
        <f>HYPERLINK("https://www.airitibooks.com/Detail/Detail?PublicationID=P20150414121", "https://www.airitibooks.com/Detail/Detail?PublicationID=P20150414121")</f>
        <v>https://www.airitibooks.com/Detail/Detail?PublicationID=P20150414121</v>
      </c>
      <c r="K4144" s="13" t="str">
        <f>HYPERLINK("https://ntsu.idm.oclc.org/login?url=https://www.airitibooks.com/Detail/Detail?PublicationID=P20150414121", "https://ntsu.idm.oclc.org/login?url=https://www.airitibooks.com/Detail/Detail?PublicationID=P20150414121")</f>
        <v>https://ntsu.idm.oclc.org/login?url=https://www.airitibooks.com/Detail/Detail?PublicationID=P20150414121</v>
      </c>
    </row>
    <row r="4145" spans="1:11" ht="51" x14ac:dyDescent="0.4">
      <c r="A4145" s="10" t="s">
        <v>2497</v>
      </c>
      <c r="B4145" s="10" t="s">
        <v>2498</v>
      </c>
      <c r="C4145" s="10" t="s">
        <v>613</v>
      </c>
      <c r="D4145" s="10" t="s">
        <v>2499</v>
      </c>
      <c r="E4145" s="10" t="s">
        <v>70</v>
      </c>
      <c r="F4145" s="10" t="s">
        <v>2500</v>
      </c>
      <c r="G4145" s="10" t="s">
        <v>237</v>
      </c>
      <c r="H4145" s="7" t="s">
        <v>24</v>
      </c>
      <c r="I4145" s="7" t="s">
        <v>25</v>
      </c>
      <c r="J4145" s="13" t="str">
        <f>HYPERLINK("https://www.airitibooks.com/Detail/Detail?PublicationID=P20150506425", "https://www.airitibooks.com/Detail/Detail?PublicationID=P20150506425")</f>
        <v>https://www.airitibooks.com/Detail/Detail?PublicationID=P20150506425</v>
      </c>
      <c r="K4145" s="13" t="str">
        <f>HYPERLINK("https://ntsu.idm.oclc.org/login?url=https://www.airitibooks.com/Detail/Detail?PublicationID=P20150506425", "https://ntsu.idm.oclc.org/login?url=https://www.airitibooks.com/Detail/Detail?PublicationID=P20150506425")</f>
        <v>https://ntsu.idm.oclc.org/login?url=https://www.airitibooks.com/Detail/Detail?PublicationID=P20150506425</v>
      </c>
    </row>
    <row r="4146" spans="1:11" ht="51" x14ac:dyDescent="0.4">
      <c r="A4146" s="10" t="s">
        <v>2682</v>
      </c>
      <c r="B4146" s="10" t="s">
        <v>2683</v>
      </c>
      <c r="C4146" s="10" t="s">
        <v>297</v>
      </c>
      <c r="D4146" s="10" t="s">
        <v>2684</v>
      </c>
      <c r="E4146" s="10" t="s">
        <v>70</v>
      </c>
      <c r="F4146" s="10" t="s">
        <v>483</v>
      </c>
      <c r="G4146" s="10" t="s">
        <v>237</v>
      </c>
      <c r="H4146" s="7" t="s">
        <v>24</v>
      </c>
      <c r="I4146" s="7" t="s">
        <v>25</v>
      </c>
      <c r="J4146" s="13" t="str">
        <f>HYPERLINK("https://www.airitibooks.com/Detail/Detail?PublicationID=P20150624005", "https://www.airitibooks.com/Detail/Detail?PublicationID=P20150624005")</f>
        <v>https://www.airitibooks.com/Detail/Detail?PublicationID=P20150624005</v>
      </c>
      <c r="K4146" s="13" t="str">
        <f>HYPERLINK("https://ntsu.idm.oclc.org/login?url=https://www.airitibooks.com/Detail/Detail?PublicationID=P20150624005", "https://ntsu.idm.oclc.org/login?url=https://www.airitibooks.com/Detail/Detail?PublicationID=P20150624005")</f>
        <v>https://ntsu.idm.oclc.org/login?url=https://www.airitibooks.com/Detail/Detail?PublicationID=P20150624005</v>
      </c>
    </row>
    <row r="4147" spans="1:11" ht="51" x14ac:dyDescent="0.4">
      <c r="A4147" s="10" t="s">
        <v>2695</v>
      </c>
      <c r="B4147" s="10" t="s">
        <v>2696</v>
      </c>
      <c r="C4147" s="10" t="s">
        <v>1203</v>
      </c>
      <c r="D4147" s="10" t="s">
        <v>2697</v>
      </c>
      <c r="E4147" s="10" t="s">
        <v>70</v>
      </c>
      <c r="F4147" s="10" t="s">
        <v>2698</v>
      </c>
      <c r="G4147" s="10" t="s">
        <v>237</v>
      </c>
      <c r="H4147" s="7" t="s">
        <v>24</v>
      </c>
      <c r="I4147" s="7" t="s">
        <v>25</v>
      </c>
      <c r="J4147" s="13" t="str">
        <f>HYPERLINK("https://www.airitibooks.com/Detail/Detail?PublicationID=P20150624010", "https://www.airitibooks.com/Detail/Detail?PublicationID=P20150624010")</f>
        <v>https://www.airitibooks.com/Detail/Detail?PublicationID=P20150624010</v>
      </c>
      <c r="K4147" s="13" t="str">
        <f>HYPERLINK("https://ntsu.idm.oclc.org/login?url=https://www.airitibooks.com/Detail/Detail?PublicationID=P20150624010", "https://ntsu.idm.oclc.org/login?url=https://www.airitibooks.com/Detail/Detail?PublicationID=P20150624010")</f>
        <v>https://ntsu.idm.oclc.org/login?url=https://www.airitibooks.com/Detail/Detail?PublicationID=P20150624010</v>
      </c>
    </row>
    <row r="4148" spans="1:11" ht="51" x14ac:dyDescent="0.4">
      <c r="A4148" s="10" t="s">
        <v>2900</v>
      </c>
      <c r="B4148" s="10" t="s">
        <v>2901</v>
      </c>
      <c r="C4148" s="10" t="s">
        <v>791</v>
      </c>
      <c r="D4148" s="10" t="s">
        <v>2902</v>
      </c>
      <c r="E4148" s="10" t="s">
        <v>70</v>
      </c>
      <c r="F4148" s="10" t="s">
        <v>2903</v>
      </c>
      <c r="G4148" s="10" t="s">
        <v>237</v>
      </c>
      <c r="H4148" s="7" t="s">
        <v>24</v>
      </c>
      <c r="I4148" s="7" t="s">
        <v>25</v>
      </c>
      <c r="J4148" s="13" t="str">
        <f>HYPERLINK("https://www.airitibooks.com/Detail/Detail?PublicationID=P20150709004", "https://www.airitibooks.com/Detail/Detail?PublicationID=P20150709004")</f>
        <v>https://www.airitibooks.com/Detail/Detail?PublicationID=P20150709004</v>
      </c>
      <c r="K4148" s="13" t="str">
        <f>HYPERLINK("https://ntsu.idm.oclc.org/login?url=https://www.airitibooks.com/Detail/Detail?PublicationID=P20150709004", "https://ntsu.idm.oclc.org/login?url=https://www.airitibooks.com/Detail/Detail?PublicationID=P20150709004")</f>
        <v>https://ntsu.idm.oclc.org/login?url=https://www.airitibooks.com/Detail/Detail?PublicationID=P20150709004</v>
      </c>
    </row>
    <row r="4149" spans="1:11" ht="51" x14ac:dyDescent="0.4">
      <c r="A4149" s="10" t="s">
        <v>2918</v>
      </c>
      <c r="B4149" s="10" t="s">
        <v>2919</v>
      </c>
      <c r="C4149" s="10" t="s">
        <v>2912</v>
      </c>
      <c r="D4149" s="10" t="s">
        <v>2920</v>
      </c>
      <c r="E4149" s="10" t="s">
        <v>70</v>
      </c>
      <c r="F4149" s="10" t="s">
        <v>2921</v>
      </c>
      <c r="G4149" s="10" t="s">
        <v>237</v>
      </c>
      <c r="H4149" s="7" t="s">
        <v>24</v>
      </c>
      <c r="I4149" s="7" t="s">
        <v>25</v>
      </c>
      <c r="J4149" s="13" t="str">
        <f>HYPERLINK("https://www.airitibooks.com/Detail/Detail?PublicationID=P20150709017", "https://www.airitibooks.com/Detail/Detail?PublicationID=P20150709017")</f>
        <v>https://www.airitibooks.com/Detail/Detail?PublicationID=P20150709017</v>
      </c>
      <c r="K4149" s="13" t="str">
        <f>HYPERLINK("https://ntsu.idm.oclc.org/login?url=https://www.airitibooks.com/Detail/Detail?PublicationID=P20150709017", "https://ntsu.idm.oclc.org/login?url=https://www.airitibooks.com/Detail/Detail?PublicationID=P20150709017")</f>
        <v>https://ntsu.idm.oclc.org/login?url=https://www.airitibooks.com/Detail/Detail?PublicationID=P20150709017</v>
      </c>
    </row>
    <row r="4150" spans="1:11" ht="51" x14ac:dyDescent="0.4">
      <c r="A4150" s="10" t="s">
        <v>3023</v>
      </c>
      <c r="B4150" s="10" t="s">
        <v>3024</v>
      </c>
      <c r="C4150" s="10" t="s">
        <v>3025</v>
      </c>
      <c r="D4150" s="10" t="s">
        <v>3026</v>
      </c>
      <c r="E4150" s="10" t="s">
        <v>70</v>
      </c>
      <c r="F4150" s="10" t="s">
        <v>3027</v>
      </c>
      <c r="G4150" s="10" t="s">
        <v>237</v>
      </c>
      <c r="H4150" s="7" t="s">
        <v>24</v>
      </c>
      <c r="I4150" s="7" t="s">
        <v>25</v>
      </c>
      <c r="J4150" s="13" t="str">
        <f>HYPERLINK("https://www.airitibooks.com/Detail/Detail?PublicationID=P20150812001", "https://www.airitibooks.com/Detail/Detail?PublicationID=P20150812001")</f>
        <v>https://www.airitibooks.com/Detail/Detail?PublicationID=P20150812001</v>
      </c>
      <c r="K4150" s="13" t="str">
        <f>HYPERLINK("https://ntsu.idm.oclc.org/login?url=https://www.airitibooks.com/Detail/Detail?PublicationID=P20150812001", "https://ntsu.idm.oclc.org/login?url=https://www.airitibooks.com/Detail/Detail?PublicationID=P20150812001")</f>
        <v>https://ntsu.idm.oclc.org/login?url=https://www.airitibooks.com/Detail/Detail?PublicationID=P20150812001</v>
      </c>
    </row>
    <row r="4151" spans="1:11" ht="51" x14ac:dyDescent="0.4">
      <c r="A4151" s="10" t="s">
        <v>3198</v>
      </c>
      <c r="B4151" s="10" t="s">
        <v>3199</v>
      </c>
      <c r="C4151" s="10" t="s">
        <v>791</v>
      </c>
      <c r="D4151" s="10" t="s">
        <v>3200</v>
      </c>
      <c r="E4151" s="10" t="s">
        <v>70</v>
      </c>
      <c r="F4151" s="10" t="s">
        <v>1539</v>
      </c>
      <c r="G4151" s="10" t="s">
        <v>237</v>
      </c>
      <c r="H4151" s="7" t="s">
        <v>24</v>
      </c>
      <c r="I4151" s="7" t="s">
        <v>25</v>
      </c>
      <c r="J4151" s="13" t="str">
        <f>HYPERLINK("https://www.airitibooks.com/Detail/Detail?PublicationID=P20150820192", "https://www.airitibooks.com/Detail/Detail?PublicationID=P20150820192")</f>
        <v>https://www.airitibooks.com/Detail/Detail?PublicationID=P20150820192</v>
      </c>
      <c r="K4151" s="13" t="str">
        <f>HYPERLINK("https://ntsu.idm.oclc.org/login?url=https://www.airitibooks.com/Detail/Detail?PublicationID=P20150820192", "https://ntsu.idm.oclc.org/login?url=https://www.airitibooks.com/Detail/Detail?PublicationID=P20150820192")</f>
        <v>https://ntsu.idm.oclc.org/login?url=https://www.airitibooks.com/Detail/Detail?PublicationID=P20150820192</v>
      </c>
    </row>
    <row r="4152" spans="1:11" ht="51" x14ac:dyDescent="0.4">
      <c r="A4152" s="10" t="s">
        <v>3203</v>
      </c>
      <c r="B4152" s="10" t="s">
        <v>3204</v>
      </c>
      <c r="C4152" s="10" t="s">
        <v>791</v>
      </c>
      <c r="D4152" s="10" t="s">
        <v>3205</v>
      </c>
      <c r="E4152" s="10" t="s">
        <v>70</v>
      </c>
      <c r="F4152" s="10" t="s">
        <v>1539</v>
      </c>
      <c r="G4152" s="10" t="s">
        <v>237</v>
      </c>
      <c r="H4152" s="7" t="s">
        <v>24</v>
      </c>
      <c r="I4152" s="7" t="s">
        <v>25</v>
      </c>
      <c r="J4152" s="13" t="str">
        <f>HYPERLINK("https://www.airitibooks.com/Detail/Detail?PublicationID=P20150820194", "https://www.airitibooks.com/Detail/Detail?PublicationID=P20150820194")</f>
        <v>https://www.airitibooks.com/Detail/Detail?PublicationID=P20150820194</v>
      </c>
      <c r="K4152" s="13" t="str">
        <f>HYPERLINK("https://ntsu.idm.oclc.org/login?url=https://www.airitibooks.com/Detail/Detail?PublicationID=P20150820194", "https://ntsu.idm.oclc.org/login?url=https://www.airitibooks.com/Detail/Detail?PublicationID=P20150820194")</f>
        <v>https://ntsu.idm.oclc.org/login?url=https://www.airitibooks.com/Detail/Detail?PublicationID=P20150820194</v>
      </c>
    </row>
    <row r="4153" spans="1:11" ht="51" x14ac:dyDescent="0.4">
      <c r="A4153" s="10" t="s">
        <v>3206</v>
      </c>
      <c r="B4153" s="10" t="s">
        <v>3207</v>
      </c>
      <c r="C4153" s="10" t="s">
        <v>3208</v>
      </c>
      <c r="D4153" s="10" t="s">
        <v>3209</v>
      </c>
      <c r="E4153" s="10" t="s">
        <v>70</v>
      </c>
      <c r="F4153" s="10" t="s">
        <v>3210</v>
      </c>
      <c r="G4153" s="10" t="s">
        <v>237</v>
      </c>
      <c r="H4153" s="7" t="s">
        <v>24</v>
      </c>
      <c r="I4153" s="7" t="s">
        <v>25</v>
      </c>
      <c r="J4153" s="13" t="str">
        <f>HYPERLINK("https://www.airitibooks.com/Detail/Detail?PublicationID=P20150820202", "https://www.airitibooks.com/Detail/Detail?PublicationID=P20150820202")</f>
        <v>https://www.airitibooks.com/Detail/Detail?PublicationID=P20150820202</v>
      </c>
      <c r="K4153" s="13" t="str">
        <f>HYPERLINK("https://ntsu.idm.oclc.org/login?url=https://www.airitibooks.com/Detail/Detail?PublicationID=P20150820202", "https://ntsu.idm.oclc.org/login?url=https://www.airitibooks.com/Detail/Detail?PublicationID=P20150820202")</f>
        <v>https://ntsu.idm.oclc.org/login?url=https://www.airitibooks.com/Detail/Detail?PublicationID=P20150820202</v>
      </c>
    </row>
    <row r="4154" spans="1:11" ht="51" x14ac:dyDescent="0.4">
      <c r="A4154" s="10" t="s">
        <v>3387</v>
      </c>
      <c r="B4154" s="10" t="s">
        <v>3388</v>
      </c>
      <c r="C4154" s="10" t="s">
        <v>147</v>
      </c>
      <c r="D4154" s="10" t="s">
        <v>3389</v>
      </c>
      <c r="E4154" s="10" t="s">
        <v>70</v>
      </c>
      <c r="F4154" s="10" t="s">
        <v>483</v>
      </c>
      <c r="G4154" s="10" t="s">
        <v>237</v>
      </c>
      <c r="H4154" s="7" t="s">
        <v>24</v>
      </c>
      <c r="I4154" s="7" t="s">
        <v>25</v>
      </c>
      <c r="J4154" s="13" t="str">
        <f>HYPERLINK("https://www.airitibooks.com/Detail/Detail?PublicationID=P20150915070", "https://www.airitibooks.com/Detail/Detail?PublicationID=P20150915070")</f>
        <v>https://www.airitibooks.com/Detail/Detail?PublicationID=P20150915070</v>
      </c>
      <c r="K4154" s="13" t="str">
        <f>HYPERLINK("https://ntsu.idm.oclc.org/login?url=https://www.airitibooks.com/Detail/Detail?PublicationID=P20150915070", "https://ntsu.idm.oclc.org/login?url=https://www.airitibooks.com/Detail/Detail?PublicationID=P20150915070")</f>
        <v>https://ntsu.idm.oclc.org/login?url=https://www.airitibooks.com/Detail/Detail?PublicationID=P20150915070</v>
      </c>
    </row>
    <row r="4155" spans="1:11" ht="51" x14ac:dyDescent="0.4">
      <c r="A4155" s="10" t="s">
        <v>3703</v>
      </c>
      <c r="B4155" s="10" t="s">
        <v>3704</v>
      </c>
      <c r="C4155" s="10" t="s">
        <v>3705</v>
      </c>
      <c r="D4155" s="10" t="s">
        <v>3706</v>
      </c>
      <c r="E4155" s="10" t="s">
        <v>70</v>
      </c>
      <c r="F4155" s="10" t="s">
        <v>3707</v>
      </c>
      <c r="G4155" s="10" t="s">
        <v>237</v>
      </c>
      <c r="H4155" s="7" t="s">
        <v>24</v>
      </c>
      <c r="I4155" s="7" t="s">
        <v>25</v>
      </c>
      <c r="J4155" s="13" t="str">
        <f>HYPERLINK("https://www.airitibooks.com/Detail/Detail?PublicationID=P20151013016", "https://www.airitibooks.com/Detail/Detail?PublicationID=P20151013016")</f>
        <v>https://www.airitibooks.com/Detail/Detail?PublicationID=P20151013016</v>
      </c>
      <c r="K4155" s="13" t="str">
        <f>HYPERLINK("https://ntsu.idm.oclc.org/login?url=https://www.airitibooks.com/Detail/Detail?PublicationID=P20151013016", "https://ntsu.idm.oclc.org/login?url=https://www.airitibooks.com/Detail/Detail?PublicationID=P20151013016")</f>
        <v>https://ntsu.idm.oclc.org/login?url=https://www.airitibooks.com/Detail/Detail?PublicationID=P20151013016</v>
      </c>
    </row>
    <row r="4156" spans="1:11" ht="51" x14ac:dyDescent="0.4">
      <c r="A4156" s="10" t="s">
        <v>5180</v>
      </c>
      <c r="B4156" s="10" t="s">
        <v>5181</v>
      </c>
      <c r="C4156" s="10" t="s">
        <v>1020</v>
      </c>
      <c r="D4156" s="10" t="s">
        <v>5182</v>
      </c>
      <c r="E4156" s="10" t="s">
        <v>70</v>
      </c>
      <c r="F4156" s="10" t="s">
        <v>5183</v>
      </c>
      <c r="G4156" s="10" t="s">
        <v>237</v>
      </c>
      <c r="H4156" s="7" t="s">
        <v>24</v>
      </c>
      <c r="I4156" s="7" t="s">
        <v>25</v>
      </c>
      <c r="J4156" s="13" t="str">
        <f>HYPERLINK("https://www.airitibooks.com/Detail/Detail?PublicationID=P20160815001", "https://www.airitibooks.com/Detail/Detail?PublicationID=P20160815001")</f>
        <v>https://www.airitibooks.com/Detail/Detail?PublicationID=P20160815001</v>
      </c>
      <c r="K4156" s="13" t="str">
        <f>HYPERLINK("https://ntsu.idm.oclc.org/login?url=https://www.airitibooks.com/Detail/Detail?PublicationID=P20160815001", "https://ntsu.idm.oclc.org/login?url=https://www.airitibooks.com/Detail/Detail?PublicationID=P20160815001")</f>
        <v>https://ntsu.idm.oclc.org/login?url=https://www.airitibooks.com/Detail/Detail?PublicationID=P20160815001</v>
      </c>
    </row>
    <row r="4157" spans="1:11" ht="51" x14ac:dyDescent="0.4">
      <c r="A4157" s="10" t="s">
        <v>5626</v>
      </c>
      <c r="B4157" s="10" t="s">
        <v>5627</v>
      </c>
      <c r="C4157" s="10" t="s">
        <v>4609</v>
      </c>
      <c r="D4157" s="10" t="s">
        <v>5628</v>
      </c>
      <c r="E4157" s="10" t="s">
        <v>70</v>
      </c>
      <c r="F4157" s="10" t="s">
        <v>5629</v>
      </c>
      <c r="G4157" s="10" t="s">
        <v>237</v>
      </c>
      <c r="H4157" s="7" t="s">
        <v>24</v>
      </c>
      <c r="I4157" s="7" t="s">
        <v>25</v>
      </c>
      <c r="J4157" s="13" t="str">
        <f>HYPERLINK("https://www.airitibooks.com/Detail/Detail?PublicationID=P20161013004", "https://www.airitibooks.com/Detail/Detail?PublicationID=P20161013004")</f>
        <v>https://www.airitibooks.com/Detail/Detail?PublicationID=P20161013004</v>
      </c>
      <c r="K4157" s="13" t="str">
        <f>HYPERLINK("https://ntsu.idm.oclc.org/login?url=https://www.airitibooks.com/Detail/Detail?PublicationID=P20161013004", "https://ntsu.idm.oclc.org/login?url=https://www.airitibooks.com/Detail/Detail?PublicationID=P20161013004")</f>
        <v>https://ntsu.idm.oclc.org/login?url=https://www.airitibooks.com/Detail/Detail?PublicationID=P20161013004</v>
      </c>
    </row>
    <row r="4158" spans="1:11" ht="51" x14ac:dyDescent="0.4">
      <c r="A4158" s="10" t="s">
        <v>6063</v>
      </c>
      <c r="B4158" s="10" t="s">
        <v>6064</v>
      </c>
      <c r="C4158" s="10" t="s">
        <v>772</v>
      </c>
      <c r="D4158" s="10" t="s">
        <v>6065</v>
      </c>
      <c r="E4158" s="10" t="s">
        <v>70</v>
      </c>
      <c r="F4158" s="10" t="s">
        <v>5629</v>
      </c>
      <c r="G4158" s="10" t="s">
        <v>237</v>
      </c>
      <c r="H4158" s="7" t="s">
        <v>24</v>
      </c>
      <c r="I4158" s="7" t="s">
        <v>25</v>
      </c>
      <c r="J4158" s="13" t="str">
        <f>HYPERLINK("https://www.airitibooks.com/Detail/Detail?PublicationID=P20170203233", "https://www.airitibooks.com/Detail/Detail?PublicationID=P20170203233")</f>
        <v>https://www.airitibooks.com/Detail/Detail?PublicationID=P20170203233</v>
      </c>
      <c r="K4158" s="13" t="str">
        <f>HYPERLINK("https://ntsu.idm.oclc.org/login?url=https://www.airitibooks.com/Detail/Detail?PublicationID=P20170203233", "https://ntsu.idm.oclc.org/login?url=https://www.airitibooks.com/Detail/Detail?PublicationID=P20170203233")</f>
        <v>https://ntsu.idm.oclc.org/login?url=https://www.airitibooks.com/Detail/Detail?PublicationID=P20170203233</v>
      </c>
    </row>
    <row r="4159" spans="1:11" ht="51" x14ac:dyDescent="0.4">
      <c r="A4159" s="10" t="s">
        <v>7820</v>
      </c>
      <c r="B4159" s="10" t="s">
        <v>7821</v>
      </c>
      <c r="C4159" s="10" t="s">
        <v>7822</v>
      </c>
      <c r="D4159" s="10" t="s">
        <v>7823</v>
      </c>
      <c r="E4159" s="10" t="s">
        <v>70</v>
      </c>
      <c r="F4159" s="10" t="s">
        <v>7824</v>
      </c>
      <c r="G4159" s="10" t="s">
        <v>237</v>
      </c>
      <c r="H4159" s="7" t="s">
        <v>24</v>
      </c>
      <c r="I4159" s="7" t="s">
        <v>25</v>
      </c>
      <c r="J4159" s="13" t="str">
        <f>HYPERLINK("https://www.airitibooks.com/Detail/Detail?PublicationID=P20171127164", "https://www.airitibooks.com/Detail/Detail?PublicationID=P20171127164")</f>
        <v>https://www.airitibooks.com/Detail/Detail?PublicationID=P20171127164</v>
      </c>
      <c r="K4159" s="13" t="str">
        <f>HYPERLINK("https://ntsu.idm.oclc.org/login?url=https://www.airitibooks.com/Detail/Detail?PublicationID=P20171127164", "https://ntsu.idm.oclc.org/login?url=https://www.airitibooks.com/Detail/Detail?PublicationID=P20171127164")</f>
        <v>https://ntsu.idm.oclc.org/login?url=https://www.airitibooks.com/Detail/Detail?PublicationID=P20171127164</v>
      </c>
    </row>
    <row r="4160" spans="1:11" ht="51" x14ac:dyDescent="0.4">
      <c r="A4160" s="10" t="s">
        <v>7999</v>
      </c>
      <c r="B4160" s="10" t="s">
        <v>8000</v>
      </c>
      <c r="C4160" s="10" t="s">
        <v>791</v>
      </c>
      <c r="D4160" s="10" t="s">
        <v>1103</v>
      </c>
      <c r="E4160" s="10" t="s">
        <v>70</v>
      </c>
      <c r="F4160" s="10" t="s">
        <v>1435</v>
      </c>
      <c r="G4160" s="10" t="s">
        <v>237</v>
      </c>
      <c r="H4160" s="7" t="s">
        <v>24</v>
      </c>
      <c r="I4160" s="7" t="s">
        <v>25</v>
      </c>
      <c r="J4160" s="13" t="str">
        <f>HYPERLINK("https://www.airitibooks.com/Detail/Detail?PublicationID=P20171130025", "https://www.airitibooks.com/Detail/Detail?PublicationID=P20171130025")</f>
        <v>https://www.airitibooks.com/Detail/Detail?PublicationID=P20171130025</v>
      </c>
      <c r="K4160" s="13" t="str">
        <f>HYPERLINK("https://ntsu.idm.oclc.org/login?url=https://www.airitibooks.com/Detail/Detail?PublicationID=P20171130025", "https://ntsu.idm.oclc.org/login?url=https://www.airitibooks.com/Detail/Detail?PublicationID=P20171130025")</f>
        <v>https://ntsu.idm.oclc.org/login?url=https://www.airitibooks.com/Detail/Detail?PublicationID=P20171130025</v>
      </c>
    </row>
    <row r="4161" spans="1:11" ht="51" x14ac:dyDescent="0.4">
      <c r="A4161" s="10" t="s">
        <v>8795</v>
      </c>
      <c r="B4161" s="10" t="s">
        <v>8796</v>
      </c>
      <c r="C4161" s="10" t="s">
        <v>848</v>
      </c>
      <c r="D4161" s="10" t="s">
        <v>8797</v>
      </c>
      <c r="E4161" s="10" t="s">
        <v>70</v>
      </c>
      <c r="F4161" s="10" t="s">
        <v>6410</v>
      </c>
      <c r="G4161" s="10" t="s">
        <v>237</v>
      </c>
      <c r="H4161" s="7" t="s">
        <v>24</v>
      </c>
      <c r="I4161" s="7" t="s">
        <v>25</v>
      </c>
      <c r="J4161" s="13" t="str">
        <f>HYPERLINK("https://www.airitibooks.com/Detail/Detail?PublicationID=P20180323081", "https://www.airitibooks.com/Detail/Detail?PublicationID=P20180323081")</f>
        <v>https://www.airitibooks.com/Detail/Detail?PublicationID=P20180323081</v>
      </c>
      <c r="K4161" s="13" t="str">
        <f>HYPERLINK("https://ntsu.idm.oclc.org/login?url=https://www.airitibooks.com/Detail/Detail?PublicationID=P20180323081", "https://ntsu.idm.oclc.org/login?url=https://www.airitibooks.com/Detail/Detail?PublicationID=P20180323081")</f>
        <v>https://ntsu.idm.oclc.org/login?url=https://www.airitibooks.com/Detail/Detail?PublicationID=P20180323081</v>
      </c>
    </row>
    <row r="4162" spans="1:11" ht="68" x14ac:dyDescent="0.4">
      <c r="A4162" s="10" t="s">
        <v>9946</v>
      </c>
      <c r="B4162" s="10" t="s">
        <v>9947</v>
      </c>
      <c r="C4162" s="10" t="s">
        <v>9828</v>
      </c>
      <c r="D4162" s="10" t="s">
        <v>9948</v>
      </c>
      <c r="E4162" s="10" t="s">
        <v>70</v>
      </c>
      <c r="F4162" s="10" t="s">
        <v>9949</v>
      </c>
      <c r="G4162" s="10" t="s">
        <v>237</v>
      </c>
      <c r="H4162" s="7" t="s">
        <v>1031</v>
      </c>
      <c r="I4162" s="7" t="s">
        <v>25</v>
      </c>
      <c r="J4162" s="13" t="str">
        <f>HYPERLINK("https://www.airitibooks.com/Detail/Detail?PublicationID=P20181026051", "https://www.airitibooks.com/Detail/Detail?PublicationID=P20181026051")</f>
        <v>https://www.airitibooks.com/Detail/Detail?PublicationID=P20181026051</v>
      </c>
      <c r="K4162" s="13" t="str">
        <f>HYPERLINK("https://ntsu.idm.oclc.org/login?url=https://www.airitibooks.com/Detail/Detail?PublicationID=P20181026051", "https://ntsu.idm.oclc.org/login?url=https://www.airitibooks.com/Detail/Detail?PublicationID=P20181026051")</f>
        <v>https://ntsu.idm.oclc.org/login?url=https://www.airitibooks.com/Detail/Detail?PublicationID=P20181026051</v>
      </c>
    </row>
    <row r="4163" spans="1:11" ht="51" x14ac:dyDescent="0.4">
      <c r="A4163" s="10" t="s">
        <v>1243</v>
      </c>
      <c r="B4163" s="10" t="s">
        <v>1244</v>
      </c>
      <c r="C4163" s="10" t="s">
        <v>804</v>
      </c>
      <c r="D4163" s="10" t="s">
        <v>1245</v>
      </c>
      <c r="E4163" s="10" t="s">
        <v>70</v>
      </c>
      <c r="F4163" s="10" t="s">
        <v>1246</v>
      </c>
      <c r="G4163" s="10" t="s">
        <v>209</v>
      </c>
      <c r="H4163" s="7" t="s">
        <v>24</v>
      </c>
      <c r="I4163" s="7" t="s">
        <v>25</v>
      </c>
      <c r="J4163" s="13" t="str">
        <f>HYPERLINK("https://www.airitibooks.com/Detail/Detail?PublicationID=P20140521126", "https://www.airitibooks.com/Detail/Detail?PublicationID=P20140521126")</f>
        <v>https://www.airitibooks.com/Detail/Detail?PublicationID=P20140521126</v>
      </c>
      <c r="K4163" s="13" t="str">
        <f>HYPERLINK("https://ntsu.idm.oclc.org/login?url=https://www.airitibooks.com/Detail/Detail?PublicationID=P20140521126", "https://ntsu.idm.oclc.org/login?url=https://www.airitibooks.com/Detail/Detail?PublicationID=P20140521126")</f>
        <v>https://ntsu.idm.oclc.org/login?url=https://www.airitibooks.com/Detail/Detail?PublicationID=P20140521126</v>
      </c>
    </row>
    <row r="4164" spans="1:11" ht="51" x14ac:dyDescent="0.4">
      <c r="A4164" s="10" t="s">
        <v>1247</v>
      </c>
      <c r="B4164" s="10" t="s">
        <v>1248</v>
      </c>
      <c r="C4164" s="10" t="s">
        <v>804</v>
      </c>
      <c r="D4164" s="10" t="s">
        <v>1249</v>
      </c>
      <c r="E4164" s="10" t="s">
        <v>70</v>
      </c>
      <c r="F4164" s="10" t="s">
        <v>1250</v>
      </c>
      <c r="G4164" s="10" t="s">
        <v>209</v>
      </c>
      <c r="H4164" s="7" t="s">
        <v>24</v>
      </c>
      <c r="I4164" s="7" t="s">
        <v>25</v>
      </c>
      <c r="J4164" s="13" t="str">
        <f>HYPERLINK("https://www.airitibooks.com/Detail/Detail?PublicationID=P20140521186", "https://www.airitibooks.com/Detail/Detail?PublicationID=P20140521186")</f>
        <v>https://www.airitibooks.com/Detail/Detail?PublicationID=P20140521186</v>
      </c>
      <c r="K4164" s="13" t="str">
        <f>HYPERLINK("https://ntsu.idm.oclc.org/login?url=https://www.airitibooks.com/Detail/Detail?PublicationID=P20140521186", "https://ntsu.idm.oclc.org/login?url=https://www.airitibooks.com/Detail/Detail?PublicationID=P20140521186")</f>
        <v>https://ntsu.idm.oclc.org/login?url=https://www.airitibooks.com/Detail/Detail?PublicationID=P20140521186</v>
      </c>
    </row>
    <row r="4165" spans="1:11" ht="51" x14ac:dyDescent="0.4">
      <c r="A4165" s="10" t="s">
        <v>1251</v>
      </c>
      <c r="B4165" s="10" t="s">
        <v>1252</v>
      </c>
      <c r="C4165" s="10" t="s">
        <v>1253</v>
      </c>
      <c r="D4165" s="10" t="s">
        <v>1254</v>
      </c>
      <c r="E4165" s="10" t="s">
        <v>70</v>
      </c>
      <c r="F4165" s="10" t="s">
        <v>1255</v>
      </c>
      <c r="G4165" s="10" t="s">
        <v>209</v>
      </c>
      <c r="H4165" s="7" t="s">
        <v>24</v>
      </c>
      <c r="I4165" s="7" t="s">
        <v>25</v>
      </c>
      <c r="J4165" s="13" t="str">
        <f>HYPERLINK("https://www.airitibooks.com/Detail/Detail?PublicationID=P20140521187", "https://www.airitibooks.com/Detail/Detail?PublicationID=P20140521187")</f>
        <v>https://www.airitibooks.com/Detail/Detail?PublicationID=P20140521187</v>
      </c>
      <c r="K4165" s="13" t="str">
        <f>HYPERLINK("https://ntsu.idm.oclc.org/login?url=https://www.airitibooks.com/Detail/Detail?PublicationID=P20140521187", "https://ntsu.idm.oclc.org/login?url=https://www.airitibooks.com/Detail/Detail?PublicationID=P20140521187")</f>
        <v>https://ntsu.idm.oclc.org/login?url=https://www.airitibooks.com/Detail/Detail?PublicationID=P20140521187</v>
      </c>
    </row>
    <row r="4166" spans="1:11" ht="51" x14ac:dyDescent="0.4">
      <c r="A4166" s="10" t="s">
        <v>1256</v>
      </c>
      <c r="B4166" s="10" t="s">
        <v>1257</v>
      </c>
      <c r="C4166" s="10" t="s">
        <v>1253</v>
      </c>
      <c r="D4166" s="10" t="s">
        <v>1258</v>
      </c>
      <c r="E4166" s="10" t="s">
        <v>70</v>
      </c>
      <c r="F4166" s="10" t="s">
        <v>1259</v>
      </c>
      <c r="G4166" s="10" t="s">
        <v>209</v>
      </c>
      <c r="H4166" s="7" t="s">
        <v>24</v>
      </c>
      <c r="I4166" s="7" t="s">
        <v>25</v>
      </c>
      <c r="J4166" s="13" t="str">
        <f>HYPERLINK("https://www.airitibooks.com/Detail/Detail?PublicationID=P20140605103", "https://www.airitibooks.com/Detail/Detail?PublicationID=P20140605103")</f>
        <v>https://www.airitibooks.com/Detail/Detail?PublicationID=P20140605103</v>
      </c>
      <c r="K4166" s="13" t="str">
        <f>HYPERLINK("https://ntsu.idm.oclc.org/login?url=https://www.airitibooks.com/Detail/Detail?PublicationID=P20140605103", "https://ntsu.idm.oclc.org/login?url=https://www.airitibooks.com/Detail/Detail?PublicationID=P20140605103")</f>
        <v>https://ntsu.idm.oclc.org/login?url=https://www.airitibooks.com/Detail/Detail?PublicationID=P20140605103</v>
      </c>
    </row>
    <row r="4167" spans="1:11" ht="51" x14ac:dyDescent="0.4">
      <c r="A4167" s="10" t="s">
        <v>1260</v>
      </c>
      <c r="B4167" s="10" t="s">
        <v>1261</v>
      </c>
      <c r="C4167" s="10" t="s">
        <v>1262</v>
      </c>
      <c r="D4167" s="10" t="s">
        <v>1263</v>
      </c>
      <c r="E4167" s="10" t="s">
        <v>70</v>
      </c>
      <c r="F4167" s="10" t="s">
        <v>1264</v>
      </c>
      <c r="G4167" s="10" t="s">
        <v>209</v>
      </c>
      <c r="H4167" s="7" t="s">
        <v>24</v>
      </c>
      <c r="I4167" s="7" t="s">
        <v>25</v>
      </c>
      <c r="J4167" s="13" t="str">
        <f>HYPERLINK("https://www.airitibooks.com/Detail/Detail?PublicationID=P20140606009", "https://www.airitibooks.com/Detail/Detail?PublicationID=P20140606009")</f>
        <v>https://www.airitibooks.com/Detail/Detail?PublicationID=P20140606009</v>
      </c>
      <c r="K4167" s="13" t="str">
        <f>HYPERLINK("https://ntsu.idm.oclc.org/login?url=https://www.airitibooks.com/Detail/Detail?PublicationID=P20140606009", "https://ntsu.idm.oclc.org/login?url=https://www.airitibooks.com/Detail/Detail?PublicationID=P20140606009")</f>
        <v>https://ntsu.idm.oclc.org/login?url=https://www.airitibooks.com/Detail/Detail?PublicationID=P20140606009</v>
      </c>
    </row>
    <row r="4168" spans="1:11" ht="51" x14ac:dyDescent="0.4">
      <c r="A4168" s="10" t="s">
        <v>1265</v>
      </c>
      <c r="B4168" s="10" t="s">
        <v>1266</v>
      </c>
      <c r="C4168" s="10" t="s">
        <v>1203</v>
      </c>
      <c r="D4168" s="10" t="s">
        <v>1267</v>
      </c>
      <c r="E4168" s="10" t="s">
        <v>70</v>
      </c>
      <c r="F4168" s="10" t="s">
        <v>1268</v>
      </c>
      <c r="G4168" s="10" t="s">
        <v>209</v>
      </c>
      <c r="H4168" s="7" t="s">
        <v>24</v>
      </c>
      <c r="I4168" s="7" t="s">
        <v>25</v>
      </c>
      <c r="J4168" s="13" t="str">
        <f>HYPERLINK("https://www.airitibooks.com/Detail/Detail?PublicationID=P20140606058", "https://www.airitibooks.com/Detail/Detail?PublicationID=P20140606058")</f>
        <v>https://www.airitibooks.com/Detail/Detail?PublicationID=P20140606058</v>
      </c>
      <c r="K4168" s="13" t="str">
        <f>HYPERLINK("https://ntsu.idm.oclc.org/login?url=https://www.airitibooks.com/Detail/Detail?PublicationID=P20140606058", "https://ntsu.idm.oclc.org/login?url=https://www.airitibooks.com/Detail/Detail?PublicationID=P20140606058")</f>
        <v>https://ntsu.idm.oclc.org/login?url=https://www.airitibooks.com/Detail/Detail?PublicationID=P20140606058</v>
      </c>
    </row>
    <row r="4169" spans="1:11" ht="51" x14ac:dyDescent="0.4">
      <c r="A4169" s="10" t="s">
        <v>1294</v>
      </c>
      <c r="B4169" s="10" t="s">
        <v>1295</v>
      </c>
      <c r="C4169" s="10" t="s">
        <v>1296</v>
      </c>
      <c r="D4169" s="10" t="s">
        <v>1297</v>
      </c>
      <c r="E4169" s="10" t="s">
        <v>70</v>
      </c>
      <c r="F4169" s="10" t="s">
        <v>488</v>
      </c>
      <c r="G4169" s="10" t="s">
        <v>209</v>
      </c>
      <c r="H4169" s="7" t="s">
        <v>24</v>
      </c>
      <c r="I4169" s="7" t="s">
        <v>25</v>
      </c>
      <c r="J4169" s="13" t="str">
        <f>HYPERLINK("https://www.airitibooks.com/Detail/Detail?PublicationID=P20140702222", "https://www.airitibooks.com/Detail/Detail?PublicationID=P20140702222")</f>
        <v>https://www.airitibooks.com/Detail/Detail?PublicationID=P20140702222</v>
      </c>
      <c r="K4169" s="13" t="str">
        <f>HYPERLINK("https://ntsu.idm.oclc.org/login?url=https://www.airitibooks.com/Detail/Detail?PublicationID=P20140702222", "https://ntsu.idm.oclc.org/login?url=https://www.airitibooks.com/Detail/Detail?PublicationID=P20140702222")</f>
        <v>https://ntsu.idm.oclc.org/login?url=https://www.airitibooks.com/Detail/Detail?PublicationID=P20140702222</v>
      </c>
    </row>
    <row r="4170" spans="1:11" ht="51" x14ac:dyDescent="0.4">
      <c r="A4170" s="10" t="s">
        <v>1298</v>
      </c>
      <c r="B4170" s="10" t="s">
        <v>1299</v>
      </c>
      <c r="C4170" s="10" t="s">
        <v>1296</v>
      </c>
      <c r="D4170" s="10" t="s">
        <v>1300</v>
      </c>
      <c r="E4170" s="10" t="s">
        <v>70</v>
      </c>
      <c r="F4170" s="10" t="s">
        <v>488</v>
      </c>
      <c r="G4170" s="10" t="s">
        <v>209</v>
      </c>
      <c r="H4170" s="7" t="s">
        <v>24</v>
      </c>
      <c r="I4170" s="7" t="s">
        <v>25</v>
      </c>
      <c r="J4170" s="13" t="str">
        <f>HYPERLINK("https://www.airitibooks.com/Detail/Detail?PublicationID=P20140702223", "https://www.airitibooks.com/Detail/Detail?PublicationID=P20140702223")</f>
        <v>https://www.airitibooks.com/Detail/Detail?PublicationID=P20140702223</v>
      </c>
      <c r="K4170" s="13" t="str">
        <f>HYPERLINK("https://ntsu.idm.oclc.org/login?url=https://www.airitibooks.com/Detail/Detail?PublicationID=P20140702223", "https://ntsu.idm.oclc.org/login?url=https://www.airitibooks.com/Detail/Detail?PublicationID=P20140702223")</f>
        <v>https://ntsu.idm.oclc.org/login?url=https://www.airitibooks.com/Detail/Detail?PublicationID=P20140702223</v>
      </c>
    </row>
    <row r="4171" spans="1:11" ht="51" x14ac:dyDescent="0.4">
      <c r="A4171" s="10" t="s">
        <v>1410</v>
      </c>
      <c r="B4171" s="10" t="s">
        <v>1411</v>
      </c>
      <c r="C4171" s="10" t="s">
        <v>428</v>
      </c>
      <c r="D4171" s="10" t="s">
        <v>1412</v>
      </c>
      <c r="E4171" s="10" t="s">
        <v>70</v>
      </c>
      <c r="F4171" s="10" t="s">
        <v>1413</v>
      </c>
      <c r="G4171" s="10" t="s">
        <v>209</v>
      </c>
      <c r="H4171" s="7" t="s">
        <v>24</v>
      </c>
      <c r="I4171" s="7" t="s">
        <v>25</v>
      </c>
      <c r="J4171" s="13" t="str">
        <f>HYPERLINK("https://www.airitibooks.com/Detail/Detail?PublicationID=P20140821039", "https://www.airitibooks.com/Detail/Detail?PublicationID=P20140821039")</f>
        <v>https://www.airitibooks.com/Detail/Detail?PublicationID=P20140821039</v>
      </c>
      <c r="K4171" s="13" t="str">
        <f>HYPERLINK("https://ntsu.idm.oclc.org/login?url=https://www.airitibooks.com/Detail/Detail?PublicationID=P20140821039", "https://ntsu.idm.oclc.org/login?url=https://www.airitibooks.com/Detail/Detail?PublicationID=P20140821039")</f>
        <v>https://ntsu.idm.oclc.org/login?url=https://www.airitibooks.com/Detail/Detail?PublicationID=P20140821039</v>
      </c>
    </row>
    <row r="4172" spans="1:11" ht="51" x14ac:dyDescent="0.4">
      <c r="A4172" s="10" t="s">
        <v>1824</v>
      </c>
      <c r="B4172" s="10" t="s">
        <v>1825</v>
      </c>
      <c r="C4172" s="10" t="s">
        <v>1203</v>
      </c>
      <c r="D4172" s="10" t="s">
        <v>1826</v>
      </c>
      <c r="E4172" s="10" t="s">
        <v>70</v>
      </c>
      <c r="F4172" s="10" t="s">
        <v>1268</v>
      </c>
      <c r="G4172" s="10" t="s">
        <v>209</v>
      </c>
      <c r="H4172" s="7" t="s">
        <v>24</v>
      </c>
      <c r="I4172" s="7" t="s">
        <v>25</v>
      </c>
      <c r="J4172" s="13" t="str">
        <f>HYPERLINK("https://www.airitibooks.com/Detail/Detail?PublicationID=P201501152173", "https://www.airitibooks.com/Detail/Detail?PublicationID=P201501152173")</f>
        <v>https://www.airitibooks.com/Detail/Detail?PublicationID=P201501152173</v>
      </c>
      <c r="K4172" s="13" t="str">
        <f>HYPERLINK("https://ntsu.idm.oclc.org/login?url=https://www.airitibooks.com/Detail/Detail?PublicationID=P201501152173", "https://ntsu.idm.oclc.org/login?url=https://www.airitibooks.com/Detail/Detail?PublicationID=P201501152173")</f>
        <v>https://ntsu.idm.oclc.org/login?url=https://www.airitibooks.com/Detail/Detail?PublicationID=P201501152173</v>
      </c>
    </row>
    <row r="4173" spans="1:11" ht="51" x14ac:dyDescent="0.4">
      <c r="A4173" s="10" t="s">
        <v>3211</v>
      </c>
      <c r="B4173" s="10" t="s">
        <v>3212</v>
      </c>
      <c r="C4173" s="10" t="s">
        <v>3213</v>
      </c>
      <c r="D4173" s="10" t="s">
        <v>3214</v>
      </c>
      <c r="E4173" s="10" t="s">
        <v>70</v>
      </c>
      <c r="F4173" s="10" t="s">
        <v>3215</v>
      </c>
      <c r="G4173" s="10" t="s">
        <v>209</v>
      </c>
      <c r="H4173" s="7" t="s">
        <v>24</v>
      </c>
      <c r="I4173" s="7" t="s">
        <v>25</v>
      </c>
      <c r="J4173" s="13" t="str">
        <f>HYPERLINK("https://www.airitibooks.com/Detail/Detail?PublicationID=P20150820206", "https://www.airitibooks.com/Detail/Detail?PublicationID=P20150820206")</f>
        <v>https://www.airitibooks.com/Detail/Detail?PublicationID=P20150820206</v>
      </c>
      <c r="K4173" s="13" t="str">
        <f>HYPERLINK("https://ntsu.idm.oclc.org/login?url=https://www.airitibooks.com/Detail/Detail?PublicationID=P20150820206", "https://ntsu.idm.oclc.org/login?url=https://www.airitibooks.com/Detail/Detail?PublicationID=P20150820206")</f>
        <v>https://ntsu.idm.oclc.org/login?url=https://www.airitibooks.com/Detail/Detail?PublicationID=P20150820206</v>
      </c>
    </row>
    <row r="4174" spans="1:11" ht="51" x14ac:dyDescent="0.4">
      <c r="A4174" s="10" t="s">
        <v>4792</v>
      </c>
      <c r="B4174" s="10" t="s">
        <v>4793</v>
      </c>
      <c r="C4174" s="10" t="s">
        <v>1095</v>
      </c>
      <c r="D4174" s="10" t="s">
        <v>4794</v>
      </c>
      <c r="E4174" s="10" t="s">
        <v>70</v>
      </c>
      <c r="F4174" s="10" t="s">
        <v>488</v>
      </c>
      <c r="G4174" s="10" t="s">
        <v>209</v>
      </c>
      <c r="H4174" s="7" t="s">
        <v>24</v>
      </c>
      <c r="I4174" s="7" t="s">
        <v>25</v>
      </c>
      <c r="J4174" s="13" t="str">
        <f>HYPERLINK("https://www.airitibooks.com/Detail/Detail?PublicationID=P20160705007", "https://www.airitibooks.com/Detail/Detail?PublicationID=P20160705007")</f>
        <v>https://www.airitibooks.com/Detail/Detail?PublicationID=P20160705007</v>
      </c>
      <c r="K4174" s="13" t="str">
        <f>HYPERLINK("https://ntsu.idm.oclc.org/login?url=https://www.airitibooks.com/Detail/Detail?PublicationID=P20160705007", "https://ntsu.idm.oclc.org/login?url=https://www.airitibooks.com/Detail/Detail?PublicationID=P20160705007")</f>
        <v>https://ntsu.idm.oclc.org/login?url=https://www.airitibooks.com/Detail/Detail?PublicationID=P20160705007</v>
      </c>
    </row>
    <row r="4175" spans="1:11" ht="51" x14ac:dyDescent="0.4">
      <c r="A4175" s="10" t="s">
        <v>6287</v>
      </c>
      <c r="B4175" s="10" t="s">
        <v>6288</v>
      </c>
      <c r="C4175" s="10" t="s">
        <v>6289</v>
      </c>
      <c r="D4175" s="10" t="s">
        <v>6290</v>
      </c>
      <c r="E4175" s="10" t="s">
        <v>70</v>
      </c>
      <c r="F4175" s="10" t="s">
        <v>6291</v>
      </c>
      <c r="G4175" s="10" t="s">
        <v>209</v>
      </c>
      <c r="H4175" s="7" t="s">
        <v>24</v>
      </c>
      <c r="I4175" s="7" t="s">
        <v>25</v>
      </c>
      <c r="J4175" s="13" t="str">
        <f>HYPERLINK("https://www.airitibooks.com/Detail/Detail?PublicationID=P20170316007", "https://www.airitibooks.com/Detail/Detail?PublicationID=P20170316007")</f>
        <v>https://www.airitibooks.com/Detail/Detail?PublicationID=P20170316007</v>
      </c>
      <c r="K4175" s="13" t="str">
        <f>HYPERLINK("https://ntsu.idm.oclc.org/login?url=https://www.airitibooks.com/Detail/Detail?PublicationID=P20170316007", "https://ntsu.idm.oclc.org/login?url=https://www.airitibooks.com/Detail/Detail?PublicationID=P20170316007")</f>
        <v>https://ntsu.idm.oclc.org/login?url=https://www.airitibooks.com/Detail/Detail?PublicationID=P20170316007</v>
      </c>
    </row>
    <row r="4176" spans="1:11" ht="51" x14ac:dyDescent="0.4">
      <c r="A4176" s="10" t="s">
        <v>8028</v>
      </c>
      <c r="B4176" s="10" t="s">
        <v>8029</v>
      </c>
      <c r="C4176" s="10" t="s">
        <v>486</v>
      </c>
      <c r="D4176" s="10" t="s">
        <v>8030</v>
      </c>
      <c r="E4176" s="10" t="s">
        <v>70</v>
      </c>
      <c r="F4176" s="10" t="s">
        <v>1413</v>
      </c>
      <c r="G4176" s="10" t="s">
        <v>209</v>
      </c>
      <c r="H4176" s="7" t="s">
        <v>24</v>
      </c>
      <c r="I4176" s="7" t="s">
        <v>25</v>
      </c>
      <c r="J4176" s="13" t="str">
        <f>HYPERLINK("https://www.airitibooks.com/Detail/Detail?PublicationID=P20171130100", "https://www.airitibooks.com/Detail/Detail?PublicationID=P20171130100")</f>
        <v>https://www.airitibooks.com/Detail/Detail?PublicationID=P20171130100</v>
      </c>
      <c r="K4176" s="13" t="str">
        <f>HYPERLINK("https://ntsu.idm.oclc.org/login?url=https://www.airitibooks.com/Detail/Detail?PublicationID=P20171130100", "https://ntsu.idm.oclc.org/login?url=https://www.airitibooks.com/Detail/Detail?PublicationID=P20171130100")</f>
        <v>https://ntsu.idm.oclc.org/login?url=https://www.airitibooks.com/Detail/Detail?PublicationID=P20171130100</v>
      </c>
    </row>
    <row r="4177" spans="1:11" ht="51" x14ac:dyDescent="0.4">
      <c r="A4177" s="10" t="s">
        <v>10011</v>
      </c>
      <c r="B4177" s="10" t="s">
        <v>10012</v>
      </c>
      <c r="C4177" s="10" t="s">
        <v>9828</v>
      </c>
      <c r="D4177" s="10" t="s">
        <v>10013</v>
      </c>
      <c r="E4177" s="10" t="s">
        <v>70</v>
      </c>
      <c r="F4177" s="10" t="s">
        <v>10015</v>
      </c>
      <c r="G4177" s="10" t="s">
        <v>209</v>
      </c>
      <c r="H4177" s="7" t="s">
        <v>1031</v>
      </c>
      <c r="I4177" s="7" t="s">
        <v>25</v>
      </c>
      <c r="J4177" s="13" t="str">
        <f>HYPERLINK("https://www.airitibooks.com/Detail/Detail?PublicationID=P20181112022", "https://www.airitibooks.com/Detail/Detail?PublicationID=P20181112022")</f>
        <v>https://www.airitibooks.com/Detail/Detail?PublicationID=P20181112022</v>
      </c>
      <c r="K4177" s="13" t="str">
        <f>HYPERLINK("https://ntsu.idm.oclc.org/login?url=https://www.airitibooks.com/Detail/Detail?PublicationID=P20181112022", "https://ntsu.idm.oclc.org/login?url=https://www.airitibooks.com/Detail/Detail?PublicationID=P20181112022")</f>
        <v>https://ntsu.idm.oclc.org/login?url=https://www.airitibooks.com/Detail/Detail?PublicationID=P20181112022</v>
      </c>
    </row>
    <row r="4178" spans="1:11" ht="51" x14ac:dyDescent="0.4">
      <c r="A4178" s="10" t="s">
        <v>1089</v>
      </c>
      <c r="B4178" s="10" t="s">
        <v>1090</v>
      </c>
      <c r="C4178" s="10" t="s">
        <v>1086</v>
      </c>
      <c r="D4178" s="10" t="s">
        <v>1091</v>
      </c>
      <c r="E4178" s="10" t="s">
        <v>70</v>
      </c>
      <c r="F4178" s="10" t="s">
        <v>1092</v>
      </c>
      <c r="G4178" s="10" t="s">
        <v>76</v>
      </c>
      <c r="H4178" s="7" t="s">
        <v>24</v>
      </c>
      <c r="I4178" s="7" t="s">
        <v>25</v>
      </c>
      <c r="J4178" s="13" t="str">
        <f>HYPERLINK("https://www.airitibooks.com/Detail/Detail?PublicationID=P20131226047", "https://www.airitibooks.com/Detail/Detail?PublicationID=P20131226047")</f>
        <v>https://www.airitibooks.com/Detail/Detail?PublicationID=P20131226047</v>
      </c>
      <c r="K4178" s="13" t="str">
        <f>HYPERLINK("https://ntsu.idm.oclc.org/login?url=https://www.airitibooks.com/Detail/Detail?PublicationID=P20131226047", "https://ntsu.idm.oclc.org/login?url=https://www.airitibooks.com/Detail/Detail?PublicationID=P20131226047")</f>
        <v>https://ntsu.idm.oclc.org/login?url=https://www.airitibooks.com/Detail/Detail?PublicationID=P20131226047</v>
      </c>
    </row>
    <row r="4179" spans="1:11" ht="51" x14ac:dyDescent="0.4">
      <c r="A4179" s="10" t="s">
        <v>1107</v>
      </c>
      <c r="B4179" s="10" t="s">
        <v>1108</v>
      </c>
      <c r="C4179" s="10" t="s">
        <v>1109</v>
      </c>
      <c r="D4179" s="10" t="s">
        <v>1110</v>
      </c>
      <c r="E4179" s="10" t="s">
        <v>70</v>
      </c>
      <c r="F4179" s="10" t="s">
        <v>1111</v>
      </c>
      <c r="G4179" s="10" t="s">
        <v>76</v>
      </c>
      <c r="H4179" s="7" t="s">
        <v>24</v>
      </c>
      <c r="I4179" s="7" t="s">
        <v>25</v>
      </c>
      <c r="J4179" s="13" t="str">
        <f>HYPERLINK("https://www.airitibooks.com/Detail/Detail?PublicationID=P20140115007", "https://www.airitibooks.com/Detail/Detail?PublicationID=P20140115007")</f>
        <v>https://www.airitibooks.com/Detail/Detail?PublicationID=P20140115007</v>
      </c>
      <c r="K4179" s="13" t="str">
        <f>HYPERLINK("https://ntsu.idm.oclc.org/login?url=https://www.airitibooks.com/Detail/Detail?PublicationID=P20140115007", "https://ntsu.idm.oclc.org/login?url=https://www.airitibooks.com/Detail/Detail?PublicationID=P20140115007")</f>
        <v>https://ntsu.idm.oclc.org/login?url=https://www.airitibooks.com/Detail/Detail?PublicationID=P20140115007</v>
      </c>
    </row>
    <row r="4180" spans="1:11" ht="51" x14ac:dyDescent="0.4">
      <c r="A4180" s="10" t="s">
        <v>1198</v>
      </c>
      <c r="B4180" s="10" t="s">
        <v>1199</v>
      </c>
      <c r="C4180" s="10" t="s">
        <v>292</v>
      </c>
      <c r="D4180" s="10" t="s">
        <v>1200</v>
      </c>
      <c r="E4180" s="10" t="s">
        <v>70</v>
      </c>
      <c r="F4180" s="10" t="s">
        <v>294</v>
      </c>
      <c r="G4180" s="10" t="s">
        <v>76</v>
      </c>
      <c r="H4180" s="7" t="s">
        <v>24</v>
      </c>
      <c r="I4180" s="7" t="s">
        <v>25</v>
      </c>
      <c r="J4180" s="13" t="str">
        <f>HYPERLINK("https://www.airitibooks.com/Detail/Detail?PublicationID=P20140326057", "https://www.airitibooks.com/Detail/Detail?PublicationID=P20140326057")</f>
        <v>https://www.airitibooks.com/Detail/Detail?PublicationID=P20140326057</v>
      </c>
      <c r="K4180" s="13" t="str">
        <f>HYPERLINK("https://ntsu.idm.oclc.org/login?url=https://www.airitibooks.com/Detail/Detail?PublicationID=P20140326057", "https://ntsu.idm.oclc.org/login?url=https://www.airitibooks.com/Detail/Detail?PublicationID=P20140326057")</f>
        <v>https://ntsu.idm.oclc.org/login?url=https://www.airitibooks.com/Detail/Detail?PublicationID=P20140326057</v>
      </c>
    </row>
    <row r="4181" spans="1:11" ht="51" x14ac:dyDescent="0.4">
      <c r="A4181" s="10" t="s">
        <v>1318</v>
      </c>
      <c r="B4181" s="10" t="s">
        <v>1319</v>
      </c>
      <c r="C4181" s="10" t="s">
        <v>1320</v>
      </c>
      <c r="D4181" s="10" t="s">
        <v>1321</v>
      </c>
      <c r="E4181" s="10" t="s">
        <v>70</v>
      </c>
      <c r="F4181" s="10" t="s">
        <v>1322</v>
      </c>
      <c r="G4181" s="10" t="s">
        <v>76</v>
      </c>
      <c r="H4181" s="7" t="s">
        <v>24</v>
      </c>
      <c r="I4181" s="7" t="s">
        <v>25</v>
      </c>
      <c r="J4181" s="13" t="str">
        <f>HYPERLINK("https://www.airitibooks.com/Detail/Detail?PublicationID=P20140814007", "https://www.airitibooks.com/Detail/Detail?PublicationID=P20140814007")</f>
        <v>https://www.airitibooks.com/Detail/Detail?PublicationID=P20140814007</v>
      </c>
      <c r="K4181" s="13" t="str">
        <f>HYPERLINK("https://ntsu.idm.oclc.org/login?url=https://www.airitibooks.com/Detail/Detail?PublicationID=P20140814007", "https://ntsu.idm.oclc.org/login?url=https://www.airitibooks.com/Detail/Detail?PublicationID=P20140814007")</f>
        <v>https://ntsu.idm.oclc.org/login?url=https://www.airitibooks.com/Detail/Detail?PublicationID=P20140814007</v>
      </c>
    </row>
    <row r="4182" spans="1:11" ht="51" x14ac:dyDescent="0.4">
      <c r="A4182" s="10" t="s">
        <v>1447</v>
      </c>
      <c r="B4182" s="10" t="s">
        <v>1448</v>
      </c>
      <c r="C4182" s="10" t="s">
        <v>791</v>
      </c>
      <c r="D4182" s="10" t="s">
        <v>1449</v>
      </c>
      <c r="E4182" s="10" t="s">
        <v>70</v>
      </c>
      <c r="F4182" s="10" t="s">
        <v>1450</v>
      </c>
      <c r="G4182" s="10" t="s">
        <v>76</v>
      </c>
      <c r="H4182" s="7" t="s">
        <v>24</v>
      </c>
      <c r="I4182" s="7" t="s">
        <v>25</v>
      </c>
      <c r="J4182" s="13" t="str">
        <f>HYPERLINK("https://www.airitibooks.com/Detail/Detail?PublicationID=P20140829029", "https://www.airitibooks.com/Detail/Detail?PublicationID=P20140829029")</f>
        <v>https://www.airitibooks.com/Detail/Detail?PublicationID=P20140829029</v>
      </c>
      <c r="K4182" s="13" t="str">
        <f>HYPERLINK("https://ntsu.idm.oclc.org/login?url=https://www.airitibooks.com/Detail/Detail?PublicationID=P20140829029", "https://ntsu.idm.oclc.org/login?url=https://www.airitibooks.com/Detail/Detail?PublicationID=P20140829029")</f>
        <v>https://ntsu.idm.oclc.org/login?url=https://www.airitibooks.com/Detail/Detail?PublicationID=P20140829029</v>
      </c>
    </row>
    <row r="4183" spans="1:11" ht="51" x14ac:dyDescent="0.4">
      <c r="A4183" s="10" t="s">
        <v>1455</v>
      </c>
      <c r="B4183" s="10" t="s">
        <v>1456</v>
      </c>
      <c r="C4183" s="10" t="s">
        <v>1109</v>
      </c>
      <c r="D4183" s="10" t="s">
        <v>1110</v>
      </c>
      <c r="E4183" s="10" t="s">
        <v>70</v>
      </c>
      <c r="F4183" s="10" t="s">
        <v>1458</v>
      </c>
      <c r="G4183" s="10" t="s">
        <v>76</v>
      </c>
      <c r="H4183" s="7" t="s">
        <v>24</v>
      </c>
      <c r="I4183" s="7" t="s">
        <v>25</v>
      </c>
      <c r="J4183" s="13" t="str">
        <f>HYPERLINK("https://www.airitibooks.com/Detail/Detail?PublicationID=P20140902054", "https://www.airitibooks.com/Detail/Detail?PublicationID=P20140902054")</f>
        <v>https://www.airitibooks.com/Detail/Detail?PublicationID=P20140902054</v>
      </c>
      <c r="K4183" s="13" t="str">
        <f>HYPERLINK("https://ntsu.idm.oclc.org/login?url=https://www.airitibooks.com/Detail/Detail?PublicationID=P20140902054", "https://ntsu.idm.oclc.org/login?url=https://www.airitibooks.com/Detail/Detail?PublicationID=P20140902054")</f>
        <v>https://ntsu.idm.oclc.org/login?url=https://www.airitibooks.com/Detail/Detail?PublicationID=P20140902054</v>
      </c>
    </row>
    <row r="4184" spans="1:11" ht="68" x14ac:dyDescent="0.4">
      <c r="A4184" s="10" t="s">
        <v>1684</v>
      </c>
      <c r="B4184" s="10" t="s">
        <v>1685</v>
      </c>
      <c r="C4184" s="10" t="s">
        <v>731</v>
      </c>
      <c r="D4184" s="10" t="s">
        <v>1686</v>
      </c>
      <c r="E4184" s="10" t="s">
        <v>70</v>
      </c>
      <c r="F4184" s="10" t="s">
        <v>1078</v>
      </c>
      <c r="G4184" s="10" t="s">
        <v>76</v>
      </c>
      <c r="H4184" s="7" t="s">
        <v>24</v>
      </c>
      <c r="I4184" s="7" t="s">
        <v>25</v>
      </c>
      <c r="J4184" s="13" t="str">
        <f>HYPERLINK("https://www.airitibooks.com/Detail/Detail?PublicationID=P20141117070", "https://www.airitibooks.com/Detail/Detail?PublicationID=P20141117070")</f>
        <v>https://www.airitibooks.com/Detail/Detail?PublicationID=P20141117070</v>
      </c>
      <c r="K4184" s="13" t="str">
        <f>HYPERLINK("https://ntsu.idm.oclc.org/login?url=https://www.airitibooks.com/Detail/Detail?PublicationID=P20141117070", "https://ntsu.idm.oclc.org/login?url=https://www.airitibooks.com/Detail/Detail?PublicationID=P20141117070")</f>
        <v>https://ntsu.idm.oclc.org/login?url=https://www.airitibooks.com/Detail/Detail?PublicationID=P20141117070</v>
      </c>
    </row>
    <row r="4185" spans="1:11" ht="51" x14ac:dyDescent="0.4">
      <c r="A4185" s="10" t="s">
        <v>1799</v>
      </c>
      <c r="B4185" s="10" t="s">
        <v>1800</v>
      </c>
      <c r="C4185" s="10" t="s">
        <v>568</v>
      </c>
      <c r="D4185" s="10" t="s">
        <v>1801</v>
      </c>
      <c r="E4185" s="10" t="s">
        <v>70</v>
      </c>
      <c r="F4185" s="10" t="s">
        <v>294</v>
      </c>
      <c r="G4185" s="10" t="s">
        <v>76</v>
      </c>
      <c r="H4185" s="7" t="s">
        <v>24</v>
      </c>
      <c r="I4185" s="7" t="s">
        <v>25</v>
      </c>
      <c r="J4185" s="13" t="str">
        <f>HYPERLINK("https://www.airitibooks.com/Detail/Detail?PublicationID=P201501152154", "https://www.airitibooks.com/Detail/Detail?PublicationID=P201501152154")</f>
        <v>https://www.airitibooks.com/Detail/Detail?PublicationID=P201501152154</v>
      </c>
      <c r="K4185" s="13" t="str">
        <f>HYPERLINK("https://ntsu.idm.oclc.org/login?url=https://www.airitibooks.com/Detail/Detail?PublicationID=P201501152154", "https://ntsu.idm.oclc.org/login?url=https://www.airitibooks.com/Detail/Detail?PublicationID=P201501152154")</f>
        <v>https://ntsu.idm.oclc.org/login?url=https://www.airitibooks.com/Detail/Detail?PublicationID=P201501152154</v>
      </c>
    </row>
    <row r="4186" spans="1:11" ht="51" x14ac:dyDescent="0.4">
      <c r="A4186" s="10" t="s">
        <v>1881</v>
      </c>
      <c r="B4186" s="10" t="s">
        <v>1882</v>
      </c>
      <c r="C4186" s="10" t="s">
        <v>544</v>
      </c>
      <c r="D4186" s="10" t="s">
        <v>1883</v>
      </c>
      <c r="E4186" s="10" t="s">
        <v>70</v>
      </c>
      <c r="F4186" s="10" t="s">
        <v>1884</v>
      </c>
      <c r="G4186" s="10" t="s">
        <v>76</v>
      </c>
      <c r="H4186" s="7" t="s">
        <v>24</v>
      </c>
      <c r="I4186" s="7" t="s">
        <v>25</v>
      </c>
      <c r="J4186" s="13" t="str">
        <f>HYPERLINK("https://www.airitibooks.com/Detail/Detail?PublicationID=P20150122078", "https://www.airitibooks.com/Detail/Detail?PublicationID=P20150122078")</f>
        <v>https://www.airitibooks.com/Detail/Detail?PublicationID=P20150122078</v>
      </c>
      <c r="K4186" s="13" t="str">
        <f>HYPERLINK("https://ntsu.idm.oclc.org/login?url=https://www.airitibooks.com/Detail/Detail?PublicationID=P20150122078", "https://ntsu.idm.oclc.org/login?url=https://www.airitibooks.com/Detail/Detail?PublicationID=P20150122078")</f>
        <v>https://ntsu.idm.oclc.org/login?url=https://www.airitibooks.com/Detail/Detail?PublicationID=P20150122078</v>
      </c>
    </row>
    <row r="4187" spans="1:11" ht="51" x14ac:dyDescent="0.4">
      <c r="A4187" s="10" t="s">
        <v>1918</v>
      </c>
      <c r="B4187" s="10" t="s">
        <v>1919</v>
      </c>
      <c r="C4187" s="10" t="s">
        <v>1920</v>
      </c>
      <c r="D4187" s="10" t="s">
        <v>1920</v>
      </c>
      <c r="E4187" s="10" t="s">
        <v>70</v>
      </c>
      <c r="F4187" s="10" t="s">
        <v>1921</v>
      </c>
      <c r="G4187" s="10" t="s">
        <v>76</v>
      </c>
      <c r="H4187" s="7" t="s">
        <v>24</v>
      </c>
      <c r="I4187" s="7" t="s">
        <v>25</v>
      </c>
      <c r="J4187" s="13" t="str">
        <f>HYPERLINK("https://www.airitibooks.com/Detail/Detail?PublicationID=P20150205042", "https://www.airitibooks.com/Detail/Detail?PublicationID=P20150205042")</f>
        <v>https://www.airitibooks.com/Detail/Detail?PublicationID=P20150205042</v>
      </c>
      <c r="K4187" s="13" t="str">
        <f>HYPERLINK("https://ntsu.idm.oclc.org/login?url=https://www.airitibooks.com/Detail/Detail?PublicationID=P20150205042", "https://ntsu.idm.oclc.org/login?url=https://www.airitibooks.com/Detail/Detail?PublicationID=P20150205042")</f>
        <v>https://ntsu.idm.oclc.org/login?url=https://www.airitibooks.com/Detail/Detail?PublicationID=P20150205042</v>
      </c>
    </row>
    <row r="4188" spans="1:11" ht="51" x14ac:dyDescent="0.4">
      <c r="A4188" s="10" t="s">
        <v>2005</v>
      </c>
      <c r="B4188" s="10" t="s">
        <v>2006</v>
      </c>
      <c r="C4188" s="10" t="s">
        <v>101</v>
      </c>
      <c r="D4188" s="10" t="s">
        <v>102</v>
      </c>
      <c r="E4188" s="10" t="s">
        <v>70</v>
      </c>
      <c r="F4188" s="10" t="s">
        <v>2007</v>
      </c>
      <c r="G4188" s="10" t="s">
        <v>76</v>
      </c>
      <c r="H4188" s="7" t="s">
        <v>24</v>
      </c>
      <c r="I4188" s="7" t="s">
        <v>25</v>
      </c>
      <c r="J4188" s="13" t="str">
        <f>HYPERLINK("https://www.airitibooks.com/Detail/Detail?PublicationID=P20150211024", "https://www.airitibooks.com/Detail/Detail?PublicationID=P20150211024")</f>
        <v>https://www.airitibooks.com/Detail/Detail?PublicationID=P20150211024</v>
      </c>
      <c r="K4188" s="13" t="str">
        <f>HYPERLINK("https://ntsu.idm.oclc.org/login?url=https://www.airitibooks.com/Detail/Detail?PublicationID=P20150211024", "https://ntsu.idm.oclc.org/login?url=https://www.airitibooks.com/Detail/Detail?PublicationID=P20150211024")</f>
        <v>https://ntsu.idm.oclc.org/login?url=https://www.airitibooks.com/Detail/Detail?PublicationID=P20150211024</v>
      </c>
    </row>
    <row r="4189" spans="1:11" ht="51" x14ac:dyDescent="0.4">
      <c r="A4189" s="10" t="s">
        <v>2035</v>
      </c>
      <c r="B4189" s="10" t="s">
        <v>2036</v>
      </c>
      <c r="C4189" s="10" t="s">
        <v>467</v>
      </c>
      <c r="D4189" s="10" t="s">
        <v>2037</v>
      </c>
      <c r="E4189" s="10" t="s">
        <v>70</v>
      </c>
      <c r="F4189" s="10" t="s">
        <v>2038</v>
      </c>
      <c r="G4189" s="10" t="s">
        <v>76</v>
      </c>
      <c r="H4189" s="7" t="s">
        <v>24</v>
      </c>
      <c r="I4189" s="7" t="s">
        <v>25</v>
      </c>
      <c r="J4189" s="13" t="str">
        <f>HYPERLINK("https://www.airitibooks.com/Detail/Detail?PublicationID=P20150304003", "https://www.airitibooks.com/Detail/Detail?PublicationID=P20150304003")</f>
        <v>https://www.airitibooks.com/Detail/Detail?PublicationID=P20150304003</v>
      </c>
      <c r="K4189" s="13" t="str">
        <f>HYPERLINK("https://ntsu.idm.oclc.org/login?url=https://www.airitibooks.com/Detail/Detail?PublicationID=P20150304003", "https://ntsu.idm.oclc.org/login?url=https://www.airitibooks.com/Detail/Detail?PublicationID=P20150304003")</f>
        <v>https://ntsu.idm.oclc.org/login?url=https://www.airitibooks.com/Detail/Detail?PublicationID=P20150304003</v>
      </c>
    </row>
    <row r="4190" spans="1:11" ht="51" x14ac:dyDescent="0.4">
      <c r="A4190" s="10" t="s">
        <v>2047</v>
      </c>
      <c r="B4190" s="10" t="s">
        <v>2048</v>
      </c>
      <c r="C4190" s="10" t="s">
        <v>838</v>
      </c>
      <c r="D4190" s="10" t="s">
        <v>2049</v>
      </c>
      <c r="E4190" s="10" t="s">
        <v>70</v>
      </c>
      <c r="F4190" s="10" t="s">
        <v>1092</v>
      </c>
      <c r="G4190" s="10" t="s">
        <v>76</v>
      </c>
      <c r="H4190" s="7" t="s">
        <v>24</v>
      </c>
      <c r="I4190" s="7" t="s">
        <v>25</v>
      </c>
      <c r="J4190" s="13" t="str">
        <f>HYPERLINK("https://www.airitibooks.com/Detail/Detail?PublicationID=P20150304018", "https://www.airitibooks.com/Detail/Detail?PublicationID=P20150304018")</f>
        <v>https://www.airitibooks.com/Detail/Detail?PublicationID=P20150304018</v>
      </c>
      <c r="K4190" s="13" t="str">
        <f>HYPERLINK("https://ntsu.idm.oclc.org/login?url=https://www.airitibooks.com/Detail/Detail?PublicationID=P20150304018", "https://ntsu.idm.oclc.org/login?url=https://www.airitibooks.com/Detail/Detail?PublicationID=P20150304018")</f>
        <v>https://ntsu.idm.oclc.org/login?url=https://www.airitibooks.com/Detail/Detail?PublicationID=P20150304018</v>
      </c>
    </row>
    <row r="4191" spans="1:11" ht="51" x14ac:dyDescent="0.4">
      <c r="A4191" s="10" t="s">
        <v>2264</v>
      </c>
      <c r="B4191" s="10" t="s">
        <v>2265</v>
      </c>
      <c r="C4191" s="10" t="s">
        <v>2266</v>
      </c>
      <c r="D4191" s="10" t="s">
        <v>2267</v>
      </c>
      <c r="E4191" s="10" t="s">
        <v>70</v>
      </c>
      <c r="F4191" s="10" t="s">
        <v>2268</v>
      </c>
      <c r="G4191" s="10" t="s">
        <v>76</v>
      </c>
      <c r="H4191" s="7" t="s">
        <v>24</v>
      </c>
      <c r="I4191" s="7" t="s">
        <v>25</v>
      </c>
      <c r="J4191" s="13" t="str">
        <f>HYPERLINK("https://www.airitibooks.com/Detail/Detail?PublicationID=P20150323046", "https://www.airitibooks.com/Detail/Detail?PublicationID=P20150323046")</f>
        <v>https://www.airitibooks.com/Detail/Detail?PublicationID=P20150323046</v>
      </c>
      <c r="K4191" s="13" t="str">
        <f>HYPERLINK("https://ntsu.idm.oclc.org/login?url=https://www.airitibooks.com/Detail/Detail?PublicationID=P20150323046", "https://ntsu.idm.oclc.org/login?url=https://www.airitibooks.com/Detail/Detail?PublicationID=P20150323046")</f>
        <v>https://ntsu.idm.oclc.org/login?url=https://www.airitibooks.com/Detail/Detail?PublicationID=P20150323046</v>
      </c>
    </row>
    <row r="4192" spans="1:11" ht="51" x14ac:dyDescent="0.4">
      <c r="A4192" s="10" t="s">
        <v>2269</v>
      </c>
      <c r="B4192" s="10" t="s">
        <v>2270</v>
      </c>
      <c r="C4192" s="10" t="s">
        <v>2266</v>
      </c>
      <c r="D4192" s="10" t="s">
        <v>2271</v>
      </c>
      <c r="E4192" s="10" t="s">
        <v>70</v>
      </c>
      <c r="F4192" s="10" t="s">
        <v>2268</v>
      </c>
      <c r="G4192" s="10" t="s">
        <v>76</v>
      </c>
      <c r="H4192" s="7" t="s">
        <v>24</v>
      </c>
      <c r="I4192" s="7" t="s">
        <v>25</v>
      </c>
      <c r="J4192" s="13" t="str">
        <f>HYPERLINK("https://www.airitibooks.com/Detail/Detail?PublicationID=P20150323047", "https://www.airitibooks.com/Detail/Detail?PublicationID=P20150323047")</f>
        <v>https://www.airitibooks.com/Detail/Detail?PublicationID=P20150323047</v>
      </c>
      <c r="K4192" s="13" t="str">
        <f>HYPERLINK("https://ntsu.idm.oclc.org/login?url=https://www.airitibooks.com/Detail/Detail?PublicationID=P20150323047", "https://ntsu.idm.oclc.org/login?url=https://www.airitibooks.com/Detail/Detail?PublicationID=P20150323047")</f>
        <v>https://ntsu.idm.oclc.org/login?url=https://www.airitibooks.com/Detail/Detail?PublicationID=P20150323047</v>
      </c>
    </row>
    <row r="4193" spans="1:11" ht="51" x14ac:dyDescent="0.4">
      <c r="A4193" s="10" t="s">
        <v>2276</v>
      </c>
      <c r="B4193" s="10" t="s">
        <v>2277</v>
      </c>
      <c r="C4193" s="10" t="s">
        <v>304</v>
      </c>
      <c r="D4193" s="10" t="s">
        <v>313</v>
      </c>
      <c r="E4193" s="10" t="s">
        <v>70</v>
      </c>
      <c r="F4193" s="10" t="s">
        <v>310</v>
      </c>
      <c r="G4193" s="10" t="s">
        <v>76</v>
      </c>
      <c r="H4193" s="7" t="s">
        <v>24</v>
      </c>
      <c r="I4193" s="7" t="s">
        <v>25</v>
      </c>
      <c r="J4193" s="13" t="str">
        <f>HYPERLINK("https://www.airitibooks.com/Detail/Detail?PublicationID=P20150323057", "https://www.airitibooks.com/Detail/Detail?PublicationID=P20150323057")</f>
        <v>https://www.airitibooks.com/Detail/Detail?PublicationID=P20150323057</v>
      </c>
      <c r="K4193" s="13" t="str">
        <f>HYPERLINK("https://ntsu.idm.oclc.org/login?url=https://www.airitibooks.com/Detail/Detail?PublicationID=P20150323057", "https://ntsu.idm.oclc.org/login?url=https://www.airitibooks.com/Detail/Detail?PublicationID=P20150323057")</f>
        <v>https://ntsu.idm.oclc.org/login?url=https://www.airitibooks.com/Detail/Detail?PublicationID=P20150323057</v>
      </c>
    </row>
    <row r="4194" spans="1:11" ht="51" x14ac:dyDescent="0.4">
      <c r="A4194" s="10" t="s">
        <v>2278</v>
      </c>
      <c r="B4194" s="10" t="s">
        <v>2279</v>
      </c>
      <c r="C4194" s="10" t="s">
        <v>304</v>
      </c>
      <c r="D4194" s="10" t="s">
        <v>2280</v>
      </c>
      <c r="E4194" s="10" t="s">
        <v>70</v>
      </c>
      <c r="F4194" s="10" t="s">
        <v>310</v>
      </c>
      <c r="G4194" s="10" t="s">
        <v>76</v>
      </c>
      <c r="H4194" s="7" t="s">
        <v>24</v>
      </c>
      <c r="I4194" s="7" t="s">
        <v>25</v>
      </c>
      <c r="J4194" s="13" t="str">
        <f>HYPERLINK("https://www.airitibooks.com/Detail/Detail?PublicationID=P20150323058", "https://www.airitibooks.com/Detail/Detail?PublicationID=P20150323058")</f>
        <v>https://www.airitibooks.com/Detail/Detail?PublicationID=P20150323058</v>
      </c>
      <c r="K4194" s="13" t="str">
        <f>HYPERLINK("https://ntsu.idm.oclc.org/login?url=https://www.airitibooks.com/Detail/Detail?PublicationID=P20150323058", "https://ntsu.idm.oclc.org/login?url=https://www.airitibooks.com/Detail/Detail?PublicationID=P20150323058")</f>
        <v>https://ntsu.idm.oclc.org/login?url=https://www.airitibooks.com/Detail/Detail?PublicationID=P20150323058</v>
      </c>
    </row>
    <row r="4195" spans="1:11" ht="51" x14ac:dyDescent="0.4">
      <c r="A4195" s="10" t="s">
        <v>2285</v>
      </c>
      <c r="B4195" s="10" t="s">
        <v>2286</v>
      </c>
      <c r="C4195" s="10" t="s">
        <v>304</v>
      </c>
      <c r="D4195" s="10" t="s">
        <v>2287</v>
      </c>
      <c r="E4195" s="10" t="s">
        <v>70</v>
      </c>
      <c r="F4195" s="10" t="s">
        <v>2288</v>
      </c>
      <c r="G4195" s="10" t="s">
        <v>76</v>
      </c>
      <c r="H4195" s="7" t="s">
        <v>24</v>
      </c>
      <c r="I4195" s="7" t="s">
        <v>25</v>
      </c>
      <c r="J4195" s="13" t="str">
        <f>HYPERLINK("https://www.airitibooks.com/Detail/Detail?PublicationID=P20150323060", "https://www.airitibooks.com/Detail/Detail?PublicationID=P20150323060")</f>
        <v>https://www.airitibooks.com/Detail/Detail?PublicationID=P20150323060</v>
      </c>
      <c r="K4195" s="13" t="str">
        <f>HYPERLINK("https://ntsu.idm.oclc.org/login?url=https://www.airitibooks.com/Detail/Detail?PublicationID=P20150323060", "https://ntsu.idm.oclc.org/login?url=https://www.airitibooks.com/Detail/Detail?PublicationID=P20150323060")</f>
        <v>https://ntsu.idm.oclc.org/login?url=https://www.airitibooks.com/Detail/Detail?PublicationID=P20150323060</v>
      </c>
    </row>
    <row r="4196" spans="1:11" ht="51" x14ac:dyDescent="0.4">
      <c r="A4196" s="10" t="s">
        <v>2289</v>
      </c>
      <c r="B4196" s="10" t="s">
        <v>2290</v>
      </c>
      <c r="C4196" s="10" t="s">
        <v>304</v>
      </c>
      <c r="D4196" s="10" t="s">
        <v>353</v>
      </c>
      <c r="E4196" s="10" t="s">
        <v>70</v>
      </c>
      <c r="F4196" s="10" t="s">
        <v>2291</v>
      </c>
      <c r="G4196" s="10" t="s">
        <v>76</v>
      </c>
      <c r="H4196" s="7" t="s">
        <v>24</v>
      </c>
      <c r="I4196" s="7" t="s">
        <v>25</v>
      </c>
      <c r="J4196" s="13" t="str">
        <f>HYPERLINK("https://www.airitibooks.com/Detail/Detail?PublicationID=P20150323061", "https://www.airitibooks.com/Detail/Detail?PublicationID=P20150323061")</f>
        <v>https://www.airitibooks.com/Detail/Detail?PublicationID=P20150323061</v>
      </c>
      <c r="K4196" s="13" t="str">
        <f>HYPERLINK("https://ntsu.idm.oclc.org/login?url=https://www.airitibooks.com/Detail/Detail?PublicationID=P20150323061", "https://ntsu.idm.oclc.org/login?url=https://www.airitibooks.com/Detail/Detail?PublicationID=P20150323061")</f>
        <v>https://ntsu.idm.oclc.org/login?url=https://www.airitibooks.com/Detail/Detail?PublicationID=P20150323061</v>
      </c>
    </row>
    <row r="4197" spans="1:11" ht="51" x14ac:dyDescent="0.4">
      <c r="A4197" s="10" t="s">
        <v>2303</v>
      </c>
      <c r="B4197" s="10" t="s">
        <v>2304</v>
      </c>
      <c r="C4197" s="10" t="s">
        <v>2299</v>
      </c>
      <c r="D4197" s="10" t="s">
        <v>2300</v>
      </c>
      <c r="E4197" s="10" t="s">
        <v>70</v>
      </c>
      <c r="F4197" s="10" t="s">
        <v>2305</v>
      </c>
      <c r="G4197" s="10" t="s">
        <v>76</v>
      </c>
      <c r="H4197" s="7" t="s">
        <v>24</v>
      </c>
      <c r="I4197" s="7" t="s">
        <v>25</v>
      </c>
      <c r="J4197" s="13" t="str">
        <f>HYPERLINK("https://www.airitibooks.com/Detail/Detail?PublicationID=P20150330034", "https://www.airitibooks.com/Detail/Detail?PublicationID=P20150330034")</f>
        <v>https://www.airitibooks.com/Detail/Detail?PublicationID=P20150330034</v>
      </c>
      <c r="K4197" s="13" t="str">
        <f>HYPERLINK("https://ntsu.idm.oclc.org/login?url=https://www.airitibooks.com/Detail/Detail?PublicationID=P20150330034", "https://ntsu.idm.oclc.org/login?url=https://www.airitibooks.com/Detail/Detail?PublicationID=P20150330034")</f>
        <v>https://ntsu.idm.oclc.org/login?url=https://www.airitibooks.com/Detail/Detail?PublicationID=P20150330034</v>
      </c>
    </row>
    <row r="4198" spans="1:11" ht="68" x14ac:dyDescent="0.4">
      <c r="A4198" s="10" t="s">
        <v>2425</v>
      </c>
      <c r="B4198" s="10" t="s">
        <v>2426</v>
      </c>
      <c r="C4198" s="10" t="s">
        <v>2427</v>
      </c>
      <c r="D4198" s="10" t="s">
        <v>2428</v>
      </c>
      <c r="E4198" s="10" t="s">
        <v>70</v>
      </c>
      <c r="F4198" s="10" t="s">
        <v>2007</v>
      </c>
      <c r="G4198" s="10" t="s">
        <v>76</v>
      </c>
      <c r="H4198" s="7" t="s">
        <v>24</v>
      </c>
      <c r="I4198" s="7" t="s">
        <v>25</v>
      </c>
      <c r="J4198" s="13" t="str">
        <f>HYPERLINK("https://www.airitibooks.com/Detail/Detail?PublicationID=P20150420043", "https://www.airitibooks.com/Detail/Detail?PublicationID=P20150420043")</f>
        <v>https://www.airitibooks.com/Detail/Detail?PublicationID=P20150420043</v>
      </c>
      <c r="K4198" s="13" t="str">
        <f>HYPERLINK("https://ntsu.idm.oclc.org/login?url=https://www.airitibooks.com/Detail/Detail?PublicationID=P20150420043", "https://ntsu.idm.oclc.org/login?url=https://www.airitibooks.com/Detail/Detail?PublicationID=P20150420043")</f>
        <v>https://ntsu.idm.oclc.org/login?url=https://www.airitibooks.com/Detail/Detail?PublicationID=P20150420043</v>
      </c>
    </row>
    <row r="4199" spans="1:11" ht="51" x14ac:dyDescent="0.4">
      <c r="A4199" s="10" t="s">
        <v>2472</v>
      </c>
      <c r="B4199" s="10" t="s">
        <v>2473</v>
      </c>
      <c r="C4199" s="10" t="s">
        <v>938</v>
      </c>
      <c r="D4199" s="10" t="s">
        <v>2474</v>
      </c>
      <c r="E4199" s="10" t="s">
        <v>70</v>
      </c>
      <c r="F4199" s="10" t="s">
        <v>2476</v>
      </c>
      <c r="G4199" s="10" t="s">
        <v>76</v>
      </c>
      <c r="H4199" s="7" t="s">
        <v>24</v>
      </c>
      <c r="I4199" s="7" t="s">
        <v>25</v>
      </c>
      <c r="J4199" s="13" t="str">
        <f>HYPERLINK("https://www.airitibooks.com/Detail/Detail?PublicationID=P20150505071", "https://www.airitibooks.com/Detail/Detail?PublicationID=P20150505071")</f>
        <v>https://www.airitibooks.com/Detail/Detail?PublicationID=P20150505071</v>
      </c>
      <c r="K4199" s="13" t="str">
        <f>HYPERLINK("https://ntsu.idm.oclc.org/login?url=https://www.airitibooks.com/Detail/Detail?PublicationID=P20150505071", "https://ntsu.idm.oclc.org/login?url=https://www.airitibooks.com/Detail/Detail?PublicationID=P20150505071")</f>
        <v>https://ntsu.idm.oclc.org/login?url=https://www.airitibooks.com/Detail/Detail?PublicationID=P20150505071</v>
      </c>
    </row>
    <row r="4200" spans="1:11" ht="51" x14ac:dyDescent="0.4">
      <c r="A4200" s="10" t="s">
        <v>2544</v>
      </c>
      <c r="B4200" s="10" t="s">
        <v>2545</v>
      </c>
      <c r="C4200" s="10" t="s">
        <v>2546</v>
      </c>
      <c r="D4200" s="10" t="s">
        <v>2547</v>
      </c>
      <c r="E4200" s="10" t="s">
        <v>70</v>
      </c>
      <c r="F4200" s="10" t="s">
        <v>2548</v>
      </c>
      <c r="G4200" s="10" t="s">
        <v>76</v>
      </c>
      <c r="H4200" s="7" t="s">
        <v>24</v>
      </c>
      <c r="I4200" s="7" t="s">
        <v>25</v>
      </c>
      <c r="J4200" s="13" t="str">
        <f>HYPERLINK("https://www.airitibooks.com/Detail/Detail?PublicationID=P20150511005", "https://www.airitibooks.com/Detail/Detail?PublicationID=P20150511005")</f>
        <v>https://www.airitibooks.com/Detail/Detail?PublicationID=P20150511005</v>
      </c>
      <c r="K4200" s="13" t="str">
        <f>HYPERLINK("https://ntsu.idm.oclc.org/login?url=https://www.airitibooks.com/Detail/Detail?PublicationID=P20150511005", "https://ntsu.idm.oclc.org/login?url=https://www.airitibooks.com/Detail/Detail?PublicationID=P20150511005")</f>
        <v>https://ntsu.idm.oclc.org/login?url=https://www.airitibooks.com/Detail/Detail?PublicationID=P20150511005</v>
      </c>
    </row>
    <row r="4201" spans="1:11" ht="68" x14ac:dyDescent="0.4">
      <c r="A4201" s="10" t="s">
        <v>2549</v>
      </c>
      <c r="B4201" s="10" t="s">
        <v>2550</v>
      </c>
      <c r="C4201" s="10" t="s">
        <v>990</v>
      </c>
      <c r="D4201" s="10" t="s">
        <v>2551</v>
      </c>
      <c r="E4201" s="10" t="s">
        <v>70</v>
      </c>
      <c r="F4201" s="10" t="s">
        <v>2552</v>
      </c>
      <c r="G4201" s="10" t="s">
        <v>76</v>
      </c>
      <c r="H4201" s="7" t="s">
        <v>24</v>
      </c>
      <c r="I4201" s="7" t="s">
        <v>25</v>
      </c>
      <c r="J4201" s="13" t="str">
        <f>HYPERLINK("https://www.airitibooks.com/Detail/Detail?PublicationID=P20150511011", "https://www.airitibooks.com/Detail/Detail?PublicationID=P20150511011")</f>
        <v>https://www.airitibooks.com/Detail/Detail?PublicationID=P20150511011</v>
      </c>
      <c r="K4201" s="13" t="str">
        <f>HYPERLINK("https://ntsu.idm.oclc.org/login?url=https://www.airitibooks.com/Detail/Detail?PublicationID=P20150511011", "https://ntsu.idm.oclc.org/login?url=https://www.airitibooks.com/Detail/Detail?PublicationID=P20150511011")</f>
        <v>https://ntsu.idm.oclc.org/login?url=https://www.airitibooks.com/Detail/Detail?PublicationID=P20150511011</v>
      </c>
    </row>
    <row r="4202" spans="1:11" ht="68" x14ac:dyDescent="0.4">
      <c r="A4202" s="10" t="s">
        <v>2668</v>
      </c>
      <c r="B4202" s="10" t="s">
        <v>2669</v>
      </c>
      <c r="C4202" s="10" t="s">
        <v>661</v>
      </c>
      <c r="D4202" s="10" t="s">
        <v>2670</v>
      </c>
      <c r="E4202" s="10" t="s">
        <v>70</v>
      </c>
      <c r="F4202" s="10" t="s">
        <v>2671</v>
      </c>
      <c r="G4202" s="10" t="s">
        <v>76</v>
      </c>
      <c r="H4202" s="7" t="s">
        <v>24</v>
      </c>
      <c r="I4202" s="7" t="s">
        <v>25</v>
      </c>
      <c r="J4202" s="13" t="str">
        <f>HYPERLINK("https://www.airitibooks.com/Detail/Detail?PublicationID=P20150618008", "https://www.airitibooks.com/Detail/Detail?PublicationID=P20150618008")</f>
        <v>https://www.airitibooks.com/Detail/Detail?PublicationID=P20150618008</v>
      </c>
      <c r="K4202" s="13" t="str">
        <f>HYPERLINK("https://ntsu.idm.oclc.org/login?url=https://www.airitibooks.com/Detail/Detail?PublicationID=P20150618008", "https://ntsu.idm.oclc.org/login?url=https://www.airitibooks.com/Detail/Detail?PublicationID=P20150618008")</f>
        <v>https://ntsu.idm.oclc.org/login?url=https://www.airitibooks.com/Detail/Detail?PublicationID=P20150618008</v>
      </c>
    </row>
    <row r="4203" spans="1:11" ht="51" x14ac:dyDescent="0.4">
      <c r="A4203" s="10" t="s">
        <v>2672</v>
      </c>
      <c r="B4203" s="10" t="s">
        <v>2673</v>
      </c>
      <c r="C4203" s="10" t="s">
        <v>661</v>
      </c>
      <c r="D4203" s="10" t="s">
        <v>2674</v>
      </c>
      <c r="E4203" s="10" t="s">
        <v>70</v>
      </c>
      <c r="F4203" s="10" t="s">
        <v>2675</v>
      </c>
      <c r="G4203" s="10" t="s">
        <v>76</v>
      </c>
      <c r="H4203" s="7" t="s">
        <v>24</v>
      </c>
      <c r="I4203" s="7" t="s">
        <v>25</v>
      </c>
      <c r="J4203" s="13" t="str">
        <f>HYPERLINK("https://www.airitibooks.com/Detail/Detail?PublicationID=P20150618010", "https://www.airitibooks.com/Detail/Detail?PublicationID=P20150618010")</f>
        <v>https://www.airitibooks.com/Detail/Detail?PublicationID=P20150618010</v>
      </c>
      <c r="K4203" s="13" t="str">
        <f>HYPERLINK("https://ntsu.idm.oclc.org/login?url=https://www.airitibooks.com/Detail/Detail?PublicationID=P20150618010", "https://ntsu.idm.oclc.org/login?url=https://www.airitibooks.com/Detail/Detail?PublicationID=P20150618010")</f>
        <v>https://ntsu.idm.oclc.org/login?url=https://www.airitibooks.com/Detail/Detail?PublicationID=P20150618010</v>
      </c>
    </row>
    <row r="4204" spans="1:11" ht="51" x14ac:dyDescent="0.4">
      <c r="A4204" s="10" t="s">
        <v>2676</v>
      </c>
      <c r="B4204" s="10" t="s">
        <v>2677</v>
      </c>
      <c r="C4204" s="10" t="s">
        <v>661</v>
      </c>
      <c r="D4204" s="10" t="s">
        <v>2678</v>
      </c>
      <c r="E4204" s="10" t="s">
        <v>70</v>
      </c>
      <c r="F4204" s="10" t="s">
        <v>2675</v>
      </c>
      <c r="G4204" s="10" t="s">
        <v>76</v>
      </c>
      <c r="H4204" s="7" t="s">
        <v>24</v>
      </c>
      <c r="I4204" s="7" t="s">
        <v>25</v>
      </c>
      <c r="J4204" s="13" t="str">
        <f>HYPERLINK("https://www.airitibooks.com/Detail/Detail?PublicationID=P20150618011", "https://www.airitibooks.com/Detail/Detail?PublicationID=P20150618011")</f>
        <v>https://www.airitibooks.com/Detail/Detail?PublicationID=P20150618011</v>
      </c>
      <c r="K4204" s="13" t="str">
        <f>HYPERLINK("https://ntsu.idm.oclc.org/login?url=https://www.airitibooks.com/Detail/Detail?PublicationID=P20150618011", "https://ntsu.idm.oclc.org/login?url=https://www.airitibooks.com/Detail/Detail?PublicationID=P20150618011")</f>
        <v>https://ntsu.idm.oclc.org/login?url=https://www.airitibooks.com/Detail/Detail?PublicationID=P20150618011</v>
      </c>
    </row>
    <row r="4205" spans="1:11" ht="51" x14ac:dyDescent="0.4">
      <c r="A4205" s="10" t="s">
        <v>2754</v>
      </c>
      <c r="B4205" s="10" t="s">
        <v>2755</v>
      </c>
      <c r="C4205" s="10" t="s">
        <v>499</v>
      </c>
      <c r="D4205" s="10" t="s">
        <v>2756</v>
      </c>
      <c r="E4205" s="10" t="s">
        <v>70</v>
      </c>
      <c r="F4205" s="10" t="s">
        <v>2757</v>
      </c>
      <c r="G4205" s="10" t="s">
        <v>76</v>
      </c>
      <c r="H4205" s="7" t="s">
        <v>24</v>
      </c>
      <c r="I4205" s="7" t="s">
        <v>25</v>
      </c>
      <c r="J4205" s="13" t="str">
        <f>HYPERLINK("https://www.airitibooks.com/Detail/Detail?PublicationID=P20150624201", "https://www.airitibooks.com/Detail/Detail?PublicationID=P20150624201")</f>
        <v>https://www.airitibooks.com/Detail/Detail?PublicationID=P20150624201</v>
      </c>
      <c r="K4205" s="13" t="str">
        <f>HYPERLINK("https://ntsu.idm.oclc.org/login?url=https://www.airitibooks.com/Detail/Detail?PublicationID=P20150624201", "https://ntsu.idm.oclc.org/login?url=https://www.airitibooks.com/Detail/Detail?PublicationID=P20150624201")</f>
        <v>https://ntsu.idm.oclc.org/login?url=https://www.airitibooks.com/Detail/Detail?PublicationID=P20150624201</v>
      </c>
    </row>
    <row r="4206" spans="1:11" ht="51" x14ac:dyDescent="0.4">
      <c r="A4206" s="10" t="s">
        <v>3195</v>
      </c>
      <c r="B4206" s="10" t="s">
        <v>3196</v>
      </c>
      <c r="C4206" s="10" t="s">
        <v>791</v>
      </c>
      <c r="D4206" s="10" t="s">
        <v>3197</v>
      </c>
      <c r="E4206" s="10" t="s">
        <v>70</v>
      </c>
      <c r="F4206" s="10" t="s">
        <v>774</v>
      </c>
      <c r="G4206" s="10" t="s">
        <v>76</v>
      </c>
      <c r="H4206" s="7" t="s">
        <v>24</v>
      </c>
      <c r="I4206" s="7" t="s">
        <v>25</v>
      </c>
      <c r="J4206" s="13" t="str">
        <f>HYPERLINK("https://www.airitibooks.com/Detail/Detail?PublicationID=P20150820191", "https://www.airitibooks.com/Detail/Detail?PublicationID=P20150820191")</f>
        <v>https://www.airitibooks.com/Detail/Detail?PublicationID=P20150820191</v>
      </c>
      <c r="K4206" s="13" t="str">
        <f>HYPERLINK("https://ntsu.idm.oclc.org/login?url=https://www.airitibooks.com/Detail/Detail?PublicationID=P20150820191", "https://ntsu.idm.oclc.org/login?url=https://www.airitibooks.com/Detail/Detail?PublicationID=P20150820191")</f>
        <v>https://ntsu.idm.oclc.org/login?url=https://www.airitibooks.com/Detail/Detail?PublicationID=P20150820191</v>
      </c>
    </row>
    <row r="4207" spans="1:11" ht="51" x14ac:dyDescent="0.4">
      <c r="A4207" s="10" t="s">
        <v>3724</v>
      </c>
      <c r="B4207" s="10" t="s">
        <v>3725</v>
      </c>
      <c r="C4207" s="10" t="s">
        <v>3705</v>
      </c>
      <c r="D4207" s="10" t="s">
        <v>3726</v>
      </c>
      <c r="E4207" s="10" t="s">
        <v>70</v>
      </c>
      <c r="F4207" s="10" t="s">
        <v>3727</v>
      </c>
      <c r="G4207" s="10" t="s">
        <v>76</v>
      </c>
      <c r="H4207" s="7" t="s">
        <v>24</v>
      </c>
      <c r="I4207" s="7" t="s">
        <v>25</v>
      </c>
      <c r="J4207" s="13" t="str">
        <f>HYPERLINK("https://www.airitibooks.com/Detail/Detail?PublicationID=P20151020383", "https://www.airitibooks.com/Detail/Detail?PublicationID=P20151020383")</f>
        <v>https://www.airitibooks.com/Detail/Detail?PublicationID=P20151020383</v>
      </c>
      <c r="K4207" s="13" t="str">
        <f>HYPERLINK("https://ntsu.idm.oclc.org/login?url=https://www.airitibooks.com/Detail/Detail?PublicationID=P20151020383", "https://ntsu.idm.oclc.org/login?url=https://www.airitibooks.com/Detail/Detail?PublicationID=P20151020383")</f>
        <v>https://ntsu.idm.oclc.org/login?url=https://www.airitibooks.com/Detail/Detail?PublicationID=P20151020383</v>
      </c>
    </row>
    <row r="4208" spans="1:11" ht="51" x14ac:dyDescent="0.4">
      <c r="A4208" s="10" t="s">
        <v>3732</v>
      </c>
      <c r="B4208" s="10" t="s">
        <v>3733</v>
      </c>
      <c r="C4208" s="10" t="s">
        <v>3705</v>
      </c>
      <c r="D4208" s="10" t="s">
        <v>3734</v>
      </c>
      <c r="E4208" s="10" t="s">
        <v>70</v>
      </c>
      <c r="F4208" s="10" t="s">
        <v>3152</v>
      </c>
      <c r="G4208" s="10" t="s">
        <v>76</v>
      </c>
      <c r="H4208" s="7" t="s">
        <v>24</v>
      </c>
      <c r="I4208" s="7" t="s">
        <v>25</v>
      </c>
      <c r="J4208" s="13" t="str">
        <f>HYPERLINK("https://www.airitibooks.com/Detail/Detail?PublicationID=P20151020385", "https://www.airitibooks.com/Detail/Detail?PublicationID=P20151020385")</f>
        <v>https://www.airitibooks.com/Detail/Detail?PublicationID=P20151020385</v>
      </c>
      <c r="K4208" s="13" t="str">
        <f>HYPERLINK("https://ntsu.idm.oclc.org/login?url=https://www.airitibooks.com/Detail/Detail?PublicationID=P20151020385", "https://ntsu.idm.oclc.org/login?url=https://www.airitibooks.com/Detail/Detail?PublicationID=P20151020385")</f>
        <v>https://ntsu.idm.oclc.org/login?url=https://www.airitibooks.com/Detail/Detail?PublicationID=P20151020385</v>
      </c>
    </row>
    <row r="4209" spans="1:11" ht="51" x14ac:dyDescent="0.4">
      <c r="A4209" s="10" t="s">
        <v>3826</v>
      </c>
      <c r="B4209" s="10" t="s">
        <v>3827</v>
      </c>
      <c r="C4209" s="10" t="s">
        <v>2546</v>
      </c>
      <c r="D4209" s="10" t="s">
        <v>3828</v>
      </c>
      <c r="E4209" s="10" t="s">
        <v>70</v>
      </c>
      <c r="F4209" s="10" t="s">
        <v>3829</v>
      </c>
      <c r="G4209" s="10" t="s">
        <v>76</v>
      </c>
      <c r="H4209" s="7" t="s">
        <v>24</v>
      </c>
      <c r="I4209" s="7" t="s">
        <v>25</v>
      </c>
      <c r="J4209" s="13" t="str">
        <f>HYPERLINK("https://www.airitibooks.com/Detail/Detail?PublicationID=P20151027088", "https://www.airitibooks.com/Detail/Detail?PublicationID=P20151027088")</f>
        <v>https://www.airitibooks.com/Detail/Detail?PublicationID=P20151027088</v>
      </c>
      <c r="K4209" s="13" t="str">
        <f>HYPERLINK("https://ntsu.idm.oclc.org/login?url=https://www.airitibooks.com/Detail/Detail?PublicationID=P20151027088", "https://ntsu.idm.oclc.org/login?url=https://www.airitibooks.com/Detail/Detail?PublicationID=P20151027088")</f>
        <v>https://ntsu.idm.oclc.org/login?url=https://www.airitibooks.com/Detail/Detail?PublicationID=P20151027088</v>
      </c>
    </row>
    <row r="4210" spans="1:11" ht="51" x14ac:dyDescent="0.4">
      <c r="A4210" s="10" t="s">
        <v>3972</v>
      </c>
      <c r="B4210" s="10" t="s">
        <v>3973</v>
      </c>
      <c r="C4210" s="10" t="s">
        <v>152</v>
      </c>
      <c r="D4210" s="10" t="s">
        <v>3974</v>
      </c>
      <c r="E4210" s="10" t="s">
        <v>70</v>
      </c>
      <c r="F4210" s="10" t="s">
        <v>3975</v>
      </c>
      <c r="G4210" s="10" t="s">
        <v>76</v>
      </c>
      <c r="H4210" s="7" t="s">
        <v>24</v>
      </c>
      <c r="I4210" s="7" t="s">
        <v>25</v>
      </c>
      <c r="J4210" s="13" t="str">
        <f>HYPERLINK("https://www.airitibooks.com/Detail/Detail?PublicationID=P20151111111", "https://www.airitibooks.com/Detail/Detail?PublicationID=P20151111111")</f>
        <v>https://www.airitibooks.com/Detail/Detail?PublicationID=P20151111111</v>
      </c>
      <c r="K4210" s="13" t="str">
        <f>HYPERLINK("https://ntsu.idm.oclc.org/login?url=https://www.airitibooks.com/Detail/Detail?PublicationID=P20151111111", "https://ntsu.idm.oclc.org/login?url=https://www.airitibooks.com/Detail/Detail?PublicationID=P20151111111")</f>
        <v>https://ntsu.idm.oclc.org/login?url=https://www.airitibooks.com/Detail/Detail?PublicationID=P20151111111</v>
      </c>
    </row>
    <row r="4211" spans="1:11" ht="51" x14ac:dyDescent="0.4">
      <c r="A4211" s="10" t="s">
        <v>4595</v>
      </c>
      <c r="B4211" s="10" t="s">
        <v>4596</v>
      </c>
      <c r="C4211" s="10" t="s">
        <v>4597</v>
      </c>
      <c r="D4211" s="10" t="s">
        <v>4598</v>
      </c>
      <c r="E4211" s="10" t="s">
        <v>70</v>
      </c>
      <c r="F4211" s="10" t="s">
        <v>3975</v>
      </c>
      <c r="G4211" s="10" t="s">
        <v>76</v>
      </c>
      <c r="H4211" s="7" t="s">
        <v>24</v>
      </c>
      <c r="I4211" s="7" t="s">
        <v>25</v>
      </c>
      <c r="J4211" s="13" t="str">
        <f>HYPERLINK("https://www.airitibooks.com/Detail/Detail?PublicationID=P20160525009", "https://www.airitibooks.com/Detail/Detail?PublicationID=P20160525009")</f>
        <v>https://www.airitibooks.com/Detail/Detail?PublicationID=P20160525009</v>
      </c>
      <c r="K4211" s="13" t="str">
        <f>HYPERLINK("https://ntsu.idm.oclc.org/login?url=https://www.airitibooks.com/Detail/Detail?PublicationID=P20160525009", "https://ntsu.idm.oclc.org/login?url=https://www.airitibooks.com/Detail/Detail?PublicationID=P20160525009")</f>
        <v>https://ntsu.idm.oclc.org/login?url=https://www.airitibooks.com/Detail/Detail?PublicationID=P20160525009</v>
      </c>
    </row>
    <row r="4212" spans="1:11" ht="51" x14ac:dyDescent="0.4">
      <c r="A4212" s="10" t="s">
        <v>4599</v>
      </c>
      <c r="B4212" s="10" t="s">
        <v>4600</v>
      </c>
      <c r="C4212" s="10" t="s">
        <v>4597</v>
      </c>
      <c r="D4212" s="10" t="s">
        <v>4601</v>
      </c>
      <c r="E4212" s="10" t="s">
        <v>70</v>
      </c>
      <c r="F4212" s="10" t="s">
        <v>4602</v>
      </c>
      <c r="G4212" s="10" t="s">
        <v>76</v>
      </c>
      <c r="H4212" s="7" t="s">
        <v>24</v>
      </c>
      <c r="I4212" s="7" t="s">
        <v>25</v>
      </c>
      <c r="J4212" s="13" t="str">
        <f>HYPERLINK("https://www.airitibooks.com/Detail/Detail?PublicationID=P20160525011", "https://www.airitibooks.com/Detail/Detail?PublicationID=P20160525011")</f>
        <v>https://www.airitibooks.com/Detail/Detail?PublicationID=P20160525011</v>
      </c>
      <c r="K4212" s="13" t="str">
        <f>HYPERLINK("https://ntsu.idm.oclc.org/login?url=https://www.airitibooks.com/Detail/Detail?PublicationID=P20160525011", "https://ntsu.idm.oclc.org/login?url=https://www.airitibooks.com/Detail/Detail?PublicationID=P20160525011")</f>
        <v>https://ntsu.idm.oclc.org/login?url=https://www.airitibooks.com/Detail/Detail?PublicationID=P20160525011</v>
      </c>
    </row>
    <row r="4213" spans="1:11" ht="51" x14ac:dyDescent="0.4">
      <c r="A4213" s="10" t="s">
        <v>4603</v>
      </c>
      <c r="B4213" s="10" t="s">
        <v>4604</v>
      </c>
      <c r="C4213" s="10" t="s">
        <v>4597</v>
      </c>
      <c r="D4213" s="10" t="s">
        <v>4605</v>
      </c>
      <c r="E4213" s="10" t="s">
        <v>70</v>
      </c>
      <c r="F4213" s="10" t="s">
        <v>4606</v>
      </c>
      <c r="G4213" s="10" t="s">
        <v>76</v>
      </c>
      <c r="H4213" s="7" t="s">
        <v>24</v>
      </c>
      <c r="I4213" s="7" t="s">
        <v>25</v>
      </c>
      <c r="J4213" s="13" t="str">
        <f>HYPERLINK("https://www.airitibooks.com/Detail/Detail?PublicationID=P20160525012", "https://www.airitibooks.com/Detail/Detail?PublicationID=P20160525012")</f>
        <v>https://www.airitibooks.com/Detail/Detail?PublicationID=P20160525012</v>
      </c>
      <c r="K4213" s="13" t="str">
        <f>HYPERLINK("https://ntsu.idm.oclc.org/login?url=https://www.airitibooks.com/Detail/Detail?PublicationID=P20160525012", "https://ntsu.idm.oclc.org/login?url=https://www.airitibooks.com/Detail/Detail?PublicationID=P20160525012")</f>
        <v>https://ntsu.idm.oclc.org/login?url=https://www.airitibooks.com/Detail/Detail?PublicationID=P20160525012</v>
      </c>
    </row>
    <row r="4214" spans="1:11" ht="51" x14ac:dyDescent="0.4">
      <c r="A4214" s="10" t="s">
        <v>4801</v>
      </c>
      <c r="B4214" s="10" t="s">
        <v>4802</v>
      </c>
      <c r="C4214" s="10" t="s">
        <v>4803</v>
      </c>
      <c r="D4214" s="10" t="s">
        <v>4804</v>
      </c>
      <c r="E4214" s="10" t="s">
        <v>70</v>
      </c>
      <c r="F4214" s="10" t="s">
        <v>1111</v>
      </c>
      <c r="G4214" s="10" t="s">
        <v>76</v>
      </c>
      <c r="H4214" s="7" t="s">
        <v>24</v>
      </c>
      <c r="I4214" s="7" t="s">
        <v>25</v>
      </c>
      <c r="J4214" s="13" t="str">
        <f>HYPERLINK("https://www.airitibooks.com/Detail/Detail?PublicationID=P20160705012", "https://www.airitibooks.com/Detail/Detail?PublicationID=P20160705012")</f>
        <v>https://www.airitibooks.com/Detail/Detail?PublicationID=P20160705012</v>
      </c>
      <c r="K4214" s="13" t="str">
        <f>HYPERLINK("https://ntsu.idm.oclc.org/login?url=https://www.airitibooks.com/Detail/Detail?PublicationID=P20160705012", "https://ntsu.idm.oclc.org/login?url=https://www.airitibooks.com/Detail/Detail?PublicationID=P20160705012")</f>
        <v>https://ntsu.idm.oclc.org/login?url=https://www.airitibooks.com/Detail/Detail?PublicationID=P20160705012</v>
      </c>
    </row>
    <row r="4215" spans="1:11" ht="51" x14ac:dyDescent="0.4">
      <c r="A4215" s="10" t="s">
        <v>4934</v>
      </c>
      <c r="B4215" s="10" t="s">
        <v>4935</v>
      </c>
      <c r="C4215" s="10" t="s">
        <v>1034</v>
      </c>
      <c r="D4215" s="10" t="s">
        <v>4926</v>
      </c>
      <c r="E4215" s="10" t="s">
        <v>70</v>
      </c>
      <c r="F4215" s="10" t="s">
        <v>4936</v>
      </c>
      <c r="G4215" s="10" t="s">
        <v>76</v>
      </c>
      <c r="H4215" s="7" t="s">
        <v>24</v>
      </c>
      <c r="I4215" s="7" t="s">
        <v>25</v>
      </c>
      <c r="J4215" s="13" t="str">
        <f>HYPERLINK("https://www.airitibooks.com/Detail/Detail?PublicationID=P20160715267", "https://www.airitibooks.com/Detail/Detail?PublicationID=P20160715267")</f>
        <v>https://www.airitibooks.com/Detail/Detail?PublicationID=P20160715267</v>
      </c>
      <c r="K4215" s="13" t="str">
        <f>HYPERLINK("https://ntsu.idm.oclc.org/login?url=https://www.airitibooks.com/Detail/Detail?PublicationID=P20160715267", "https://ntsu.idm.oclc.org/login?url=https://www.airitibooks.com/Detail/Detail?PublicationID=P20160715267")</f>
        <v>https://ntsu.idm.oclc.org/login?url=https://www.airitibooks.com/Detail/Detail?PublicationID=P20160715267</v>
      </c>
    </row>
    <row r="4216" spans="1:11" ht="51" x14ac:dyDescent="0.4">
      <c r="A4216" s="10" t="s">
        <v>4937</v>
      </c>
      <c r="B4216" s="10" t="s">
        <v>4938</v>
      </c>
      <c r="C4216" s="10" t="s">
        <v>1034</v>
      </c>
      <c r="D4216" s="10" t="s">
        <v>4926</v>
      </c>
      <c r="E4216" s="10" t="s">
        <v>70</v>
      </c>
      <c r="F4216" s="10" t="s">
        <v>4936</v>
      </c>
      <c r="G4216" s="10" t="s">
        <v>76</v>
      </c>
      <c r="H4216" s="7" t="s">
        <v>24</v>
      </c>
      <c r="I4216" s="7" t="s">
        <v>25</v>
      </c>
      <c r="J4216" s="13" t="str">
        <f>HYPERLINK("https://www.airitibooks.com/Detail/Detail?PublicationID=P20160715271", "https://www.airitibooks.com/Detail/Detail?PublicationID=P20160715271")</f>
        <v>https://www.airitibooks.com/Detail/Detail?PublicationID=P20160715271</v>
      </c>
      <c r="K4216" s="13" t="str">
        <f>HYPERLINK("https://ntsu.idm.oclc.org/login?url=https://www.airitibooks.com/Detail/Detail?PublicationID=P20160715271", "https://ntsu.idm.oclc.org/login?url=https://www.airitibooks.com/Detail/Detail?PublicationID=P20160715271")</f>
        <v>https://ntsu.idm.oclc.org/login?url=https://www.airitibooks.com/Detail/Detail?PublicationID=P20160715271</v>
      </c>
    </row>
    <row r="4217" spans="1:11" ht="51" x14ac:dyDescent="0.4">
      <c r="A4217" s="10" t="s">
        <v>4939</v>
      </c>
      <c r="B4217" s="10" t="s">
        <v>4940</v>
      </c>
      <c r="C4217" s="10" t="s">
        <v>1034</v>
      </c>
      <c r="D4217" s="10" t="s">
        <v>1035</v>
      </c>
      <c r="E4217" s="10" t="s">
        <v>70</v>
      </c>
      <c r="F4217" s="10" t="s">
        <v>2488</v>
      </c>
      <c r="G4217" s="10" t="s">
        <v>76</v>
      </c>
      <c r="H4217" s="7" t="s">
        <v>24</v>
      </c>
      <c r="I4217" s="7" t="s">
        <v>25</v>
      </c>
      <c r="J4217" s="13" t="str">
        <f>HYPERLINK("https://www.airitibooks.com/Detail/Detail?PublicationID=P20160715289", "https://www.airitibooks.com/Detail/Detail?PublicationID=P20160715289")</f>
        <v>https://www.airitibooks.com/Detail/Detail?PublicationID=P20160715289</v>
      </c>
      <c r="K4217" s="13" t="str">
        <f>HYPERLINK("https://ntsu.idm.oclc.org/login?url=https://www.airitibooks.com/Detail/Detail?PublicationID=P20160715289", "https://ntsu.idm.oclc.org/login?url=https://www.airitibooks.com/Detail/Detail?PublicationID=P20160715289")</f>
        <v>https://ntsu.idm.oclc.org/login?url=https://www.airitibooks.com/Detail/Detail?PublicationID=P20160715289</v>
      </c>
    </row>
    <row r="4218" spans="1:11" ht="51" x14ac:dyDescent="0.4">
      <c r="A4218" s="10" t="s">
        <v>4941</v>
      </c>
      <c r="B4218" s="10" t="s">
        <v>4942</v>
      </c>
      <c r="C4218" s="10" t="s">
        <v>1034</v>
      </c>
      <c r="D4218" s="10" t="s">
        <v>4943</v>
      </c>
      <c r="E4218" s="10" t="s">
        <v>70</v>
      </c>
      <c r="F4218" s="10" t="s">
        <v>4944</v>
      </c>
      <c r="G4218" s="10" t="s">
        <v>76</v>
      </c>
      <c r="H4218" s="7" t="s">
        <v>24</v>
      </c>
      <c r="I4218" s="7" t="s">
        <v>25</v>
      </c>
      <c r="J4218" s="13" t="str">
        <f>HYPERLINK("https://www.airitibooks.com/Detail/Detail?PublicationID=P20160715296", "https://www.airitibooks.com/Detail/Detail?PublicationID=P20160715296")</f>
        <v>https://www.airitibooks.com/Detail/Detail?PublicationID=P20160715296</v>
      </c>
      <c r="K4218" s="13" t="str">
        <f>HYPERLINK("https://ntsu.idm.oclc.org/login?url=https://www.airitibooks.com/Detail/Detail?PublicationID=P20160715296", "https://ntsu.idm.oclc.org/login?url=https://www.airitibooks.com/Detail/Detail?PublicationID=P20160715296")</f>
        <v>https://ntsu.idm.oclc.org/login?url=https://www.airitibooks.com/Detail/Detail?PublicationID=P20160715296</v>
      </c>
    </row>
    <row r="4219" spans="1:11" ht="51" x14ac:dyDescent="0.4">
      <c r="A4219" s="10" t="s">
        <v>5391</v>
      </c>
      <c r="B4219" s="10" t="s">
        <v>5392</v>
      </c>
      <c r="C4219" s="10" t="s">
        <v>4609</v>
      </c>
      <c r="D4219" s="10" t="s">
        <v>5393</v>
      </c>
      <c r="E4219" s="10" t="s">
        <v>70</v>
      </c>
      <c r="F4219" s="10" t="s">
        <v>5394</v>
      </c>
      <c r="G4219" s="10" t="s">
        <v>76</v>
      </c>
      <c r="H4219" s="7" t="s">
        <v>24</v>
      </c>
      <c r="I4219" s="7" t="s">
        <v>25</v>
      </c>
      <c r="J4219" s="13" t="str">
        <f>HYPERLINK("https://www.airitibooks.com/Detail/Detail?PublicationID=P20160907288", "https://www.airitibooks.com/Detail/Detail?PublicationID=P20160907288")</f>
        <v>https://www.airitibooks.com/Detail/Detail?PublicationID=P20160907288</v>
      </c>
      <c r="K4219" s="13" t="str">
        <f>HYPERLINK("https://ntsu.idm.oclc.org/login?url=https://www.airitibooks.com/Detail/Detail?PublicationID=P20160907288", "https://ntsu.idm.oclc.org/login?url=https://www.airitibooks.com/Detail/Detail?PublicationID=P20160907288")</f>
        <v>https://ntsu.idm.oclc.org/login?url=https://www.airitibooks.com/Detail/Detail?PublicationID=P20160907288</v>
      </c>
    </row>
    <row r="4220" spans="1:11" ht="51" x14ac:dyDescent="0.4">
      <c r="A4220" s="10" t="s">
        <v>5569</v>
      </c>
      <c r="B4220" s="10" t="s">
        <v>5570</v>
      </c>
      <c r="C4220" s="10" t="s">
        <v>147</v>
      </c>
      <c r="D4220" s="10" t="s">
        <v>3408</v>
      </c>
      <c r="E4220" s="10" t="s">
        <v>70</v>
      </c>
      <c r="F4220" s="10" t="s">
        <v>5571</v>
      </c>
      <c r="G4220" s="10" t="s">
        <v>76</v>
      </c>
      <c r="H4220" s="7" t="s">
        <v>24</v>
      </c>
      <c r="I4220" s="7" t="s">
        <v>25</v>
      </c>
      <c r="J4220" s="13" t="str">
        <f>HYPERLINK("https://www.airitibooks.com/Detail/Detail?PublicationID=P20161004004", "https://www.airitibooks.com/Detail/Detail?PublicationID=P20161004004")</f>
        <v>https://www.airitibooks.com/Detail/Detail?PublicationID=P20161004004</v>
      </c>
      <c r="K4220" s="13" t="str">
        <f>HYPERLINK("https://ntsu.idm.oclc.org/login?url=https://www.airitibooks.com/Detail/Detail?PublicationID=P20161004004", "https://ntsu.idm.oclc.org/login?url=https://www.airitibooks.com/Detail/Detail?PublicationID=P20161004004")</f>
        <v>https://ntsu.idm.oclc.org/login?url=https://www.airitibooks.com/Detail/Detail?PublicationID=P20161004004</v>
      </c>
    </row>
    <row r="4221" spans="1:11" ht="51" x14ac:dyDescent="0.4">
      <c r="A4221" s="10" t="s">
        <v>5904</v>
      </c>
      <c r="B4221" s="10" t="s">
        <v>5905</v>
      </c>
      <c r="C4221" s="10" t="s">
        <v>5901</v>
      </c>
      <c r="D4221" s="10" t="s">
        <v>5906</v>
      </c>
      <c r="E4221" s="10" t="s">
        <v>70</v>
      </c>
      <c r="F4221" s="10" t="s">
        <v>5907</v>
      </c>
      <c r="G4221" s="10" t="s">
        <v>76</v>
      </c>
      <c r="H4221" s="7" t="s">
        <v>24</v>
      </c>
      <c r="I4221" s="7" t="s">
        <v>25</v>
      </c>
      <c r="J4221" s="13" t="str">
        <f>HYPERLINK("https://www.airitibooks.com/Detail/Detail?PublicationID=P20170112095", "https://www.airitibooks.com/Detail/Detail?PublicationID=P20170112095")</f>
        <v>https://www.airitibooks.com/Detail/Detail?PublicationID=P20170112095</v>
      </c>
      <c r="K4221" s="13" t="str">
        <f>HYPERLINK("https://ntsu.idm.oclc.org/login?url=https://www.airitibooks.com/Detail/Detail?PublicationID=P20170112095", "https://ntsu.idm.oclc.org/login?url=https://www.airitibooks.com/Detail/Detail?PublicationID=P20170112095")</f>
        <v>https://ntsu.idm.oclc.org/login?url=https://www.airitibooks.com/Detail/Detail?PublicationID=P20170112095</v>
      </c>
    </row>
    <row r="4222" spans="1:11" ht="51" x14ac:dyDescent="0.4">
      <c r="A4222" s="10" t="s">
        <v>5908</v>
      </c>
      <c r="B4222" s="10" t="s">
        <v>5909</v>
      </c>
      <c r="C4222" s="10" t="s">
        <v>5901</v>
      </c>
      <c r="D4222" s="10" t="s">
        <v>5910</v>
      </c>
      <c r="E4222" s="10" t="s">
        <v>70</v>
      </c>
      <c r="F4222" s="10" t="s">
        <v>5911</v>
      </c>
      <c r="G4222" s="10" t="s">
        <v>76</v>
      </c>
      <c r="H4222" s="7" t="s">
        <v>24</v>
      </c>
      <c r="I4222" s="7" t="s">
        <v>25</v>
      </c>
      <c r="J4222" s="13" t="str">
        <f>HYPERLINK("https://www.airitibooks.com/Detail/Detail?PublicationID=P20170112096", "https://www.airitibooks.com/Detail/Detail?PublicationID=P20170112096")</f>
        <v>https://www.airitibooks.com/Detail/Detail?PublicationID=P20170112096</v>
      </c>
      <c r="K4222" s="13" t="str">
        <f>HYPERLINK("https://ntsu.idm.oclc.org/login?url=https://www.airitibooks.com/Detail/Detail?PublicationID=P20170112096", "https://ntsu.idm.oclc.org/login?url=https://www.airitibooks.com/Detail/Detail?PublicationID=P20170112096")</f>
        <v>https://ntsu.idm.oclc.org/login?url=https://www.airitibooks.com/Detail/Detail?PublicationID=P20170112096</v>
      </c>
    </row>
    <row r="4223" spans="1:11" ht="51" x14ac:dyDescent="0.4">
      <c r="A4223" s="10" t="s">
        <v>5912</v>
      </c>
      <c r="B4223" s="10" t="s">
        <v>5913</v>
      </c>
      <c r="C4223" s="10" t="s">
        <v>5901</v>
      </c>
      <c r="D4223" s="10" t="s">
        <v>5914</v>
      </c>
      <c r="E4223" s="10" t="s">
        <v>70</v>
      </c>
      <c r="F4223" s="10" t="s">
        <v>5915</v>
      </c>
      <c r="G4223" s="10" t="s">
        <v>76</v>
      </c>
      <c r="H4223" s="7" t="s">
        <v>24</v>
      </c>
      <c r="I4223" s="7" t="s">
        <v>25</v>
      </c>
      <c r="J4223" s="13" t="str">
        <f>HYPERLINK("https://www.airitibooks.com/Detail/Detail?PublicationID=P20170112097", "https://www.airitibooks.com/Detail/Detail?PublicationID=P20170112097")</f>
        <v>https://www.airitibooks.com/Detail/Detail?PublicationID=P20170112097</v>
      </c>
      <c r="K4223" s="13" t="str">
        <f>HYPERLINK("https://ntsu.idm.oclc.org/login?url=https://www.airitibooks.com/Detail/Detail?PublicationID=P20170112097", "https://ntsu.idm.oclc.org/login?url=https://www.airitibooks.com/Detail/Detail?PublicationID=P20170112097")</f>
        <v>https://ntsu.idm.oclc.org/login?url=https://www.airitibooks.com/Detail/Detail?PublicationID=P20170112097</v>
      </c>
    </row>
    <row r="4224" spans="1:11" ht="51" x14ac:dyDescent="0.4">
      <c r="A4224" s="10" t="s">
        <v>6391</v>
      </c>
      <c r="B4224" s="10" t="s">
        <v>6392</v>
      </c>
      <c r="C4224" s="10" t="s">
        <v>848</v>
      </c>
      <c r="D4224" s="10" t="s">
        <v>6393</v>
      </c>
      <c r="E4224" s="10" t="s">
        <v>70</v>
      </c>
      <c r="F4224" s="10" t="s">
        <v>4147</v>
      </c>
      <c r="G4224" s="10" t="s">
        <v>76</v>
      </c>
      <c r="H4224" s="7" t="s">
        <v>24</v>
      </c>
      <c r="I4224" s="7" t="s">
        <v>25</v>
      </c>
      <c r="J4224" s="13" t="str">
        <f>HYPERLINK("https://www.airitibooks.com/Detail/Detail?PublicationID=P20170411015", "https://www.airitibooks.com/Detail/Detail?PublicationID=P20170411015")</f>
        <v>https://www.airitibooks.com/Detail/Detail?PublicationID=P20170411015</v>
      </c>
      <c r="K4224" s="13" t="str">
        <f>HYPERLINK("https://ntsu.idm.oclc.org/login?url=https://www.airitibooks.com/Detail/Detail?PublicationID=P20170411015", "https://ntsu.idm.oclc.org/login?url=https://www.airitibooks.com/Detail/Detail?PublicationID=P20170411015")</f>
        <v>https://ntsu.idm.oclc.org/login?url=https://www.airitibooks.com/Detail/Detail?PublicationID=P20170411015</v>
      </c>
    </row>
    <row r="4225" spans="1:11" ht="51" x14ac:dyDescent="0.4">
      <c r="A4225" s="10" t="s">
        <v>6401</v>
      </c>
      <c r="B4225" s="10" t="s">
        <v>6402</v>
      </c>
      <c r="C4225" s="10" t="s">
        <v>848</v>
      </c>
      <c r="D4225" s="10" t="s">
        <v>6403</v>
      </c>
      <c r="E4225" s="10" t="s">
        <v>70</v>
      </c>
      <c r="F4225" s="10" t="s">
        <v>6404</v>
      </c>
      <c r="G4225" s="10" t="s">
        <v>76</v>
      </c>
      <c r="H4225" s="7" t="s">
        <v>24</v>
      </c>
      <c r="I4225" s="7" t="s">
        <v>25</v>
      </c>
      <c r="J4225" s="13" t="str">
        <f>HYPERLINK("https://www.airitibooks.com/Detail/Detail?PublicationID=P20170411022", "https://www.airitibooks.com/Detail/Detail?PublicationID=P20170411022")</f>
        <v>https://www.airitibooks.com/Detail/Detail?PublicationID=P20170411022</v>
      </c>
      <c r="K4225" s="13" t="str">
        <f>HYPERLINK("https://ntsu.idm.oclc.org/login?url=https://www.airitibooks.com/Detail/Detail?PublicationID=P20170411022", "https://ntsu.idm.oclc.org/login?url=https://www.airitibooks.com/Detail/Detail?PublicationID=P20170411022")</f>
        <v>https://ntsu.idm.oclc.org/login?url=https://www.airitibooks.com/Detail/Detail?PublicationID=P20170411022</v>
      </c>
    </row>
    <row r="4226" spans="1:11" ht="51" x14ac:dyDescent="0.4">
      <c r="A4226" s="10" t="s">
        <v>6443</v>
      </c>
      <c r="B4226" s="10" t="s">
        <v>6444</v>
      </c>
      <c r="C4226" s="10" t="s">
        <v>510</v>
      </c>
      <c r="D4226" s="10" t="s">
        <v>6445</v>
      </c>
      <c r="E4226" s="10" t="s">
        <v>70</v>
      </c>
      <c r="F4226" s="10" t="s">
        <v>6446</v>
      </c>
      <c r="G4226" s="10" t="s">
        <v>76</v>
      </c>
      <c r="H4226" s="7" t="s">
        <v>24</v>
      </c>
      <c r="I4226" s="7" t="s">
        <v>25</v>
      </c>
      <c r="J4226" s="13" t="str">
        <f>HYPERLINK("https://www.airitibooks.com/Detail/Detail?PublicationID=P20170502006", "https://www.airitibooks.com/Detail/Detail?PublicationID=P20170502006")</f>
        <v>https://www.airitibooks.com/Detail/Detail?PublicationID=P20170502006</v>
      </c>
      <c r="K4226" s="13" t="str">
        <f>HYPERLINK("https://ntsu.idm.oclc.org/login?url=https://www.airitibooks.com/Detail/Detail?PublicationID=P20170502006", "https://ntsu.idm.oclc.org/login?url=https://www.airitibooks.com/Detail/Detail?PublicationID=P20170502006")</f>
        <v>https://ntsu.idm.oclc.org/login?url=https://www.airitibooks.com/Detail/Detail?PublicationID=P20170502006</v>
      </c>
    </row>
    <row r="4227" spans="1:11" ht="51" x14ac:dyDescent="0.4">
      <c r="A4227" s="10" t="s">
        <v>8777</v>
      </c>
      <c r="B4227" s="10" t="s">
        <v>8778</v>
      </c>
      <c r="C4227" s="10" t="s">
        <v>848</v>
      </c>
      <c r="D4227" s="10" t="s">
        <v>8776</v>
      </c>
      <c r="E4227" s="10" t="s">
        <v>70</v>
      </c>
      <c r="F4227" s="10" t="s">
        <v>3148</v>
      </c>
      <c r="G4227" s="10" t="s">
        <v>76</v>
      </c>
      <c r="H4227" s="7" t="s">
        <v>24</v>
      </c>
      <c r="I4227" s="7" t="s">
        <v>25</v>
      </c>
      <c r="J4227" s="13" t="str">
        <f>HYPERLINK("https://www.airitibooks.com/Detail/Detail?PublicationID=P20180323072", "https://www.airitibooks.com/Detail/Detail?PublicationID=P20180323072")</f>
        <v>https://www.airitibooks.com/Detail/Detail?PublicationID=P20180323072</v>
      </c>
      <c r="K4227" s="13" t="str">
        <f>HYPERLINK("https://ntsu.idm.oclc.org/login?url=https://www.airitibooks.com/Detail/Detail?PublicationID=P20180323072", "https://ntsu.idm.oclc.org/login?url=https://www.airitibooks.com/Detail/Detail?PublicationID=P20180323072")</f>
        <v>https://ntsu.idm.oclc.org/login?url=https://www.airitibooks.com/Detail/Detail?PublicationID=P20180323072</v>
      </c>
    </row>
    <row r="4228" spans="1:11" ht="51" x14ac:dyDescent="0.4">
      <c r="A4228" s="10" t="s">
        <v>8779</v>
      </c>
      <c r="B4228" s="10" t="s">
        <v>8780</v>
      </c>
      <c r="C4228" s="10" t="s">
        <v>848</v>
      </c>
      <c r="D4228" s="10" t="s">
        <v>8781</v>
      </c>
      <c r="E4228" s="10" t="s">
        <v>70</v>
      </c>
      <c r="F4228" s="10" t="s">
        <v>5187</v>
      </c>
      <c r="G4228" s="10" t="s">
        <v>76</v>
      </c>
      <c r="H4228" s="7" t="s">
        <v>24</v>
      </c>
      <c r="I4228" s="7" t="s">
        <v>25</v>
      </c>
      <c r="J4228" s="13" t="str">
        <f>HYPERLINK("https://www.airitibooks.com/Detail/Detail?PublicationID=P20180323073", "https://www.airitibooks.com/Detail/Detail?PublicationID=P20180323073")</f>
        <v>https://www.airitibooks.com/Detail/Detail?PublicationID=P20180323073</v>
      </c>
      <c r="K4228" s="13" t="str">
        <f>HYPERLINK("https://ntsu.idm.oclc.org/login?url=https://www.airitibooks.com/Detail/Detail?PublicationID=P20180323073", "https://ntsu.idm.oclc.org/login?url=https://www.airitibooks.com/Detail/Detail?PublicationID=P20180323073")</f>
        <v>https://ntsu.idm.oclc.org/login?url=https://www.airitibooks.com/Detail/Detail?PublicationID=P20180323073</v>
      </c>
    </row>
    <row r="4229" spans="1:11" ht="51" x14ac:dyDescent="0.4">
      <c r="A4229" s="10" t="s">
        <v>9100</v>
      </c>
      <c r="B4229" s="10" t="s">
        <v>9101</v>
      </c>
      <c r="C4229" s="10" t="s">
        <v>848</v>
      </c>
      <c r="D4229" s="10" t="s">
        <v>9102</v>
      </c>
      <c r="E4229" s="10" t="s">
        <v>70</v>
      </c>
      <c r="F4229" s="10" t="s">
        <v>470</v>
      </c>
      <c r="G4229" s="10" t="s">
        <v>76</v>
      </c>
      <c r="H4229" s="7" t="s">
        <v>24</v>
      </c>
      <c r="I4229" s="7" t="s">
        <v>25</v>
      </c>
      <c r="J4229" s="13" t="str">
        <f>HYPERLINK("https://www.airitibooks.com/Detail/Detail?PublicationID=P20180420040", "https://www.airitibooks.com/Detail/Detail?PublicationID=P20180420040")</f>
        <v>https://www.airitibooks.com/Detail/Detail?PublicationID=P20180420040</v>
      </c>
      <c r="K4229" s="13" t="str">
        <f>HYPERLINK("https://ntsu.idm.oclc.org/login?url=https://www.airitibooks.com/Detail/Detail?PublicationID=P20180420040", "https://ntsu.idm.oclc.org/login?url=https://www.airitibooks.com/Detail/Detail?PublicationID=P20180420040")</f>
        <v>https://ntsu.idm.oclc.org/login?url=https://www.airitibooks.com/Detail/Detail?PublicationID=P20180420040</v>
      </c>
    </row>
    <row r="4230" spans="1:11" ht="51" x14ac:dyDescent="0.4">
      <c r="A4230" s="10" t="s">
        <v>9917</v>
      </c>
      <c r="B4230" s="10" t="s">
        <v>9918</v>
      </c>
      <c r="C4230" s="10" t="s">
        <v>9915</v>
      </c>
      <c r="D4230" s="10" t="s">
        <v>9919</v>
      </c>
      <c r="E4230" s="10" t="s">
        <v>70</v>
      </c>
      <c r="F4230" s="10" t="s">
        <v>9920</v>
      </c>
      <c r="G4230" s="10" t="s">
        <v>76</v>
      </c>
      <c r="H4230" s="7" t="s">
        <v>24</v>
      </c>
      <c r="I4230" s="7" t="s">
        <v>25</v>
      </c>
      <c r="J4230" s="13" t="str">
        <f>HYPERLINK("https://www.airitibooks.com/Detail/Detail?PublicationID=P20181022008", "https://www.airitibooks.com/Detail/Detail?PublicationID=P20181022008")</f>
        <v>https://www.airitibooks.com/Detail/Detail?PublicationID=P20181022008</v>
      </c>
      <c r="K4230" s="13" t="str">
        <f>HYPERLINK("https://ntsu.idm.oclc.org/login?url=https://www.airitibooks.com/Detail/Detail?PublicationID=P20181022008", "https://ntsu.idm.oclc.org/login?url=https://www.airitibooks.com/Detail/Detail?PublicationID=P20181022008")</f>
        <v>https://ntsu.idm.oclc.org/login?url=https://www.airitibooks.com/Detail/Detail?PublicationID=P20181022008</v>
      </c>
    </row>
    <row r="4231" spans="1:11" ht="51" x14ac:dyDescent="0.4">
      <c r="A4231" s="10" t="s">
        <v>9950</v>
      </c>
      <c r="B4231" s="10" t="s">
        <v>9951</v>
      </c>
      <c r="C4231" s="10" t="s">
        <v>9828</v>
      </c>
      <c r="D4231" s="10" t="s">
        <v>9952</v>
      </c>
      <c r="E4231" s="10" t="s">
        <v>70</v>
      </c>
      <c r="F4231" s="10" t="s">
        <v>9825</v>
      </c>
      <c r="G4231" s="10" t="s">
        <v>76</v>
      </c>
      <c r="H4231" s="7" t="s">
        <v>1031</v>
      </c>
      <c r="I4231" s="7" t="s">
        <v>25</v>
      </c>
      <c r="J4231" s="13" t="str">
        <f>HYPERLINK("https://www.airitibooks.com/Detail/Detail?PublicationID=P20181026052", "https://www.airitibooks.com/Detail/Detail?PublicationID=P20181026052")</f>
        <v>https://www.airitibooks.com/Detail/Detail?PublicationID=P20181026052</v>
      </c>
      <c r="K4231" s="13" t="str">
        <f>HYPERLINK("https://ntsu.idm.oclc.org/login?url=https://www.airitibooks.com/Detail/Detail?PublicationID=P20181026052", "https://ntsu.idm.oclc.org/login?url=https://www.airitibooks.com/Detail/Detail?PublicationID=P20181026052")</f>
        <v>https://ntsu.idm.oclc.org/login?url=https://www.airitibooks.com/Detail/Detail?PublicationID=P20181026052</v>
      </c>
    </row>
    <row r="4232" spans="1:11" ht="51" x14ac:dyDescent="0.4">
      <c r="A4232" s="10" t="s">
        <v>1428</v>
      </c>
      <c r="B4232" s="10" t="s">
        <v>1429</v>
      </c>
      <c r="C4232" s="10" t="s">
        <v>613</v>
      </c>
      <c r="D4232" s="10" t="s">
        <v>1430</v>
      </c>
      <c r="E4232" s="10" t="s">
        <v>70</v>
      </c>
      <c r="F4232" s="10" t="s">
        <v>1431</v>
      </c>
      <c r="G4232" s="10" t="s">
        <v>55</v>
      </c>
      <c r="H4232" s="7" t="s">
        <v>24</v>
      </c>
      <c r="I4232" s="7" t="s">
        <v>25</v>
      </c>
      <c r="J4232" s="13" t="str">
        <f>HYPERLINK("https://www.airitibooks.com/Detail/Detail?PublicationID=P20140829009", "https://www.airitibooks.com/Detail/Detail?PublicationID=P20140829009")</f>
        <v>https://www.airitibooks.com/Detail/Detail?PublicationID=P20140829009</v>
      </c>
      <c r="K4232" s="13" t="str">
        <f>HYPERLINK("https://ntsu.idm.oclc.org/login?url=https://www.airitibooks.com/Detail/Detail?PublicationID=P20140829009", "https://ntsu.idm.oclc.org/login?url=https://www.airitibooks.com/Detail/Detail?PublicationID=P20140829009")</f>
        <v>https://ntsu.idm.oclc.org/login?url=https://www.airitibooks.com/Detail/Detail?PublicationID=P20140829009</v>
      </c>
    </row>
    <row r="4233" spans="1:11" ht="51" x14ac:dyDescent="0.4">
      <c r="A4233" s="10" t="s">
        <v>1459</v>
      </c>
      <c r="B4233" s="10" t="s">
        <v>1460</v>
      </c>
      <c r="C4233" s="10" t="s">
        <v>661</v>
      </c>
      <c r="D4233" s="10" t="s">
        <v>1461</v>
      </c>
      <c r="E4233" s="10" t="s">
        <v>70</v>
      </c>
      <c r="F4233" s="10" t="s">
        <v>1462</v>
      </c>
      <c r="G4233" s="10" t="s">
        <v>55</v>
      </c>
      <c r="H4233" s="7" t="s">
        <v>24</v>
      </c>
      <c r="I4233" s="7" t="s">
        <v>25</v>
      </c>
      <c r="J4233" s="13" t="str">
        <f>HYPERLINK("https://www.airitibooks.com/Detail/Detail?PublicationID=P20140912037", "https://www.airitibooks.com/Detail/Detail?PublicationID=P20140912037")</f>
        <v>https://www.airitibooks.com/Detail/Detail?PublicationID=P20140912037</v>
      </c>
      <c r="K4233" s="13" t="str">
        <f>HYPERLINK("https://ntsu.idm.oclc.org/login?url=https://www.airitibooks.com/Detail/Detail?PublicationID=P20140912037", "https://ntsu.idm.oclc.org/login?url=https://www.airitibooks.com/Detail/Detail?PublicationID=P20140912037")</f>
        <v>https://ntsu.idm.oclc.org/login?url=https://www.airitibooks.com/Detail/Detail?PublicationID=P20140912037</v>
      </c>
    </row>
    <row r="4234" spans="1:11" ht="51" x14ac:dyDescent="0.4">
      <c r="A4234" s="10" t="s">
        <v>1761</v>
      </c>
      <c r="B4234" s="10" t="s">
        <v>1762</v>
      </c>
      <c r="C4234" s="10" t="s">
        <v>1763</v>
      </c>
      <c r="D4234" s="10" t="s">
        <v>1764</v>
      </c>
      <c r="E4234" s="10" t="s">
        <v>70</v>
      </c>
      <c r="F4234" s="10" t="s">
        <v>1765</v>
      </c>
      <c r="G4234" s="10" t="s">
        <v>55</v>
      </c>
      <c r="H4234" s="7" t="s">
        <v>24</v>
      </c>
      <c r="I4234" s="7" t="s">
        <v>25</v>
      </c>
      <c r="J4234" s="13" t="str">
        <f>HYPERLINK("https://www.airitibooks.com/Detail/Detail?PublicationID=P20141211098", "https://www.airitibooks.com/Detail/Detail?PublicationID=P20141211098")</f>
        <v>https://www.airitibooks.com/Detail/Detail?PublicationID=P20141211098</v>
      </c>
      <c r="K4234" s="13" t="str">
        <f>HYPERLINK("https://ntsu.idm.oclc.org/login?url=https://www.airitibooks.com/Detail/Detail?PublicationID=P20141211098", "https://ntsu.idm.oclc.org/login?url=https://www.airitibooks.com/Detail/Detail?PublicationID=P20141211098")</f>
        <v>https://ntsu.idm.oclc.org/login?url=https://www.airitibooks.com/Detail/Detail?PublicationID=P20141211098</v>
      </c>
    </row>
    <row r="4235" spans="1:11" ht="51" x14ac:dyDescent="0.4">
      <c r="A4235" s="10" t="s">
        <v>1793</v>
      </c>
      <c r="B4235" s="10" t="s">
        <v>1794</v>
      </c>
      <c r="C4235" s="10" t="s">
        <v>1763</v>
      </c>
      <c r="D4235" s="10" t="s">
        <v>1795</v>
      </c>
      <c r="E4235" s="10" t="s">
        <v>70</v>
      </c>
      <c r="F4235" s="10" t="s">
        <v>1765</v>
      </c>
      <c r="G4235" s="10" t="s">
        <v>55</v>
      </c>
      <c r="H4235" s="7" t="s">
        <v>24</v>
      </c>
      <c r="I4235" s="7" t="s">
        <v>25</v>
      </c>
      <c r="J4235" s="13" t="str">
        <f>HYPERLINK("https://www.airitibooks.com/Detail/Detail?PublicationID=P20141211123", "https://www.airitibooks.com/Detail/Detail?PublicationID=P20141211123")</f>
        <v>https://www.airitibooks.com/Detail/Detail?PublicationID=P20141211123</v>
      </c>
      <c r="K4235" s="13" t="str">
        <f>HYPERLINK("https://ntsu.idm.oclc.org/login?url=https://www.airitibooks.com/Detail/Detail?PublicationID=P20141211123", "https://ntsu.idm.oclc.org/login?url=https://www.airitibooks.com/Detail/Detail?PublicationID=P20141211123")</f>
        <v>https://ntsu.idm.oclc.org/login?url=https://www.airitibooks.com/Detail/Detail?PublicationID=P20141211123</v>
      </c>
    </row>
    <row r="4236" spans="1:11" ht="85" x14ac:dyDescent="0.4">
      <c r="A4236" s="10" t="s">
        <v>2195</v>
      </c>
      <c r="B4236" s="10" t="s">
        <v>2196</v>
      </c>
      <c r="C4236" s="10" t="s">
        <v>1504</v>
      </c>
      <c r="D4236" s="10" t="s">
        <v>2197</v>
      </c>
      <c r="E4236" s="10" t="s">
        <v>70</v>
      </c>
      <c r="F4236" s="10" t="s">
        <v>2176</v>
      </c>
      <c r="G4236" s="10" t="s">
        <v>55</v>
      </c>
      <c r="H4236" s="7" t="s">
        <v>24</v>
      </c>
      <c r="I4236" s="7" t="s">
        <v>25</v>
      </c>
      <c r="J4236" s="13" t="str">
        <f>HYPERLINK("https://www.airitibooks.com/Detail/Detail?PublicationID=P20150318039", "https://www.airitibooks.com/Detail/Detail?PublicationID=P20150318039")</f>
        <v>https://www.airitibooks.com/Detail/Detail?PublicationID=P20150318039</v>
      </c>
      <c r="K4236" s="13" t="str">
        <f>HYPERLINK("https://ntsu.idm.oclc.org/login?url=https://www.airitibooks.com/Detail/Detail?PublicationID=P20150318039", "https://ntsu.idm.oclc.org/login?url=https://www.airitibooks.com/Detail/Detail?PublicationID=P20150318039")</f>
        <v>https://ntsu.idm.oclc.org/login?url=https://www.airitibooks.com/Detail/Detail?PublicationID=P20150318039</v>
      </c>
    </row>
    <row r="4237" spans="1:11" ht="51" x14ac:dyDescent="0.4">
      <c r="A4237" s="10" t="s">
        <v>2198</v>
      </c>
      <c r="B4237" s="10" t="s">
        <v>2199</v>
      </c>
      <c r="C4237" s="10" t="s">
        <v>1504</v>
      </c>
      <c r="D4237" s="10" t="s">
        <v>2200</v>
      </c>
      <c r="E4237" s="10" t="s">
        <v>70</v>
      </c>
      <c r="F4237" s="10" t="s">
        <v>2201</v>
      </c>
      <c r="G4237" s="10" t="s">
        <v>55</v>
      </c>
      <c r="H4237" s="7" t="s">
        <v>24</v>
      </c>
      <c r="I4237" s="7" t="s">
        <v>25</v>
      </c>
      <c r="J4237" s="13" t="str">
        <f>HYPERLINK("https://www.airitibooks.com/Detail/Detail?PublicationID=P20150318040", "https://www.airitibooks.com/Detail/Detail?PublicationID=P20150318040")</f>
        <v>https://www.airitibooks.com/Detail/Detail?PublicationID=P20150318040</v>
      </c>
      <c r="K4237" s="13" t="str">
        <f>HYPERLINK("https://ntsu.idm.oclc.org/login?url=https://www.airitibooks.com/Detail/Detail?PublicationID=P20150318040", "https://ntsu.idm.oclc.org/login?url=https://www.airitibooks.com/Detail/Detail?PublicationID=P20150318040")</f>
        <v>https://ntsu.idm.oclc.org/login?url=https://www.airitibooks.com/Detail/Detail?PublicationID=P20150318040</v>
      </c>
    </row>
    <row r="4238" spans="1:11" ht="51" x14ac:dyDescent="0.4">
      <c r="A4238" s="10" t="s">
        <v>2202</v>
      </c>
      <c r="B4238" s="10" t="s">
        <v>2203</v>
      </c>
      <c r="C4238" s="10" t="s">
        <v>1504</v>
      </c>
      <c r="D4238" s="10" t="s">
        <v>2204</v>
      </c>
      <c r="E4238" s="10" t="s">
        <v>70</v>
      </c>
      <c r="F4238" s="10" t="s">
        <v>2205</v>
      </c>
      <c r="G4238" s="10" t="s">
        <v>55</v>
      </c>
      <c r="H4238" s="7" t="s">
        <v>24</v>
      </c>
      <c r="I4238" s="7" t="s">
        <v>25</v>
      </c>
      <c r="J4238" s="13" t="str">
        <f>HYPERLINK("https://www.airitibooks.com/Detail/Detail?PublicationID=P20150318041", "https://www.airitibooks.com/Detail/Detail?PublicationID=P20150318041")</f>
        <v>https://www.airitibooks.com/Detail/Detail?PublicationID=P20150318041</v>
      </c>
      <c r="K4238" s="13" t="str">
        <f>HYPERLINK("https://ntsu.idm.oclc.org/login?url=https://www.airitibooks.com/Detail/Detail?PublicationID=P20150318041", "https://ntsu.idm.oclc.org/login?url=https://www.airitibooks.com/Detail/Detail?PublicationID=P20150318041")</f>
        <v>https://ntsu.idm.oclc.org/login?url=https://www.airitibooks.com/Detail/Detail?PublicationID=P20150318041</v>
      </c>
    </row>
    <row r="4239" spans="1:11" ht="51" x14ac:dyDescent="0.4">
      <c r="A4239" s="10" t="s">
        <v>2206</v>
      </c>
      <c r="B4239" s="10" t="s">
        <v>2207</v>
      </c>
      <c r="C4239" s="10" t="s">
        <v>1504</v>
      </c>
      <c r="D4239" s="10" t="s">
        <v>2208</v>
      </c>
      <c r="E4239" s="10" t="s">
        <v>70</v>
      </c>
      <c r="F4239" s="10" t="s">
        <v>2201</v>
      </c>
      <c r="G4239" s="10" t="s">
        <v>55</v>
      </c>
      <c r="H4239" s="7" t="s">
        <v>24</v>
      </c>
      <c r="I4239" s="7" t="s">
        <v>25</v>
      </c>
      <c r="J4239" s="13" t="str">
        <f>HYPERLINK("https://www.airitibooks.com/Detail/Detail?PublicationID=P20150318042", "https://www.airitibooks.com/Detail/Detail?PublicationID=P20150318042")</f>
        <v>https://www.airitibooks.com/Detail/Detail?PublicationID=P20150318042</v>
      </c>
      <c r="K4239" s="13" t="str">
        <f>HYPERLINK("https://ntsu.idm.oclc.org/login?url=https://www.airitibooks.com/Detail/Detail?PublicationID=P20150318042", "https://ntsu.idm.oclc.org/login?url=https://www.airitibooks.com/Detail/Detail?PublicationID=P20150318042")</f>
        <v>https://ntsu.idm.oclc.org/login?url=https://www.airitibooks.com/Detail/Detail?PublicationID=P20150318042</v>
      </c>
    </row>
    <row r="4240" spans="1:11" ht="85" x14ac:dyDescent="0.4">
      <c r="A4240" s="10" t="s">
        <v>2209</v>
      </c>
      <c r="B4240" s="10" t="s">
        <v>2210</v>
      </c>
      <c r="C4240" s="10" t="s">
        <v>1504</v>
      </c>
      <c r="D4240" s="10" t="s">
        <v>2197</v>
      </c>
      <c r="E4240" s="10" t="s">
        <v>70</v>
      </c>
      <c r="F4240" s="10" t="s">
        <v>2211</v>
      </c>
      <c r="G4240" s="10" t="s">
        <v>55</v>
      </c>
      <c r="H4240" s="7" t="s">
        <v>24</v>
      </c>
      <c r="I4240" s="7" t="s">
        <v>25</v>
      </c>
      <c r="J4240" s="13" t="str">
        <f>HYPERLINK("https://www.airitibooks.com/Detail/Detail?PublicationID=P20150318043", "https://www.airitibooks.com/Detail/Detail?PublicationID=P20150318043")</f>
        <v>https://www.airitibooks.com/Detail/Detail?PublicationID=P20150318043</v>
      </c>
      <c r="K4240" s="13" t="str">
        <f>HYPERLINK("https://ntsu.idm.oclc.org/login?url=https://www.airitibooks.com/Detail/Detail?PublicationID=P20150318043", "https://ntsu.idm.oclc.org/login?url=https://www.airitibooks.com/Detail/Detail?PublicationID=P20150318043")</f>
        <v>https://ntsu.idm.oclc.org/login?url=https://www.airitibooks.com/Detail/Detail?PublicationID=P20150318043</v>
      </c>
    </row>
    <row r="4241" spans="1:11" ht="68" x14ac:dyDescent="0.4">
      <c r="A4241" s="10" t="s">
        <v>2212</v>
      </c>
      <c r="B4241" s="10" t="s">
        <v>2213</v>
      </c>
      <c r="C4241" s="10" t="s">
        <v>1504</v>
      </c>
      <c r="D4241" s="10" t="s">
        <v>2214</v>
      </c>
      <c r="E4241" s="10" t="s">
        <v>70</v>
      </c>
      <c r="F4241" s="10" t="s">
        <v>2205</v>
      </c>
      <c r="G4241" s="10" t="s">
        <v>55</v>
      </c>
      <c r="H4241" s="7" t="s">
        <v>24</v>
      </c>
      <c r="I4241" s="7" t="s">
        <v>25</v>
      </c>
      <c r="J4241" s="13" t="str">
        <f>HYPERLINK("https://www.airitibooks.com/Detail/Detail?PublicationID=P20150318047", "https://www.airitibooks.com/Detail/Detail?PublicationID=P20150318047")</f>
        <v>https://www.airitibooks.com/Detail/Detail?PublicationID=P20150318047</v>
      </c>
      <c r="K4241" s="13" t="str">
        <f>HYPERLINK("https://ntsu.idm.oclc.org/login?url=https://www.airitibooks.com/Detail/Detail?PublicationID=P20150318047", "https://ntsu.idm.oclc.org/login?url=https://www.airitibooks.com/Detail/Detail?PublicationID=P20150318047")</f>
        <v>https://ntsu.idm.oclc.org/login?url=https://www.airitibooks.com/Detail/Detail?PublicationID=P20150318047</v>
      </c>
    </row>
    <row r="4242" spans="1:11" ht="51" x14ac:dyDescent="0.4">
      <c r="A4242" s="10" t="s">
        <v>2219</v>
      </c>
      <c r="B4242" s="10" t="s">
        <v>2220</v>
      </c>
      <c r="C4242" s="10" t="s">
        <v>1504</v>
      </c>
      <c r="D4242" s="10" t="s">
        <v>2221</v>
      </c>
      <c r="E4242" s="10" t="s">
        <v>70</v>
      </c>
      <c r="F4242" s="10" t="s">
        <v>2180</v>
      </c>
      <c r="G4242" s="10" t="s">
        <v>55</v>
      </c>
      <c r="H4242" s="7" t="s">
        <v>24</v>
      </c>
      <c r="I4242" s="7" t="s">
        <v>25</v>
      </c>
      <c r="J4242" s="13" t="str">
        <f>HYPERLINK("https://www.airitibooks.com/Detail/Detail?PublicationID=P20150318049", "https://www.airitibooks.com/Detail/Detail?PublicationID=P20150318049")</f>
        <v>https://www.airitibooks.com/Detail/Detail?PublicationID=P20150318049</v>
      </c>
      <c r="K4242" s="13" t="str">
        <f>HYPERLINK("https://ntsu.idm.oclc.org/login?url=https://www.airitibooks.com/Detail/Detail?PublicationID=P20150318049", "https://ntsu.idm.oclc.org/login?url=https://www.airitibooks.com/Detail/Detail?PublicationID=P20150318049")</f>
        <v>https://ntsu.idm.oclc.org/login?url=https://www.airitibooks.com/Detail/Detail?PublicationID=P20150318049</v>
      </c>
    </row>
    <row r="4243" spans="1:11" ht="51" x14ac:dyDescent="0.4">
      <c r="A4243" s="10" t="s">
        <v>2222</v>
      </c>
      <c r="B4243" s="10" t="s">
        <v>2223</v>
      </c>
      <c r="C4243" s="10" t="s">
        <v>1504</v>
      </c>
      <c r="D4243" s="10" t="s">
        <v>2224</v>
      </c>
      <c r="E4243" s="10" t="s">
        <v>70</v>
      </c>
      <c r="F4243" s="10" t="s">
        <v>2176</v>
      </c>
      <c r="G4243" s="10" t="s">
        <v>55</v>
      </c>
      <c r="H4243" s="7" t="s">
        <v>24</v>
      </c>
      <c r="I4243" s="7" t="s">
        <v>25</v>
      </c>
      <c r="J4243" s="13" t="str">
        <f>HYPERLINK("https://www.airitibooks.com/Detail/Detail?PublicationID=P20150318054", "https://www.airitibooks.com/Detail/Detail?PublicationID=P20150318054")</f>
        <v>https://www.airitibooks.com/Detail/Detail?PublicationID=P20150318054</v>
      </c>
      <c r="K4243" s="13" t="str">
        <f>HYPERLINK("https://ntsu.idm.oclc.org/login?url=https://www.airitibooks.com/Detail/Detail?PublicationID=P20150318054", "https://ntsu.idm.oclc.org/login?url=https://www.airitibooks.com/Detail/Detail?PublicationID=P20150318054")</f>
        <v>https://ntsu.idm.oclc.org/login?url=https://www.airitibooks.com/Detail/Detail?PublicationID=P20150318054</v>
      </c>
    </row>
    <row r="4244" spans="1:11" ht="68" x14ac:dyDescent="0.4">
      <c r="A4244" s="10" t="s">
        <v>2229</v>
      </c>
      <c r="B4244" s="10" t="s">
        <v>2230</v>
      </c>
      <c r="C4244" s="10" t="s">
        <v>1504</v>
      </c>
      <c r="D4244" s="10" t="s">
        <v>2231</v>
      </c>
      <c r="E4244" s="10" t="s">
        <v>70</v>
      </c>
      <c r="F4244" s="10" t="s">
        <v>2232</v>
      </c>
      <c r="G4244" s="10" t="s">
        <v>55</v>
      </c>
      <c r="H4244" s="7" t="s">
        <v>24</v>
      </c>
      <c r="I4244" s="7" t="s">
        <v>25</v>
      </c>
      <c r="J4244" s="13" t="str">
        <f>HYPERLINK("https://www.airitibooks.com/Detail/Detail?PublicationID=P20150318057", "https://www.airitibooks.com/Detail/Detail?PublicationID=P20150318057")</f>
        <v>https://www.airitibooks.com/Detail/Detail?PublicationID=P20150318057</v>
      </c>
      <c r="K4244" s="13" t="str">
        <f>HYPERLINK("https://ntsu.idm.oclc.org/login?url=https://www.airitibooks.com/Detail/Detail?PublicationID=P20150318057", "https://ntsu.idm.oclc.org/login?url=https://www.airitibooks.com/Detail/Detail?PublicationID=P20150318057")</f>
        <v>https://ntsu.idm.oclc.org/login?url=https://www.airitibooks.com/Detail/Detail?PublicationID=P20150318057</v>
      </c>
    </row>
    <row r="4245" spans="1:11" ht="102" x14ac:dyDescent="0.4">
      <c r="A4245" s="10" t="s">
        <v>2233</v>
      </c>
      <c r="B4245" s="10" t="s">
        <v>2234</v>
      </c>
      <c r="C4245" s="10" t="s">
        <v>1504</v>
      </c>
      <c r="D4245" s="10" t="s">
        <v>2235</v>
      </c>
      <c r="E4245" s="10" t="s">
        <v>70</v>
      </c>
      <c r="F4245" s="10" t="s">
        <v>2236</v>
      </c>
      <c r="G4245" s="10" t="s">
        <v>55</v>
      </c>
      <c r="H4245" s="7" t="s">
        <v>24</v>
      </c>
      <c r="I4245" s="7" t="s">
        <v>25</v>
      </c>
      <c r="J4245" s="13" t="str">
        <f>HYPERLINK("https://www.airitibooks.com/Detail/Detail?PublicationID=P20150318058", "https://www.airitibooks.com/Detail/Detail?PublicationID=P20150318058")</f>
        <v>https://www.airitibooks.com/Detail/Detail?PublicationID=P20150318058</v>
      </c>
      <c r="K4245" s="13" t="str">
        <f>HYPERLINK("https://ntsu.idm.oclc.org/login?url=https://www.airitibooks.com/Detail/Detail?PublicationID=P20150318058", "https://ntsu.idm.oclc.org/login?url=https://www.airitibooks.com/Detail/Detail?PublicationID=P20150318058")</f>
        <v>https://ntsu.idm.oclc.org/login?url=https://www.airitibooks.com/Detail/Detail?PublicationID=P20150318058</v>
      </c>
    </row>
    <row r="4246" spans="1:11" ht="68" x14ac:dyDescent="0.4">
      <c r="A4246" s="10" t="s">
        <v>2237</v>
      </c>
      <c r="B4246" s="10" t="s">
        <v>2238</v>
      </c>
      <c r="C4246" s="10" t="s">
        <v>1504</v>
      </c>
      <c r="D4246" s="10" t="s">
        <v>2214</v>
      </c>
      <c r="E4246" s="10" t="s">
        <v>70</v>
      </c>
      <c r="F4246" s="10" t="s">
        <v>2205</v>
      </c>
      <c r="G4246" s="10" t="s">
        <v>55</v>
      </c>
      <c r="H4246" s="7" t="s">
        <v>24</v>
      </c>
      <c r="I4246" s="7" t="s">
        <v>25</v>
      </c>
      <c r="J4246" s="13" t="str">
        <f>HYPERLINK("https://www.airitibooks.com/Detail/Detail?PublicationID=P20150318059", "https://www.airitibooks.com/Detail/Detail?PublicationID=P20150318059")</f>
        <v>https://www.airitibooks.com/Detail/Detail?PublicationID=P20150318059</v>
      </c>
      <c r="K4246" s="13" t="str">
        <f>HYPERLINK("https://ntsu.idm.oclc.org/login?url=https://www.airitibooks.com/Detail/Detail?PublicationID=P20150318059", "https://ntsu.idm.oclc.org/login?url=https://www.airitibooks.com/Detail/Detail?PublicationID=P20150318059")</f>
        <v>https://ntsu.idm.oclc.org/login?url=https://www.airitibooks.com/Detail/Detail?PublicationID=P20150318059</v>
      </c>
    </row>
    <row r="4247" spans="1:11" ht="51" x14ac:dyDescent="0.4">
      <c r="A4247" s="10" t="s">
        <v>2239</v>
      </c>
      <c r="B4247" s="10" t="s">
        <v>2240</v>
      </c>
      <c r="C4247" s="10" t="s">
        <v>1504</v>
      </c>
      <c r="D4247" s="10" t="s">
        <v>2241</v>
      </c>
      <c r="E4247" s="10" t="s">
        <v>70</v>
      </c>
      <c r="F4247" s="10" t="s">
        <v>2184</v>
      </c>
      <c r="G4247" s="10" t="s">
        <v>55</v>
      </c>
      <c r="H4247" s="7" t="s">
        <v>24</v>
      </c>
      <c r="I4247" s="7" t="s">
        <v>25</v>
      </c>
      <c r="J4247" s="13" t="str">
        <f>HYPERLINK("https://www.airitibooks.com/Detail/Detail?PublicationID=P20150318061", "https://www.airitibooks.com/Detail/Detail?PublicationID=P20150318061")</f>
        <v>https://www.airitibooks.com/Detail/Detail?PublicationID=P20150318061</v>
      </c>
      <c r="K4247" s="13" t="str">
        <f>HYPERLINK("https://ntsu.idm.oclc.org/login?url=https://www.airitibooks.com/Detail/Detail?PublicationID=P20150318061", "https://ntsu.idm.oclc.org/login?url=https://www.airitibooks.com/Detail/Detail?PublicationID=P20150318061")</f>
        <v>https://ntsu.idm.oclc.org/login?url=https://www.airitibooks.com/Detail/Detail?PublicationID=P20150318061</v>
      </c>
    </row>
    <row r="4248" spans="1:11" ht="51" x14ac:dyDescent="0.4">
      <c r="A4248" s="10" t="s">
        <v>2242</v>
      </c>
      <c r="B4248" s="10" t="s">
        <v>2243</v>
      </c>
      <c r="C4248" s="10" t="s">
        <v>1504</v>
      </c>
      <c r="D4248" s="10" t="s">
        <v>2244</v>
      </c>
      <c r="E4248" s="10" t="s">
        <v>70</v>
      </c>
      <c r="F4248" s="10" t="s">
        <v>2205</v>
      </c>
      <c r="G4248" s="10" t="s">
        <v>55</v>
      </c>
      <c r="H4248" s="7" t="s">
        <v>24</v>
      </c>
      <c r="I4248" s="7" t="s">
        <v>25</v>
      </c>
      <c r="J4248" s="13" t="str">
        <f>HYPERLINK("https://www.airitibooks.com/Detail/Detail?PublicationID=P20150318063", "https://www.airitibooks.com/Detail/Detail?PublicationID=P20150318063")</f>
        <v>https://www.airitibooks.com/Detail/Detail?PublicationID=P20150318063</v>
      </c>
      <c r="K4248" s="13" t="str">
        <f>HYPERLINK("https://ntsu.idm.oclc.org/login?url=https://www.airitibooks.com/Detail/Detail?PublicationID=P20150318063", "https://ntsu.idm.oclc.org/login?url=https://www.airitibooks.com/Detail/Detail?PublicationID=P20150318063")</f>
        <v>https://ntsu.idm.oclc.org/login?url=https://www.airitibooks.com/Detail/Detail?PublicationID=P20150318063</v>
      </c>
    </row>
    <row r="4249" spans="1:11" ht="51" x14ac:dyDescent="0.4">
      <c r="A4249" s="10" t="s">
        <v>2245</v>
      </c>
      <c r="B4249" s="10" t="s">
        <v>2246</v>
      </c>
      <c r="C4249" s="10" t="s">
        <v>1504</v>
      </c>
      <c r="D4249" s="10" t="s">
        <v>1509</v>
      </c>
      <c r="E4249" s="10" t="s">
        <v>70</v>
      </c>
      <c r="F4249" s="10" t="s">
        <v>2247</v>
      </c>
      <c r="G4249" s="10" t="s">
        <v>55</v>
      </c>
      <c r="H4249" s="7" t="s">
        <v>24</v>
      </c>
      <c r="I4249" s="7" t="s">
        <v>25</v>
      </c>
      <c r="J4249" s="13" t="str">
        <f>HYPERLINK("https://www.airitibooks.com/Detail/Detail?PublicationID=P20150318066", "https://www.airitibooks.com/Detail/Detail?PublicationID=P20150318066")</f>
        <v>https://www.airitibooks.com/Detail/Detail?PublicationID=P20150318066</v>
      </c>
      <c r="K4249" s="13" t="str">
        <f>HYPERLINK("https://ntsu.idm.oclc.org/login?url=https://www.airitibooks.com/Detail/Detail?PublicationID=P20150318066", "https://ntsu.idm.oclc.org/login?url=https://www.airitibooks.com/Detail/Detail?PublicationID=P20150318066")</f>
        <v>https://ntsu.idm.oclc.org/login?url=https://www.airitibooks.com/Detail/Detail?PublicationID=P20150318066</v>
      </c>
    </row>
    <row r="4250" spans="1:11" ht="68" x14ac:dyDescent="0.4">
      <c r="A4250" s="10" t="s">
        <v>2251</v>
      </c>
      <c r="B4250" s="10" t="s">
        <v>2252</v>
      </c>
      <c r="C4250" s="10" t="s">
        <v>1504</v>
      </c>
      <c r="D4250" s="10" t="s">
        <v>1509</v>
      </c>
      <c r="E4250" s="10" t="s">
        <v>70</v>
      </c>
      <c r="F4250" s="10" t="s">
        <v>2191</v>
      </c>
      <c r="G4250" s="10" t="s">
        <v>55</v>
      </c>
      <c r="H4250" s="7" t="s">
        <v>24</v>
      </c>
      <c r="I4250" s="7" t="s">
        <v>25</v>
      </c>
      <c r="J4250" s="13" t="str">
        <f>HYPERLINK("https://www.airitibooks.com/Detail/Detail?PublicationID=P20150318070", "https://www.airitibooks.com/Detail/Detail?PublicationID=P20150318070")</f>
        <v>https://www.airitibooks.com/Detail/Detail?PublicationID=P20150318070</v>
      </c>
      <c r="K4250" s="13" t="str">
        <f>HYPERLINK("https://ntsu.idm.oclc.org/login?url=https://www.airitibooks.com/Detail/Detail?PublicationID=P20150318070", "https://ntsu.idm.oclc.org/login?url=https://www.airitibooks.com/Detail/Detail?PublicationID=P20150318070")</f>
        <v>https://ntsu.idm.oclc.org/login?url=https://www.airitibooks.com/Detail/Detail?PublicationID=P20150318070</v>
      </c>
    </row>
    <row r="4251" spans="1:11" ht="51" x14ac:dyDescent="0.4">
      <c r="A4251" s="10" t="s">
        <v>2505</v>
      </c>
      <c r="B4251" s="10" t="s">
        <v>2506</v>
      </c>
      <c r="C4251" s="10" t="s">
        <v>661</v>
      </c>
      <c r="D4251" s="10" t="s">
        <v>2507</v>
      </c>
      <c r="E4251" s="10" t="s">
        <v>70</v>
      </c>
      <c r="F4251" s="10" t="s">
        <v>2508</v>
      </c>
      <c r="G4251" s="10" t="s">
        <v>55</v>
      </c>
      <c r="H4251" s="7" t="s">
        <v>24</v>
      </c>
      <c r="I4251" s="7" t="s">
        <v>25</v>
      </c>
      <c r="J4251" s="13" t="str">
        <f>HYPERLINK("https://www.airitibooks.com/Detail/Detail?PublicationID=P20150506431", "https://www.airitibooks.com/Detail/Detail?PublicationID=P20150506431")</f>
        <v>https://www.airitibooks.com/Detail/Detail?PublicationID=P20150506431</v>
      </c>
      <c r="K4251" s="13" t="str">
        <f>HYPERLINK("https://ntsu.idm.oclc.org/login?url=https://www.airitibooks.com/Detail/Detail?PublicationID=P20150506431", "https://ntsu.idm.oclc.org/login?url=https://www.airitibooks.com/Detail/Detail?PublicationID=P20150506431")</f>
        <v>https://ntsu.idm.oclc.org/login?url=https://www.airitibooks.com/Detail/Detail?PublicationID=P20150506431</v>
      </c>
    </row>
    <row r="4252" spans="1:11" ht="51" x14ac:dyDescent="0.4">
      <c r="A4252" s="10" t="s">
        <v>3051</v>
      </c>
      <c r="B4252" s="10" t="s">
        <v>3052</v>
      </c>
      <c r="C4252" s="10" t="s">
        <v>3034</v>
      </c>
      <c r="D4252" s="10" t="s">
        <v>3035</v>
      </c>
      <c r="E4252" s="10" t="s">
        <v>70</v>
      </c>
      <c r="F4252" s="10" t="s">
        <v>2211</v>
      </c>
      <c r="G4252" s="10" t="s">
        <v>55</v>
      </c>
      <c r="H4252" s="7" t="s">
        <v>24</v>
      </c>
      <c r="I4252" s="7" t="s">
        <v>25</v>
      </c>
      <c r="J4252" s="13" t="str">
        <f>HYPERLINK("https://www.airitibooks.com/Detail/Detail?PublicationID=P20150820027", "https://www.airitibooks.com/Detail/Detail?PublicationID=P20150820027")</f>
        <v>https://www.airitibooks.com/Detail/Detail?PublicationID=P20150820027</v>
      </c>
      <c r="K4252" s="13" t="str">
        <f>HYPERLINK("https://ntsu.idm.oclc.org/login?url=https://www.airitibooks.com/Detail/Detail?PublicationID=P20150820027", "https://ntsu.idm.oclc.org/login?url=https://www.airitibooks.com/Detail/Detail?PublicationID=P20150820027")</f>
        <v>https://ntsu.idm.oclc.org/login?url=https://www.airitibooks.com/Detail/Detail?PublicationID=P20150820027</v>
      </c>
    </row>
    <row r="4253" spans="1:11" ht="51" x14ac:dyDescent="0.4">
      <c r="A4253" s="10" t="s">
        <v>3055</v>
      </c>
      <c r="B4253" s="10" t="s">
        <v>3056</v>
      </c>
      <c r="C4253" s="10" t="s">
        <v>3034</v>
      </c>
      <c r="D4253" s="10" t="s">
        <v>3035</v>
      </c>
      <c r="E4253" s="10" t="s">
        <v>70</v>
      </c>
      <c r="F4253" s="10" t="s">
        <v>3057</v>
      </c>
      <c r="G4253" s="10" t="s">
        <v>55</v>
      </c>
      <c r="H4253" s="7" t="s">
        <v>24</v>
      </c>
      <c r="I4253" s="7" t="s">
        <v>25</v>
      </c>
      <c r="J4253" s="13" t="str">
        <f>HYPERLINK("https://www.airitibooks.com/Detail/Detail?PublicationID=P20150820041", "https://www.airitibooks.com/Detail/Detail?PublicationID=P20150820041")</f>
        <v>https://www.airitibooks.com/Detail/Detail?PublicationID=P20150820041</v>
      </c>
      <c r="K4253" s="13" t="str">
        <f>HYPERLINK("https://ntsu.idm.oclc.org/login?url=https://www.airitibooks.com/Detail/Detail?PublicationID=P20150820041", "https://ntsu.idm.oclc.org/login?url=https://www.airitibooks.com/Detail/Detail?PublicationID=P20150820041")</f>
        <v>https://ntsu.idm.oclc.org/login?url=https://www.airitibooks.com/Detail/Detail?PublicationID=P20150820041</v>
      </c>
    </row>
    <row r="4254" spans="1:11" ht="51" x14ac:dyDescent="0.4">
      <c r="A4254" s="10" t="s">
        <v>3058</v>
      </c>
      <c r="B4254" s="10" t="s">
        <v>3059</v>
      </c>
      <c r="C4254" s="10" t="s">
        <v>3034</v>
      </c>
      <c r="D4254" s="10" t="s">
        <v>3035</v>
      </c>
      <c r="E4254" s="10" t="s">
        <v>70</v>
      </c>
      <c r="F4254" s="10" t="s">
        <v>2211</v>
      </c>
      <c r="G4254" s="10" t="s">
        <v>55</v>
      </c>
      <c r="H4254" s="7" t="s">
        <v>24</v>
      </c>
      <c r="I4254" s="7" t="s">
        <v>25</v>
      </c>
      <c r="J4254" s="13" t="str">
        <f>HYPERLINK("https://www.airitibooks.com/Detail/Detail?PublicationID=P20150820042", "https://www.airitibooks.com/Detail/Detail?PublicationID=P20150820042")</f>
        <v>https://www.airitibooks.com/Detail/Detail?PublicationID=P20150820042</v>
      </c>
      <c r="K4254" s="13" t="str">
        <f>HYPERLINK("https://ntsu.idm.oclc.org/login?url=https://www.airitibooks.com/Detail/Detail?PublicationID=P20150820042", "https://ntsu.idm.oclc.org/login?url=https://www.airitibooks.com/Detail/Detail?PublicationID=P20150820042")</f>
        <v>https://ntsu.idm.oclc.org/login?url=https://www.airitibooks.com/Detail/Detail?PublicationID=P20150820042</v>
      </c>
    </row>
    <row r="4255" spans="1:11" ht="51" x14ac:dyDescent="0.4">
      <c r="A4255" s="10" t="s">
        <v>3060</v>
      </c>
      <c r="B4255" s="10" t="s">
        <v>3061</v>
      </c>
      <c r="C4255" s="10" t="s">
        <v>3034</v>
      </c>
      <c r="D4255" s="10" t="s">
        <v>3035</v>
      </c>
      <c r="E4255" s="10" t="s">
        <v>70</v>
      </c>
      <c r="F4255" s="10" t="s">
        <v>2211</v>
      </c>
      <c r="G4255" s="10" t="s">
        <v>55</v>
      </c>
      <c r="H4255" s="7" t="s">
        <v>24</v>
      </c>
      <c r="I4255" s="7" t="s">
        <v>25</v>
      </c>
      <c r="J4255" s="13" t="str">
        <f>HYPERLINK("https://www.airitibooks.com/Detail/Detail?PublicationID=P20150820043", "https://www.airitibooks.com/Detail/Detail?PublicationID=P20150820043")</f>
        <v>https://www.airitibooks.com/Detail/Detail?PublicationID=P20150820043</v>
      </c>
      <c r="K4255" s="13" t="str">
        <f>HYPERLINK("https://ntsu.idm.oclc.org/login?url=https://www.airitibooks.com/Detail/Detail?PublicationID=P20150820043", "https://ntsu.idm.oclc.org/login?url=https://www.airitibooks.com/Detail/Detail?PublicationID=P20150820043")</f>
        <v>https://ntsu.idm.oclc.org/login?url=https://www.airitibooks.com/Detail/Detail?PublicationID=P20150820043</v>
      </c>
    </row>
    <row r="4256" spans="1:11" ht="51" x14ac:dyDescent="0.4">
      <c r="A4256" s="10" t="s">
        <v>3062</v>
      </c>
      <c r="B4256" s="10" t="s">
        <v>3063</v>
      </c>
      <c r="C4256" s="10" t="s">
        <v>3034</v>
      </c>
      <c r="D4256" s="10" t="s">
        <v>3035</v>
      </c>
      <c r="E4256" s="10" t="s">
        <v>70</v>
      </c>
      <c r="F4256" s="10" t="s">
        <v>2211</v>
      </c>
      <c r="G4256" s="10" t="s">
        <v>55</v>
      </c>
      <c r="H4256" s="7" t="s">
        <v>24</v>
      </c>
      <c r="I4256" s="7" t="s">
        <v>25</v>
      </c>
      <c r="J4256" s="13" t="str">
        <f>HYPERLINK("https://www.airitibooks.com/Detail/Detail?PublicationID=P20150820044", "https://www.airitibooks.com/Detail/Detail?PublicationID=P20150820044")</f>
        <v>https://www.airitibooks.com/Detail/Detail?PublicationID=P20150820044</v>
      </c>
      <c r="K4256" s="13" t="str">
        <f>HYPERLINK("https://ntsu.idm.oclc.org/login?url=https://www.airitibooks.com/Detail/Detail?PublicationID=P20150820044", "https://ntsu.idm.oclc.org/login?url=https://www.airitibooks.com/Detail/Detail?PublicationID=P20150820044")</f>
        <v>https://ntsu.idm.oclc.org/login?url=https://www.airitibooks.com/Detail/Detail?PublicationID=P20150820044</v>
      </c>
    </row>
    <row r="4257" spans="1:11" ht="51" x14ac:dyDescent="0.4">
      <c r="A4257" s="10" t="s">
        <v>3066</v>
      </c>
      <c r="B4257" s="10" t="s">
        <v>3067</v>
      </c>
      <c r="C4257" s="10" t="s">
        <v>3034</v>
      </c>
      <c r="D4257" s="10" t="s">
        <v>3035</v>
      </c>
      <c r="E4257" s="10" t="s">
        <v>70</v>
      </c>
      <c r="F4257" s="10" t="s">
        <v>2211</v>
      </c>
      <c r="G4257" s="10" t="s">
        <v>55</v>
      </c>
      <c r="H4257" s="7" t="s">
        <v>24</v>
      </c>
      <c r="I4257" s="7" t="s">
        <v>25</v>
      </c>
      <c r="J4257" s="13" t="str">
        <f>HYPERLINK("https://www.airitibooks.com/Detail/Detail?PublicationID=P20150820054", "https://www.airitibooks.com/Detail/Detail?PublicationID=P20150820054")</f>
        <v>https://www.airitibooks.com/Detail/Detail?PublicationID=P20150820054</v>
      </c>
      <c r="K4257" s="13" t="str">
        <f>HYPERLINK("https://ntsu.idm.oclc.org/login?url=https://www.airitibooks.com/Detail/Detail?PublicationID=P20150820054", "https://ntsu.idm.oclc.org/login?url=https://www.airitibooks.com/Detail/Detail?PublicationID=P20150820054")</f>
        <v>https://ntsu.idm.oclc.org/login?url=https://www.airitibooks.com/Detail/Detail?PublicationID=P20150820054</v>
      </c>
    </row>
    <row r="4258" spans="1:11" ht="51" x14ac:dyDescent="0.4">
      <c r="A4258" s="10" t="s">
        <v>3068</v>
      </c>
      <c r="B4258" s="10" t="s">
        <v>3069</v>
      </c>
      <c r="C4258" s="10" t="s">
        <v>3034</v>
      </c>
      <c r="D4258" s="10" t="s">
        <v>3035</v>
      </c>
      <c r="E4258" s="10" t="s">
        <v>70</v>
      </c>
      <c r="F4258" s="10" t="s">
        <v>2211</v>
      </c>
      <c r="G4258" s="10" t="s">
        <v>55</v>
      </c>
      <c r="H4258" s="7" t="s">
        <v>24</v>
      </c>
      <c r="I4258" s="7" t="s">
        <v>25</v>
      </c>
      <c r="J4258" s="13" t="str">
        <f>HYPERLINK("https://www.airitibooks.com/Detail/Detail?PublicationID=P20150820064", "https://www.airitibooks.com/Detail/Detail?PublicationID=P20150820064")</f>
        <v>https://www.airitibooks.com/Detail/Detail?PublicationID=P20150820064</v>
      </c>
      <c r="K4258" s="13" t="str">
        <f>HYPERLINK("https://ntsu.idm.oclc.org/login?url=https://www.airitibooks.com/Detail/Detail?PublicationID=P20150820064", "https://ntsu.idm.oclc.org/login?url=https://www.airitibooks.com/Detail/Detail?PublicationID=P20150820064")</f>
        <v>https://ntsu.idm.oclc.org/login?url=https://www.airitibooks.com/Detail/Detail?PublicationID=P20150820064</v>
      </c>
    </row>
    <row r="4259" spans="1:11" ht="51" x14ac:dyDescent="0.4">
      <c r="A4259" s="10" t="s">
        <v>3070</v>
      </c>
      <c r="B4259" s="10" t="s">
        <v>3071</v>
      </c>
      <c r="C4259" s="10" t="s">
        <v>3034</v>
      </c>
      <c r="D4259" s="10" t="s">
        <v>3035</v>
      </c>
      <c r="E4259" s="10" t="s">
        <v>70</v>
      </c>
      <c r="F4259" s="10" t="s">
        <v>1462</v>
      </c>
      <c r="G4259" s="10" t="s">
        <v>55</v>
      </c>
      <c r="H4259" s="7" t="s">
        <v>24</v>
      </c>
      <c r="I4259" s="7" t="s">
        <v>25</v>
      </c>
      <c r="J4259" s="13" t="str">
        <f>HYPERLINK("https://www.airitibooks.com/Detail/Detail?PublicationID=P20150820068", "https://www.airitibooks.com/Detail/Detail?PublicationID=P20150820068")</f>
        <v>https://www.airitibooks.com/Detail/Detail?PublicationID=P20150820068</v>
      </c>
      <c r="K4259" s="13" t="str">
        <f>HYPERLINK("https://ntsu.idm.oclc.org/login?url=https://www.airitibooks.com/Detail/Detail?PublicationID=P20150820068", "https://ntsu.idm.oclc.org/login?url=https://www.airitibooks.com/Detail/Detail?PublicationID=P20150820068")</f>
        <v>https://ntsu.idm.oclc.org/login?url=https://www.airitibooks.com/Detail/Detail?PublicationID=P20150820068</v>
      </c>
    </row>
    <row r="4260" spans="1:11" ht="51" x14ac:dyDescent="0.4">
      <c r="A4260" s="10" t="s">
        <v>3076</v>
      </c>
      <c r="B4260" s="10" t="s">
        <v>3077</v>
      </c>
      <c r="C4260" s="10" t="s">
        <v>3034</v>
      </c>
      <c r="D4260" s="10" t="s">
        <v>3035</v>
      </c>
      <c r="E4260" s="10" t="s">
        <v>70</v>
      </c>
      <c r="F4260" s="10" t="s">
        <v>2211</v>
      </c>
      <c r="G4260" s="10" t="s">
        <v>55</v>
      </c>
      <c r="H4260" s="7" t="s">
        <v>24</v>
      </c>
      <c r="I4260" s="7" t="s">
        <v>25</v>
      </c>
      <c r="J4260" s="13" t="str">
        <f>HYPERLINK("https://www.airitibooks.com/Detail/Detail?PublicationID=P20150820073", "https://www.airitibooks.com/Detail/Detail?PublicationID=P20150820073")</f>
        <v>https://www.airitibooks.com/Detail/Detail?PublicationID=P20150820073</v>
      </c>
      <c r="K4260" s="13" t="str">
        <f>HYPERLINK("https://ntsu.idm.oclc.org/login?url=https://www.airitibooks.com/Detail/Detail?PublicationID=P20150820073", "https://ntsu.idm.oclc.org/login?url=https://www.airitibooks.com/Detail/Detail?PublicationID=P20150820073")</f>
        <v>https://ntsu.idm.oclc.org/login?url=https://www.airitibooks.com/Detail/Detail?PublicationID=P20150820073</v>
      </c>
    </row>
    <row r="4261" spans="1:11" ht="51" x14ac:dyDescent="0.4">
      <c r="A4261" s="10" t="s">
        <v>4444</v>
      </c>
      <c r="B4261" s="10" t="s">
        <v>4445</v>
      </c>
      <c r="C4261" s="10" t="s">
        <v>1504</v>
      </c>
      <c r="D4261" s="10" t="s">
        <v>2194</v>
      </c>
      <c r="E4261" s="10" t="s">
        <v>70</v>
      </c>
      <c r="F4261" s="10" t="s">
        <v>2201</v>
      </c>
      <c r="G4261" s="10" t="s">
        <v>55</v>
      </c>
      <c r="H4261" s="7" t="s">
        <v>24</v>
      </c>
      <c r="I4261" s="7" t="s">
        <v>25</v>
      </c>
      <c r="J4261" s="13" t="str">
        <f>HYPERLINK("https://www.airitibooks.com/Detail/Detail?PublicationID=P20160412001", "https://www.airitibooks.com/Detail/Detail?PublicationID=P20160412001")</f>
        <v>https://www.airitibooks.com/Detail/Detail?PublicationID=P20160412001</v>
      </c>
      <c r="K4261" s="13" t="str">
        <f>HYPERLINK("https://ntsu.idm.oclc.org/login?url=https://www.airitibooks.com/Detail/Detail?PublicationID=P20160412001", "https://ntsu.idm.oclc.org/login?url=https://www.airitibooks.com/Detail/Detail?PublicationID=P20160412001")</f>
        <v>https://ntsu.idm.oclc.org/login?url=https://www.airitibooks.com/Detail/Detail?PublicationID=P20160412001</v>
      </c>
    </row>
    <row r="4262" spans="1:11" ht="51" x14ac:dyDescent="0.4">
      <c r="A4262" s="10" t="s">
        <v>5007</v>
      </c>
      <c r="B4262" s="10" t="s">
        <v>5008</v>
      </c>
      <c r="C4262" s="10" t="s">
        <v>1504</v>
      </c>
      <c r="D4262" s="10" t="s">
        <v>5009</v>
      </c>
      <c r="E4262" s="10" t="s">
        <v>70</v>
      </c>
      <c r="F4262" s="10" t="s">
        <v>2205</v>
      </c>
      <c r="G4262" s="10" t="s">
        <v>55</v>
      </c>
      <c r="H4262" s="7" t="s">
        <v>24</v>
      </c>
      <c r="I4262" s="7" t="s">
        <v>25</v>
      </c>
      <c r="J4262" s="13" t="str">
        <f>HYPERLINK("https://www.airitibooks.com/Detail/Detail?PublicationID=P20160723082", "https://www.airitibooks.com/Detail/Detail?PublicationID=P20160723082")</f>
        <v>https://www.airitibooks.com/Detail/Detail?PublicationID=P20160723082</v>
      </c>
      <c r="K4262" s="13" t="str">
        <f>HYPERLINK("https://ntsu.idm.oclc.org/login?url=https://www.airitibooks.com/Detail/Detail?PublicationID=P20160723082", "https://ntsu.idm.oclc.org/login?url=https://www.airitibooks.com/Detail/Detail?PublicationID=P20160723082")</f>
        <v>https://ntsu.idm.oclc.org/login?url=https://www.airitibooks.com/Detail/Detail?PublicationID=P20160723082</v>
      </c>
    </row>
    <row r="4263" spans="1:11" ht="51" x14ac:dyDescent="0.4">
      <c r="A4263" s="10" t="s">
        <v>5565</v>
      </c>
      <c r="B4263" s="10" t="s">
        <v>5566</v>
      </c>
      <c r="C4263" s="10" t="s">
        <v>147</v>
      </c>
      <c r="D4263" s="10" t="s">
        <v>5567</v>
      </c>
      <c r="E4263" s="10" t="s">
        <v>70</v>
      </c>
      <c r="F4263" s="10" t="s">
        <v>5568</v>
      </c>
      <c r="G4263" s="10" t="s">
        <v>55</v>
      </c>
      <c r="H4263" s="7" t="s">
        <v>24</v>
      </c>
      <c r="I4263" s="7" t="s">
        <v>25</v>
      </c>
      <c r="J4263" s="13" t="str">
        <f>HYPERLINK("https://www.airitibooks.com/Detail/Detail?PublicationID=P20161004003", "https://www.airitibooks.com/Detail/Detail?PublicationID=P20161004003")</f>
        <v>https://www.airitibooks.com/Detail/Detail?PublicationID=P20161004003</v>
      </c>
      <c r="K4263" s="13" t="str">
        <f>HYPERLINK("https://ntsu.idm.oclc.org/login?url=https://www.airitibooks.com/Detail/Detail?PublicationID=P20161004003", "https://ntsu.idm.oclc.org/login?url=https://www.airitibooks.com/Detail/Detail?PublicationID=P20161004003")</f>
        <v>https://ntsu.idm.oclc.org/login?url=https://www.airitibooks.com/Detail/Detail?PublicationID=P20161004003</v>
      </c>
    </row>
    <row r="4264" spans="1:11" ht="51" x14ac:dyDescent="0.4">
      <c r="A4264" s="10" t="s">
        <v>1093</v>
      </c>
      <c r="B4264" s="10" t="s">
        <v>1094</v>
      </c>
      <c r="C4264" s="10" t="s">
        <v>1095</v>
      </c>
      <c r="D4264" s="10" t="s">
        <v>1096</v>
      </c>
      <c r="E4264" s="10" t="s">
        <v>70</v>
      </c>
      <c r="F4264" s="10" t="s">
        <v>144</v>
      </c>
      <c r="G4264" s="10" t="s">
        <v>87</v>
      </c>
      <c r="H4264" s="7" t="s">
        <v>24</v>
      </c>
      <c r="I4264" s="7" t="s">
        <v>25</v>
      </c>
      <c r="J4264" s="13" t="str">
        <f>HYPERLINK("https://www.airitibooks.com/Detail/Detail?PublicationID=P20140113034", "https://www.airitibooks.com/Detail/Detail?PublicationID=P20140113034")</f>
        <v>https://www.airitibooks.com/Detail/Detail?PublicationID=P20140113034</v>
      </c>
      <c r="K4264" s="13" t="str">
        <f>HYPERLINK("https://ntsu.idm.oclc.org/login?url=https://www.airitibooks.com/Detail/Detail?PublicationID=P20140113034", "https://ntsu.idm.oclc.org/login?url=https://www.airitibooks.com/Detail/Detail?PublicationID=P20140113034")</f>
        <v>https://ntsu.idm.oclc.org/login?url=https://www.airitibooks.com/Detail/Detail?PublicationID=P20140113034</v>
      </c>
    </row>
    <row r="4265" spans="1:11" ht="51" x14ac:dyDescent="0.4">
      <c r="A4265" s="10" t="s">
        <v>1117</v>
      </c>
      <c r="B4265" s="10" t="s">
        <v>1118</v>
      </c>
      <c r="C4265" s="10" t="s">
        <v>428</v>
      </c>
      <c r="D4265" s="10" t="s">
        <v>1119</v>
      </c>
      <c r="E4265" s="10" t="s">
        <v>70</v>
      </c>
      <c r="F4265" s="10" t="s">
        <v>399</v>
      </c>
      <c r="G4265" s="10" t="s">
        <v>87</v>
      </c>
      <c r="H4265" s="7" t="s">
        <v>24</v>
      </c>
      <c r="I4265" s="7" t="s">
        <v>25</v>
      </c>
      <c r="J4265" s="13" t="str">
        <f>HYPERLINK("https://www.airitibooks.com/Detail/Detail?PublicationID=P20140120051", "https://www.airitibooks.com/Detail/Detail?PublicationID=P20140120051")</f>
        <v>https://www.airitibooks.com/Detail/Detail?PublicationID=P20140120051</v>
      </c>
      <c r="K4265" s="13" t="str">
        <f>HYPERLINK("https://ntsu.idm.oclc.org/login?url=https://www.airitibooks.com/Detail/Detail?PublicationID=P20140120051", "https://ntsu.idm.oclc.org/login?url=https://www.airitibooks.com/Detail/Detail?PublicationID=P20140120051")</f>
        <v>https://ntsu.idm.oclc.org/login?url=https://www.airitibooks.com/Detail/Detail?PublicationID=P20140120051</v>
      </c>
    </row>
    <row r="4266" spans="1:11" ht="51" x14ac:dyDescent="0.4">
      <c r="A4266" s="10" t="s">
        <v>1141</v>
      </c>
      <c r="B4266" s="10" t="s">
        <v>1142</v>
      </c>
      <c r="C4266" s="10" t="s">
        <v>269</v>
      </c>
      <c r="D4266" s="10" t="s">
        <v>1143</v>
      </c>
      <c r="E4266" s="10" t="s">
        <v>70</v>
      </c>
      <c r="F4266" s="10" t="s">
        <v>399</v>
      </c>
      <c r="G4266" s="10" t="s">
        <v>87</v>
      </c>
      <c r="H4266" s="7" t="s">
        <v>24</v>
      </c>
      <c r="I4266" s="7" t="s">
        <v>25</v>
      </c>
      <c r="J4266" s="13" t="str">
        <f>HYPERLINK("https://www.airitibooks.com/Detail/Detail?PublicationID=P20140124009", "https://www.airitibooks.com/Detail/Detail?PublicationID=P20140124009")</f>
        <v>https://www.airitibooks.com/Detail/Detail?PublicationID=P20140124009</v>
      </c>
      <c r="K4266" s="13" t="str">
        <f>HYPERLINK("https://ntsu.idm.oclc.org/login?url=https://www.airitibooks.com/Detail/Detail?PublicationID=P20140124009", "https://ntsu.idm.oclc.org/login?url=https://www.airitibooks.com/Detail/Detail?PublicationID=P20140124009")</f>
        <v>https://ntsu.idm.oclc.org/login?url=https://www.airitibooks.com/Detail/Detail?PublicationID=P20140124009</v>
      </c>
    </row>
    <row r="4267" spans="1:11" ht="51" x14ac:dyDescent="0.4">
      <c r="A4267" s="10" t="s">
        <v>1155</v>
      </c>
      <c r="B4267" s="10" t="s">
        <v>1156</v>
      </c>
      <c r="C4267" s="10" t="s">
        <v>804</v>
      </c>
      <c r="D4267" s="10" t="s">
        <v>1157</v>
      </c>
      <c r="E4267" s="10" t="s">
        <v>70</v>
      </c>
      <c r="F4267" s="10" t="s">
        <v>144</v>
      </c>
      <c r="G4267" s="10" t="s">
        <v>87</v>
      </c>
      <c r="H4267" s="7" t="s">
        <v>24</v>
      </c>
      <c r="I4267" s="7" t="s">
        <v>25</v>
      </c>
      <c r="J4267" s="13" t="str">
        <f>HYPERLINK("https://www.airitibooks.com/Detail/Detail?PublicationID=P20140206142", "https://www.airitibooks.com/Detail/Detail?PublicationID=P20140206142")</f>
        <v>https://www.airitibooks.com/Detail/Detail?PublicationID=P20140206142</v>
      </c>
      <c r="K4267" s="13" t="str">
        <f>HYPERLINK("https://ntsu.idm.oclc.org/login?url=https://www.airitibooks.com/Detail/Detail?PublicationID=P20140206142", "https://ntsu.idm.oclc.org/login?url=https://www.airitibooks.com/Detail/Detail?PublicationID=P20140206142")</f>
        <v>https://ntsu.idm.oclc.org/login?url=https://www.airitibooks.com/Detail/Detail?PublicationID=P20140206142</v>
      </c>
    </row>
    <row r="4268" spans="1:11" ht="51" x14ac:dyDescent="0.4">
      <c r="A4268" s="10" t="s">
        <v>1282</v>
      </c>
      <c r="B4268" s="10" t="s">
        <v>1283</v>
      </c>
      <c r="C4268" s="10" t="s">
        <v>1284</v>
      </c>
      <c r="D4268" s="10" t="s">
        <v>1285</v>
      </c>
      <c r="E4268" s="10" t="s">
        <v>70</v>
      </c>
      <c r="F4268" s="10" t="s">
        <v>1286</v>
      </c>
      <c r="G4268" s="10" t="s">
        <v>87</v>
      </c>
      <c r="H4268" s="7" t="s">
        <v>24</v>
      </c>
      <c r="I4268" s="7" t="s">
        <v>25</v>
      </c>
      <c r="J4268" s="13" t="str">
        <f>HYPERLINK("https://www.airitibooks.com/Detail/Detail?PublicationID=P20140702188", "https://www.airitibooks.com/Detail/Detail?PublicationID=P20140702188")</f>
        <v>https://www.airitibooks.com/Detail/Detail?PublicationID=P20140702188</v>
      </c>
      <c r="K4268" s="13" t="str">
        <f>HYPERLINK("https://ntsu.idm.oclc.org/login?url=https://www.airitibooks.com/Detail/Detail?PublicationID=P20140702188", "https://ntsu.idm.oclc.org/login?url=https://www.airitibooks.com/Detail/Detail?PublicationID=P20140702188")</f>
        <v>https://ntsu.idm.oclc.org/login?url=https://www.airitibooks.com/Detail/Detail?PublicationID=P20140702188</v>
      </c>
    </row>
    <row r="4269" spans="1:11" ht="51" x14ac:dyDescent="0.4">
      <c r="A4269" s="10" t="s">
        <v>1287</v>
      </c>
      <c r="B4269" s="10" t="s">
        <v>1288</v>
      </c>
      <c r="C4269" s="10" t="s">
        <v>1284</v>
      </c>
      <c r="D4269" s="10" t="s">
        <v>1285</v>
      </c>
      <c r="E4269" s="10" t="s">
        <v>70</v>
      </c>
      <c r="F4269" s="10" t="s">
        <v>1286</v>
      </c>
      <c r="G4269" s="10" t="s">
        <v>87</v>
      </c>
      <c r="H4269" s="7" t="s">
        <v>24</v>
      </c>
      <c r="I4269" s="7" t="s">
        <v>25</v>
      </c>
      <c r="J4269" s="13" t="str">
        <f>HYPERLINK("https://www.airitibooks.com/Detail/Detail?PublicationID=P20140702189", "https://www.airitibooks.com/Detail/Detail?PublicationID=P20140702189")</f>
        <v>https://www.airitibooks.com/Detail/Detail?PublicationID=P20140702189</v>
      </c>
      <c r="K4269" s="13" t="str">
        <f>HYPERLINK("https://ntsu.idm.oclc.org/login?url=https://www.airitibooks.com/Detail/Detail?PublicationID=P20140702189", "https://ntsu.idm.oclc.org/login?url=https://www.airitibooks.com/Detail/Detail?PublicationID=P20140702189")</f>
        <v>https://ntsu.idm.oclc.org/login?url=https://www.airitibooks.com/Detail/Detail?PublicationID=P20140702189</v>
      </c>
    </row>
    <row r="4270" spans="1:11" ht="51" x14ac:dyDescent="0.4">
      <c r="A4270" s="10" t="s">
        <v>1390</v>
      </c>
      <c r="B4270" s="10" t="s">
        <v>1391</v>
      </c>
      <c r="C4270" s="10" t="s">
        <v>297</v>
      </c>
      <c r="D4270" s="10" t="s">
        <v>1392</v>
      </c>
      <c r="E4270" s="10" t="s">
        <v>70</v>
      </c>
      <c r="F4270" s="10" t="s">
        <v>144</v>
      </c>
      <c r="G4270" s="10" t="s">
        <v>87</v>
      </c>
      <c r="H4270" s="7" t="s">
        <v>24</v>
      </c>
      <c r="I4270" s="7" t="s">
        <v>25</v>
      </c>
      <c r="J4270" s="13" t="str">
        <f>HYPERLINK("https://www.airitibooks.com/Detail/Detail?PublicationID=P20140821018", "https://www.airitibooks.com/Detail/Detail?PublicationID=P20140821018")</f>
        <v>https://www.airitibooks.com/Detail/Detail?PublicationID=P20140821018</v>
      </c>
      <c r="K4270" s="13" t="str">
        <f>HYPERLINK("https://ntsu.idm.oclc.org/login?url=https://www.airitibooks.com/Detail/Detail?PublicationID=P20140821018", "https://ntsu.idm.oclc.org/login?url=https://www.airitibooks.com/Detail/Detail?PublicationID=P20140821018")</f>
        <v>https://ntsu.idm.oclc.org/login?url=https://www.airitibooks.com/Detail/Detail?PublicationID=P20140821018</v>
      </c>
    </row>
    <row r="4271" spans="1:11" ht="51" x14ac:dyDescent="0.4">
      <c r="A4271" s="10" t="s">
        <v>1393</v>
      </c>
      <c r="B4271" s="10" t="s">
        <v>1394</v>
      </c>
      <c r="C4271" s="10" t="s">
        <v>297</v>
      </c>
      <c r="D4271" s="10" t="s">
        <v>1392</v>
      </c>
      <c r="E4271" s="10" t="s">
        <v>70</v>
      </c>
      <c r="F4271" s="10" t="s">
        <v>144</v>
      </c>
      <c r="G4271" s="10" t="s">
        <v>87</v>
      </c>
      <c r="H4271" s="7" t="s">
        <v>24</v>
      </c>
      <c r="I4271" s="7" t="s">
        <v>25</v>
      </c>
      <c r="J4271" s="13" t="str">
        <f>HYPERLINK("https://www.airitibooks.com/Detail/Detail?PublicationID=P20140821020", "https://www.airitibooks.com/Detail/Detail?PublicationID=P20140821020")</f>
        <v>https://www.airitibooks.com/Detail/Detail?PublicationID=P20140821020</v>
      </c>
      <c r="K4271" s="13" t="str">
        <f>HYPERLINK("https://ntsu.idm.oclc.org/login?url=https://www.airitibooks.com/Detail/Detail?PublicationID=P20140821020", "https://ntsu.idm.oclc.org/login?url=https://www.airitibooks.com/Detail/Detail?PublicationID=P20140821020")</f>
        <v>https://ntsu.idm.oclc.org/login?url=https://www.airitibooks.com/Detail/Detail?PublicationID=P20140821020</v>
      </c>
    </row>
    <row r="4272" spans="1:11" ht="51" x14ac:dyDescent="0.4">
      <c r="A4272" s="10" t="s">
        <v>1398</v>
      </c>
      <c r="B4272" s="10" t="s">
        <v>1399</v>
      </c>
      <c r="C4272" s="10" t="s">
        <v>297</v>
      </c>
      <c r="D4272" s="10" t="s">
        <v>1400</v>
      </c>
      <c r="E4272" s="10" t="s">
        <v>70</v>
      </c>
      <c r="F4272" s="10" t="s">
        <v>399</v>
      </c>
      <c r="G4272" s="10" t="s">
        <v>87</v>
      </c>
      <c r="H4272" s="7" t="s">
        <v>24</v>
      </c>
      <c r="I4272" s="7" t="s">
        <v>25</v>
      </c>
      <c r="J4272" s="13" t="str">
        <f>HYPERLINK("https://www.airitibooks.com/Detail/Detail?PublicationID=P20140821024", "https://www.airitibooks.com/Detail/Detail?PublicationID=P20140821024")</f>
        <v>https://www.airitibooks.com/Detail/Detail?PublicationID=P20140821024</v>
      </c>
      <c r="K4272" s="13" t="str">
        <f>HYPERLINK("https://ntsu.idm.oclc.org/login?url=https://www.airitibooks.com/Detail/Detail?PublicationID=P20140821024", "https://ntsu.idm.oclc.org/login?url=https://www.airitibooks.com/Detail/Detail?PublicationID=P20140821024")</f>
        <v>https://ntsu.idm.oclc.org/login?url=https://www.airitibooks.com/Detail/Detail?PublicationID=P20140821024</v>
      </c>
    </row>
    <row r="4273" spans="1:11" ht="51" x14ac:dyDescent="0.4">
      <c r="A4273" s="10" t="s">
        <v>1407</v>
      </c>
      <c r="B4273" s="10" t="s">
        <v>1408</v>
      </c>
      <c r="C4273" s="10" t="s">
        <v>428</v>
      </c>
      <c r="D4273" s="10" t="s">
        <v>1409</v>
      </c>
      <c r="E4273" s="10" t="s">
        <v>70</v>
      </c>
      <c r="F4273" s="10" t="s">
        <v>1208</v>
      </c>
      <c r="G4273" s="10" t="s">
        <v>87</v>
      </c>
      <c r="H4273" s="7" t="s">
        <v>24</v>
      </c>
      <c r="I4273" s="7" t="s">
        <v>25</v>
      </c>
      <c r="J4273" s="13" t="str">
        <f>HYPERLINK("https://www.airitibooks.com/Detail/Detail?PublicationID=P20140821038", "https://www.airitibooks.com/Detail/Detail?PublicationID=P20140821038")</f>
        <v>https://www.airitibooks.com/Detail/Detail?PublicationID=P20140821038</v>
      </c>
      <c r="K4273" s="13" t="str">
        <f>HYPERLINK("https://ntsu.idm.oclc.org/login?url=https://www.airitibooks.com/Detail/Detail?PublicationID=P20140821038", "https://ntsu.idm.oclc.org/login?url=https://www.airitibooks.com/Detail/Detail?PublicationID=P20140821038")</f>
        <v>https://ntsu.idm.oclc.org/login?url=https://www.airitibooks.com/Detail/Detail?PublicationID=P20140821038</v>
      </c>
    </row>
    <row r="4274" spans="1:11" ht="51" x14ac:dyDescent="0.4">
      <c r="A4274" s="10" t="s">
        <v>1414</v>
      </c>
      <c r="B4274" s="10" t="s">
        <v>1415</v>
      </c>
      <c r="C4274" s="10" t="s">
        <v>428</v>
      </c>
      <c r="D4274" s="10" t="s">
        <v>1416</v>
      </c>
      <c r="E4274" s="10" t="s">
        <v>70</v>
      </c>
      <c r="F4274" s="10" t="s">
        <v>399</v>
      </c>
      <c r="G4274" s="10" t="s">
        <v>87</v>
      </c>
      <c r="H4274" s="7" t="s">
        <v>24</v>
      </c>
      <c r="I4274" s="7" t="s">
        <v>25</v>
      </c>
      <c r="J4274" s="13" t="str">
        <f>HYPERLINK("https://www.airitibooks.com/Detail/Detail?PublicationID=P20140821041", "https://www.airitibooks.com/Detail/Detail?PublicationID=P20140821041")</f>
        <v>https://www.airitibooks.com/Detail/Detail?PublicationID=P20140821041</v>
      </c>
      <c r="K4274" s="13" t="str">
        <f>HYPERLINK("https://ntsu.idm.oclc.org/login?url=https://www.airitibooks.com/Detail/Detail?PublicationID=P20140821041", "https://ntsu.idm.oclc.org/login?url=https://www.airitibooks.com/Detail/Detail?PublicationID=P20140821041")</f>
        <v>https://ntsu.idm.oclc.org/login?url=https://www.airitibooks.com/Detail/Detail?PublicationID=P20140821041</v>
      </c>
    </row>
    <row r="4275" spans="1:11" ht="51" x14ac:dyDescent="0.4">
      <c r="A4275" s="10" t="s">
        <v>1417</v>
      </c>
      <c r="B4275" s="10" t="s">
        <v>1418</v>
      </c>
      <c r="C4275" s="10" t="s">
        <v>428</v>
      </c>
      <c r="D4275" s="10" t="s">
        <v>1419</v>
      </c>
      <c r="E4275" s="10" t="s">
        <v>70</v>
      </c>
      <c r="F4275" s="10" t="s">
        <v>1208</v>
      </c>
      <c r="G4275" s="10" t="s">
        <v>87</v>
      </c>
      <c r="H4275" s="7" t="s">
        <v>24</v>
      </c>
      <c r="I4275" s="7" t="s">
        <v>25</v>
      </c>
      <c r="J4275" s="13" t="str">
        <f>HYPERLINK("https://www.airitibooks.com/Detail/Detail?PublicationID=P20140821046", "https://www.airitibooks.com/Detail/Detail?PublicationID=P20140821046")</f>
        <v>https://www.airitibooks.com/Detail/Detail?PublicationID=P20140821046</v>
      </c>
      <c r="K4275" s="13" t="str">
        <f>HYPERLINK("https://ntsu.idm.oclc.org/login?url=https://www.airitibooks.com/Detail/Detail?PublicationID=P20140821046", "https://ntsu.idm.oclc.org/login?url=https://www.airitibooks.com/Detail/Detail?PublicationID=P20140821046")</f>
        <v>https://ntsu.idm.oclc.org/login?url=https://www.airitibooks.com/Detail/Detail?PublicationID=P20140821046</v>
      </c>
    </row>
    <row r="4276" spans="1:11" ht="51" x14ac:dyDescent="0.4">
      <c r="A4276" s="10" t="s">
        <v>1482</v>
      </c>
      <c r="B4276" s="10" t="s">
        <v>1483</v>
      </c>
      <c r="C4276" s="10" t="s">
        <v>1484</v>
      </c>
      <c r="D4276" s="10" t="s">
        <v>1485</v>
      </c>
      <c r="E4276" s="10" t="s">
        <v>70</v>
      </c>
      <c r="F4276" s="10" t="s">
        <v>1486</v>
      </c>
      <c r="G4276" s="10" t="s">
        <v>87</v>
      </c>
      <c r="H4276" s="7" t="s">
        <v>24</v>
      </c>
      <c r="I4276" s="7" t="s">
        <v>25</v>
      </c>
      <c r="J4276" s="13" t="str">
        <f>HYPERLINK("https://www.airitibooks.com/Detail/Detail?PublicationID=P20141003001", "https://www.airitibooks.com/Detail/Detail?PublicationID=P20141003001")</f>
        <v>https://www.airitibooks.com/Detail/Detail?PublicationID=P20141003001</v>
      </c>
      <c r="K4276" s="13" t="str">
        <f>HYPERLINK("https://ntsu.idm.oclc.org/login?url=https://www.airitibooks.com/Detail/Detail?PublicationID=P20141003001", "https://ntsu.idm.oclc.org/login?url=https://www.airitibooks.com/Detail/Detail?PublicationID=P20141003001")</f>
        <v>https://ntsu.idm.oclc.org/login?url=https://www.airitibooks.com/Detail/Detail?PublicationID=P20141003001</v>
      </c>
    </row>
    <row r="4277" spans="1:11" ht="51" x14ac:dyDescent="0.4">
      <c r="A4277" s="10" t="s">
        <v>1609</v>
      </c>
      <c r="B4277" s="10" t="s">
        <v>1610</v>
      </c>
      <c r="C4277" s="10" t="s">
        <v>297</v>
      </c>
      <c r="D4277" s="10" t="s">
        <v>1611</v>
      </c>
      <c r="E4277" s="10" t="s">
        <v>70</v>
      </c>
      <c r="F4277" s="10" t="s">
        <v>232</v>
      </c>
      <c r="G4277" s="10" t="s">
        <v>87</v>
      </c>
      <c r="H4277" s="7" t="s">
        <v>24</v>
      </c>
      <c r="I4277" s="7" t="s">
        <v>25</v>
      </c>
      <c r="J4277" s="13" t="str">
        <f>HYPERLINK("https://www.airitibooks.com/Detail/Detail?PublicationID=P20141027190", "https://www.airitibooks.com/Detail/Detail?PublicationID=P20141027190")</f>
        <v>https://www.airitibooks.com/Detail/Detail?PublicationID=P20141027190</v>
      </c>
      <c r="K4277" s="13" t="str">
        <f>HYPERLINK("https://ntsu.idm.oclc.org/login?url=https://www.airitibooks.com/Detail/Detail?PublicationID=P20141027190", "https://ntsu.idm.oclc.org/login?url=https://www.airitibooks.com/Detail/Detail?PublicationID=P20141027190")</f>
        <v>https://ntsu.idm.oclc.org/login?url=https://www.airitibooks.com/Detail/Detail?PublicationID=P20141027190</v>
      </c>
    </row>
    <row r="4278" spans="1:11" ht="51" x14ac:dyDescent="0.4">
      <c r="A4278" s="10" t="s">
        <v>1629</v>
      </c>
      <c r="B4278" s="10" t="s">
        <v>1630</v>
      </c>
      <c r="C4278" s="10" t="s">
        <v>428</v>
      </c>
      <c r="D4278" s="10" t="s">
        <v>1631</v>
      </c>
      <c r="E4278" s="10" t="s">
        <v>70</v>
      </c>
      <c r="F4278" s="10" t="s">
        <v>1632</v>
      </c>
      <c r="G4278" s="10" t="s">
        <v>87</v>
      </c>
      <c r="H4278" s="7" t="s">
        <v>24</v>
      </c>
      <c r="I4278" s="7" t="s">
        <v>25</v>
      </c>
      <c r="J4278" s="13" t="str">
        <f>HYPERLINK("https://www.airitibooks.com/Detail/Detail?PublicationID=P20141027207", "https://www.airitibooks.com/Detail/Detail?PublicationID=P20141027207")</f>
        <v>https://www.airitibooks.com/Detail/Detail?PublicationID=P20141027207</v>
      </c>
      <c r="K4278" s="13" t="str">
        <f>HYPERLINK("https://ntsu.idm.oclc.org/login?url=https://www.airitibooks.com/Detail/Detail?PublicationID=P20141027207", "https://ntsu.idm.oclc.org/login?url=https://www.airitibooks.com/Detail/Detail?PublicationID=P20141027207")</f>
        <v>https://ntsu.idm.oclc.org/login?url=https://www.airitibooks.com/Detail/Detail?PublicationID=P20141027207</v>
      </c>
    </row>
    <row r="4279" spans="1:11" ht="51" x14ac:dyDescent="0.4">
      <c r="A4279" s="10" t="s">
        <v>1633</v>
      </c>
      <c r="B4279" s="10" t="s">
        <v>1634</v>
      </c>
      <c r="C4279" s="10" t="s">
        <v>428</v>
      </c>
      <c r="D4279" s="10" t="s">
        <v>1635</v>
      </c>
      <c r="E4279" s="10" t="s">
        <v>70</v>
      </c>
      <c r="F4279" s="10" t="s">
        <v>1632</v>
      </c>
      <c r="G4279" s="10" t="s">
        <v>87</v>
      </c>
      <c r="H4279" s="7" t="s">
        <v>24</v>
      </c>
      <c r="I4279" s="7" t="s">
        <v>25</v>
      </c>
      <c r="J4279" s="13" t="str">
        <f>HYPERLINK("https://www.airitibooks.com/Detail/Detail?PublicationID=P20141027210", "https://www.airitibooks.com/Detail/Detail?PublicationID=P20141027210")</f>
        <v>https://www.airitibooks.com/Detail/Detail?PublicationID=P20141027210</v>
      </c>
      <c r="K4279" s="13" t="str">
        <f>HYPERLINK("https://ntsu.idm.oclc.org/login?url=https://www.airitibooks.com/Detail/Detail?PublicationID=P20141027210", "https://ntsu.idm.oclc.org/login?url=https://www.airitibooks.com/Detail/Detail?PublicationID=P20141027210")</f>
        <v>https://ntsu.idm.oclc.org/login?url=https://www.airitibooks.com/Detail/Detail?PublicationID=P20141027210</v>
      </c>
    </row>
    <row r="4280" spans="1:11" ht="51" x14ac:dyDescent="0.4">
      <c r="A4280" s="10" t="s">
        <v>1636</v>
      </c>
      <c r="B4280" s="10" t="s">
        <v>1637</v>
      </c>
      <c r="C4280" s="10" t="s">
        <v>428</v>
      </c>
      <c r="D4280" s="10" t="s">
        <v>1638</v>
      </c>
      <c r="E4280" s="10" t="s">
        <v>70</v>
      </c>
      <c r="F4280" s="10" t="s">
        <v>284</v>
      </c>
      <c r="G4280" s="10" t="s">
        <v>87</v>
      </c>
      <c r="H4280" s="7" t="s">
        <v>24</v>
      </c>
      <c r="I4280" s="7" t="s">
        <v>25</v>
      </c>
      <c r="J4280" s="13" t="str">
        <f>HYPERLINK("https://www.airitibooks.com/Detail/Detail?PublicationID=P20141027212", "https://www.airitibooks.com/Detail/Detail?PublicationID=P20141027212")</f>
        <v>https://www.airitibooks.com/Detail/Detail?PublicationID=P20141027212</v>
      </c>
      <c r="K4280" s="13" t="str">
        <f>HYPERLINK("https://ntsu.idm.oclc.org/login?url=https://www.airitibooks.com/Detail/Detail?PublicationID=P20141027212", "https://ntsu.idm.oclc.org/login?url=https://www.airitibooks.com/Detail/Detail?PublicationID=P20141027212")</f>
        <v>https://ntsu.idm.oclc.org/login?url=https://www.airitibooks.com/Detail/Detail?PublicationID=P20141027212</v>
      </c>
    </row>
    <row r="4281" spans="1:11" ht="102" x14ac:dyDescent="0.4">
      <c r="A4281" s="10" t="s">
        <v>1694</v>
      </c>
      <c r="B4281" s="10" t="s">
        <v>1695</v>
      </c>
      <c r="C4281" s="10" t="s">
        <v>731</v>
      </c>
      <c r="D4281" s="10" t="s">
        <v>1693</v>
      </c>
      <c r="E4281" s="10" t="s">
        <v>70</v>
      </c>
      <c r="F4281" s="10" t="s">
        <v>381</v>
      </c>
      <c r="G4281" s="10" t="s">
        <v>87</v>
      </c>
      <c r="H4281" s="7" t="s">
        <v>24</v>
      </c>
      <c r="I4281" s="7" t="s">
        <v>25</v>
      </c>
      <c r="J4281" s="13" t="str">
        <f>HYPERLINK("https://www.airitibooks.com/Detail/Detail?PublicationID=P20141117078", "https://www.airitibooks.com/Detail/Detail?PublicationID=P20141117078")</f>
        <v>https://www.airitibooks.com/Detail/Detail?PublicationID=P20141117078</v>
      </c>
      <c r="K4281" s="13" t="str">
        <f>HYPERLINK("https://ntsu.idm.oclc.org/login?url=https://www.airitibooks.com/Detail/Detail?PublicationID=P20141117078", "https://ntsu.idm.oclc.org/login?url=https://www.airitibooks.com/Detail/Detail?PublicationID=P20141117078")</f>
        <v>https://ntsu.idm.oclc.org/login?url=https://www.airitibooks.com/Detail/Detail?PublicationID=P20141117078</v>
      </c>
    </row>
    <row r="4282" spans="1:11" ht="68" x14ac:dyDescent="0.4">
      <c r="A4282" s="10" t="s">
        <v>1696</v>
      </c>
      <c r="B4282" s="10" t="s">
        <v>1697</v>
      </c>
      <c r="C4282" s="10" t="s">
        <v>731</v>
      </c>
      <c r="D4282" s="10" t="s">
        <v>1693</v>
      </c>
      <c r="E4282" s="10" t="s">
        <v>70</v>
      </c>
      <c r="F4282" s="10" t="s">
        <v>144</v>
      </c>
      <c r="G4282" s="10" t="s">
        <v>87</v>
      </c>
      <c r="H4282" s="7" t="s">
        <v>24</v>
      </c>
      <c r="I4282" s="7" t="s">
        <v>25</v>
      </c>
      <c r="J4282" s="13" t="str">
        <f>HYPERLINK("https://www.airitibooks.com/Detail/Detail?PublicationID=P20141117080", "https://www.airitibooks.com/Detail/Detail?PublicationID=P20141117080")</f>
        <v>https://www.airitibooks.com/Detail/Detail?PublicationID=P20141117080</v>
      </c>
      <c r="K4282" s="13" t="str">
        <f>HYPERLINK("https://ntsu.idm.oclc.org/login?url=https://www.airitibooks.com/Detail/Detail?PublicationID=P20141117080", "https://ntsu.idm.oclc.org/login?url=https://www.airitibooks.com/Detail/Detail?PublicationID=P20141117080")</f>
        <v>https://ntsu.idm.oclc.org/login?url=https://www.airitibooks.com/Detail/Detail?PublicationID=P20141117080</v>
      </c>
    </row>
    <row r="4283" spans="1:11" ht="85" x14ac:dyDescent="0.4">
      <c r="A4283" s="10" t="s">
        <v>1698</v>
      </c>
      <c r="B4283" s="10" t="s">
        <v>1699</v>
      </c>
      <c r="C4283" s="10" t="s">
        <v>731</v>
      </c>
      <c r="D4283" s="10" t="s">
        <v>1693</v>
      </c>
      <c r="E4283" s="10" t="s">
        <v>70</v>
      </c>
      <c r="F4283" s="10" t="s">
        <v>144</v>
      </c>
      <c r="G4283" s="10" t="s">
        <v>87</v>
      </c>
      <c r="H4283" s="7" t="s">
        <v>24</v>
      </c>
      <c r="I4283" s="7" t="s">
        <v>25</v>
      </c>
      <c r="J4283" s="13" t="str">
        <f>HYPERLINK("https://www.airitibooks.com/Detail/Detail?PublicationID=P20141117081", "https://www.airitibooks.com/Detail/Detail?PublicationID=P20141117081")</f>
        <v>https://www.airitibooks.com/Detail/Detail?PublicationID=P20141117081</v>
      </c>
      <c r="K4283" s="13" t="str">
        <f>HYPERLINK("https://ntsu.idm.oclc.org/login?url=https://www.airitibooks.com/Detail/Detail?PublicationID=P20141117081", "https://ntsu.idm.oclc.org/login?url=https://www.airitibooks.com/Detail/Detail?PublicationID=P20141117081")</f>
        <v>https://ntsu.idm.oclc.org/login?url=https://www.airitibooks.com/Detail/Detail?PublicationID=P20141117081</v>
      </c>
    </row>
    <row r="4284" spans="1:11" ht="51" x14ac:dyDescent="0.4">
      <c r="A4284" s="10" t="s">
        <v>1700</v>
      </c>
      <c r="B4284" s="10" t="s">
        <v>1701</v>
      </c>
      <c r="C4284" s="10" t="s">
        <v>731</v>
      </c>
      <c r="D4284" s="10" t="s">
        <v>1693</v>
      </c>
      <c r="E4284" s="10" t="s">
        <v>70</v>
      </c>
      <c r="F4284" s="10" t="s">
        <v>399</v>
      </c>
      <c r="G4284" s="10" t="s">
        <v>87</v>
      </c>
      <c r="H4284" s="7" t="s">
        <v>24</v>
      </c>
      <c r="I4284" s="7" t="s">
        <v>25</v>
      </c>
      <c r="J4284" s="13" t="str">
        <f>HYPERLINK("https://www.airitibooks.com/Detail/Detail?PublicationID=P20141117082", "https://www.airitibooks.com/Detail/Detail?PublicationID=P20141117082")</f>
        <v>https://www.airitibooks.com/Detail/Detail?PublicationID=P20141117082</v>
      </c>
      <c r="K4284" s="13" t="str">
        <f>HYPERLINK("https://ntsu.idm.oclc.org/login?url=https://www.airitibooks.com/Detail/Detail?PublicationID=P20141117082", "https://ntsu.idm.oclc.org/login?url=https://www.airitibooks.com/Detail/Detail?PublicationID=P20141117082")</f>
        <v>https://ntsu.idm.oclc.org/login?url=https://www.airitibooks.com/Detail/Detail?PublicationID=P20141117082</v>
      </c>
    </row>
    <row r="4285" spans="1:11" ht="68" x14ac:dyDescent="0.4">
      <c r="A4285" s="10" t="s">
        <v>1702</v>
      </c>
      <c r="B4285" s="10" t="s">
        <v>1703</v>
      </c>
      <c r="C4285" s="10" t="s">
        <v>731</v>
      </c>
      <c r="D4285" s="10" t="s">
        <v>1693</v>
      </c>
      <c r="E4285" s="10" t="s">
        <v>70</v>
      </c>
      <c r="F4285" s="10" t="s">
        <v>144</v>
      </c>
      <c r="G4285" s="10" t="s">
        <v>87</v>
      </c>
      <c r="H4285" s="7" t="s">
        <v>24</v>
      </c>
      <c r="I4285" s="7" t="s">
        <v>25</v>
      </c>
      <c r="J4285" s="13" t="str">
        <f>HYPERLINK("https://www.airitibooks.com/Detail/Detail?PublicationID=P20141117083", "https://www.airitibooks.com/Detail/Detail?PublicationID=P20141117083")</f>
        <v>https://www.airitibooks.com/Detail/Detail?PublicationID=P20141117083</v>
      </c>
      <c r="K4285" s="13" t="str">
        <f>HYPERLINK("https://ntsu.idm.oclc.org/login?url=https://www.airitibooks.com/Detail/Detail?PublicationID=P20141117083", "https://ntsu.idm.oclc.org/login?url=https://www.airitibooks.com/Detail/Detail?PublicationID=P20141117083")</f>
        <v>https://ntsu.idm.oclc.org/login?url=https://www.airitibooks.com/Detail/Detail?PublicationID=P20141117083</v>
      </c>
    </row>
    <row r="4286" spans="1:11" ht="51" x14ac:dyDescent="0.4">
      <c r="A4286" s="10" t="s">
        <v>1704</v>
      </c>
      <c r="B4286" s="10" t="s">
        <v>1705</v>
      </c>
      <c r="C4286" s="10" t="s">
        <v>147</v>
      </c>
      <c r="D4286" s="10" t="s">
        <v>1706</v>
      </c>
      <c r="E4286" s="10" t="s">
        <v>70</v>
      </c>
      <c r="F4286" s="10" t="s">
        <v>1707</v>
      </c>
      <c r="G4286" s="10" t="s">
        <v>87</v>
      </c>
      <c r="H4286" s="7" t="s">
        <v>24</v>
      </c>
      <c r="I4286" s="7" t="s">
        <v>25</v>
      </c>
      <c r="J4286" s="13" t="str">
        <f>HYPERLINK("https://www.airitibooks.com/Detail/Detail?PublicationID=P20141118024", "https://www.airitibooks.com/Detail/Detail?PublicationID=P20141118024")</f>
        <v>https://www.airitibooks.com/Detail/Detail?PublicationID=P20141118024</v>
      </c>
      <c r="K4286" s="13" t="str">
        <f>HYPERLINK("https://ntsu.idm.oclc.org/login?url=https://www.airitibooks.com/Detail/Detail?PublicationID=P20141118024", "https://ntsu.idm.oclc.org/login?url=https://www.airitibooks.com/Detail/Detail?PublicationID=P20141118024")</f>
        <v>https://ntsu.idm.oclc.org/login?url=https://www.airitibooks.com/Detail/Detail?PublicationID=P20141118024</v>
      </c>
    </row>
    <row r="4287" spans="1:11" ht="51" x14ac:dyDescent="0.4">
      <c r="A4287" s="10" t="s">
        <v>1729</v>
      </c>
      <c r="B4287" s="10" t="s">
        <v>1730</v>
      </c>
      <c r="C4287" s="10" t="s">
        <v>746</v>
      </c>
      <c r="D4287" s="10" t="s">
        <v>1731</v>
      </c>
      <c r="E4287" s="10" t="s">
        <v>70</v>
      </c>
      <c r="F4287" s="10" t="s">
        <v>1732</v>
      </c>
      <c r="G4287" s="10" t="s">
        <v>87</v>
      </c>
      <c r="H4287" s="7" t="s">
        <v>24</v>
      </c>
      <c r="I4287" s="7" t="s">
        <v>25</v>
      </c>
      <c r="J4287" s="13" t="str">
        <f>HYPERLINK("https://www.airitibooks.com/Detail/Detail?PublicationID=P20141208100", "https://www.airitibooks.com/Detail/Detail?PublicationID=P20141208100")</f>
        <v>https://www.airitibooks.com/Detail/Detail?PublicationID=P20141208100</v>
      </c>
      <c r="K4287" s="13" t="str">
        <f>HYPERLINK("https://ntsu.idm.oclc.org/login?url=https://www.airitibooks.com/Detail/Detail?PublicationID=P20141208100", "https://ntsu.idm.oclc.org/login?url=https://www.airitibooks.com/Detail/Detail?PublicationID=P20141208100")</f>
        <v>https://ntsu.idm.oclc.org/login?url=https://www.airitibooks.com/Detail/Detail?PublicationID=P20141208100</v>
      </c>
    </row>
    <row r="4288" spans="1:11" ht="51" x14ac:dyDescent="0.4">
      <c r="A4288" s="10" t="s">
        <v>1733</v>
      </c>
      <c r="B4288" s="10" t="s">
        <v>1734</v>
      </c>
      <c r="C4288" s="10" t="s">
        <v>746</v>
      </c>
      <c r="D4288" s="10" t="s">
        <v>1735</v>
      </c>
      <c r="E4288" s="10" t="s">
        <v>70</v>
      </c>
      <c r="F4288" s="10" t="s">
        <v>475</v>
      </c>
      <c r="G4288" s="10" t="s">
        <v>87</v>
      </c>
      <c r="H4288" s="7" t="s">
        <v>24</v>
      </c>
      <c r="I4288" s="7" t="s">
        <v>25</v>
      </c>
      <c r="J4288" s="13" t="str">
        <f>HYPERLINK("https://www.airitibooks.com/Detail/Detail?PublicationID=P20141208102", "https://www.airitibooks.com/Detail/Detail?PublicationID=P20141208102")</f>
        <v>https://www.airitibooks.com/Detail/Detail?PublicationID=P20141208102</v>
      </c>
      <c r="K4288" s="13" t="str">
        <f>HYPERLINK("https://ntsu.idm.oclc.org/login?url=https://www.airitibooks.com/Detail/Detail?PublicationID=P20141208102", "https://ntsu.idm.oclc.org/login?url=https://www.airitibooks.com/Detail/Detail?PublicationID=P20141208102")</f>
        <v>https://ntsu.idm.oclc.org/login?url=https://www.airitibooks.com/Detail/Detail?PublicationID=P20141208102</v>
      </c>
    </row>
    <row r="4289" spans="1:11" ht="51" x14ac:dyDescent="0.4">
      <c r="A4289" s="10" t="s">
        <v>1806</v>
      </c>
      <c r="B4289" s="10" t="s">
        <v>1807</v>
      </c>
      <c r="C4289" s="10" t="s">
        <v>568</v>
      </c>
      <c r="D4289" s="10" t="s">
        <v>1808</v>
      </c>
      <c r="E4289" s="10" t="s">
        <v>70</v>
      </c>
      <c r="F4289" s="10" t="s">
        <v>1440</v>
      </c>
      <c r="G4289" s="10" t="s">
        <v>87</v>
      </c>
      <c r="H4289" s="7" t="s">
        <v>24</v>
      </c>
      <c r="I4289" s="7" t="s">
        <v>25</v>
      </c>
      <c r="J4289" s="13" t="str">
        <f>HYPERLINK("https://www.airitibooks.com/Detail/Detail?PublicationID=P201501152158", "https://www.airitibooks.com/Detail/Detail?PublicationID=P201501152158")</f>
        <v>https://www.airitibooks.com/Detail/Detail?PublicationID=P201501152158</v>
      </c>
      <c r="K4289" s="13" t="str">
        <f>HYPERLINK("https://ntsu.idm.oclc.org/login?url=https://www.airitibooks.com/Detail/Detail?PublicationID=P201501152158", "https://ntsu.idm.oclc.org/login?url=https://www.airitibooks.com/Detail/Detail?PublicationID=P201501152158")</f>
        <v>https://ntsu.idm.oclc.org/login?url=https://www.airitibooks.com/Detail/Detail?PublicationID=P201501152158</v>
      </c>
    </row>
    <row r="4290" spans="1:11" ht="51" x14ac:dyDescent="0.4">
      <c r="A4290" s="10" t="s">
        <v>1819</v>
      </c>
      <c r="B4290" s="10" t="s">
        <v>1820</v>
      </c>
      <c r="C4290" s="10" t="s">
        <v>297</v>
      </c>
      <c r="D4290" s="10" t="s">
        <v>1821</v>
      </c>
      <c r="E4290" s="10" t="s">
        <v>70</v>
      </c>
      <c r="F4290" s="10" t="s">
        <v>399</v>
      </c>
      <c r="G4290" s="10" t="s">
        <v>87</v>
      </c>
      <c r="H4290" s="7" t="s">
        <v>24</v>
      </c>
      <c r="I4290" s="7" t="s">
        <v>25</v>
      </c>
      <c r="J4290" s="13" t="str">
        <f>HYPERLINK("https://www.airitibooks.com/Detail/Detail?PublicationID=P201501152166", "https://www.airitibooks.com/Detail/Detail?PublicationID=P201501152166")</f>
        <v>https://www.airitibooks.com/Detail/Detail?PublicationID=P201501152166</v>
      </c>
      <c r="K4290" s="13" t="str">
        <f>HYPERLINK("https://ntsu.idm.oclc.org/login?url=https://www.airitibooks.com/Detail/Detail?PublicationID=P201501152166", "https://ntsu.idm.oclc.org/login?url=https://www.airitibooks.com/Detail/Detail?PublicationID=P201501152166")</f>
        <v>https://ntsu.idm.oclc.org/login?url=https://www.airitibooks.com/Detail/Detail?PublicationID=P201501152166</v>
      </c>
    </row>
    <row r="4291" spans="1:11" ht="51" x14ac:dyDescent="0.4">
      <c r="A4291" s="10" t="s">
        <v>1830</v>
      </c>
      <c r="B4291" s="10" t="s">
        <v>1831</v>
      </c>
      <c r="C4291" s="10" t="s">
        <v>428</v>
      </c>
      <c r="D4291" s="10" t="s">
        <v>1832</v>
      </c>
      <c r="E4291" s="10" t="s">
        <v>70</v>
      </c>
      <c r="F4291" s="10" t="s">
        <v>1833</v>
      </c>
      <c r="G4291" s="10" t="s">
        <v>87</v>
      </c>
      <c r="H4291" s="7" t="s">
        <v>24</v>
      </c>
      <c r="I4291" s="7" t="s">
        <v>25</v>
      </c>
      <c r="J4291" s="13" t="str">
        <f>HYPERLINK("https://www.airitibooks.com/Detail/Detail?PublicationID=P201501152186", "https://www.airitibooks.com/Detail/Detail?PublicationID=P201501152186")</f>
        <v>https://www.airitibooks.com/Detail/Detail?PublicationID=P201501152186</v>
      </c>
      <c r="K4291" s="13" t="str">
        <f>HYPERLINK("https://ntsu.idm.oclc.org/login?url=https://www.airitibooks.com/Detail/Detail?PublicationID=P201501152186", "https://ntsu.idm.oclc.org/login?url=https://www.airitibooks.com/Detail/Detail?PublicationID=P201501152186")</f>
        <v>https://ntsu.idm.oclc.org/login?url=https://www.airitibooks.com/Detail/Detail?PublicationID=P201501152186</v>
      </c>
    </row>
    <row r="4292" spans="1:11" ht="51" x14ac:dyDescent="0.4">
      <c r="A4292" s="10" t="s">
        <v>1889</v>
      </c>
      <c r="B4292" s="10" t="s">
        <v>1890</v>
      </c>
      <c r="C4292" s="10" t="s">
        <v>544</v>
      </c>
      <c r="D4292" s="10" t="s">
        <v>1891</v>
      </c>
      <c r="E4292" s="10" t="s">
        <v>70</v>
      </c>
      <c r="F4292" s="10" t="s">
        <v>1892</v>
      </c>
      <c r="G4292" s="10" t="s">
        <v>87</v>
      </c>
      <c r="H4292" s="7" t="s">
        <v>24</v>
      </c>
      <c r="I4292" s="7" t="s">
        <v>25</v>
      </c>
      <c r="J4292" s="13" t="str">
        <f>HYPERLINK("https://www.airitibooks.com/Detail/Detail?PublicationID=P20150122097", "https://www.airitibooks.com/Detail/Detail?PublicationID=P20150122097")</f>
        <v>https://www.airitibooks.com/Detail/Detail?PublicationID=P20150122097</v>
      </c>
      <c r="K4292" s="13" t="str">
        <f>HYPERLINK("https://ntsu.idm.oclc.org/login?url=https://www.airitibooks.com/Detail/Detail?PublicationID=P20150122097", "https://ntsu.idm.oclc.org/login?url=https://www.airitibooks.com/Detail/Detail?PublicationID=P20150122097")</f>
        <v>https://ntsu.idm.oclc.org/login?url=https://www.airitibooks.com/Detail/Detail?PublicationID=P20150122097</v>
      </c>
    </row>
    <row r="4293" spans="1:11" ht="51" x14ac:dyDescent="0.4">
      <c r="A4293" s="10" t="s">
        <v>1893</v>
      </c>
      <c r="B4293" s="10" t="s">
        <v>1894</v>
      </c>
      <c r="C4293" s="10" t="s">
        <v>371</v>
      </c>
      <c r="D4293" s="10" t="s">
        <v>372</v>
      </c>
      <c r="E4293" s="10" t="s">
        <v>70</v>
      </c>
      <c r="F4293" s="10" t="s">
        <v>1895</v>
      </c>
      <c r="G4293" s="10" t="s">
        <v>87</v>
      </c>
      <c r="H4293" s="7" t="s">
        <v>24</v>
      </c>
      <c r="I4293" s="7" t="s">
        <v>25</v>
      </c>
      <c r="J4293" s="13" t="str">
        <f>HYPERLINK("https://www.airitibooks.com/Detail/Detail?PublicationID=P20150122104", "https://www.airitibooks.com/Detail/Detail?PublicationID=P20150122104")</f>
        <v>https://www.airitibooks.com/Detail/Detail?PublicationID=P20150122104</v>
      </c>
      <c r="K4293" s="13" t="str">
        <f>HYPERLINK("https://ntsu.idm.oclc.org/login?url=https://www.airitibooks.com/Detail/Detail?PublicationID=P20150122104", "https://ntsu.idm.oclc.org/login?url=https://www.airitibooks.com/Detail/Detail?PublicationID=P20150122104")</f>
        <v>https://ntsu.idm.oclc.org/login?url=https://www.airitibooks.com/Detail/Detail?PublicationID=P20150122104</v>
      </c>
    </row>
    <row r="4294" spans="1:11" ht="51" x14ac:dyDescent="0.4">
      <c r="A4294" s="10" t="s">
        <v>1896</v>
      </c>
      <c r="B4294" s="10" t="s">
        <v>1897</v>
      </c>
      <c r="C4294" s="10" t="s">
        <v>371</v>
      </c>
      <c r="D4294" s="10" t="s">
        <v>372</v>
      </c>
      <c r="E4294" s="10" t="s">
        <v>70</v>
      </c>
      <c r="F4294" s="10" t="s">
        <v>1895</v>
      </c>
      <c r="G4294" s="10" t="s">
        <v>87</v>
      </c>
      <c r="H4294" s="7" t="s">
        <v>24</v>
      </c>
      <c r="I4294" s="7" t="s">
        <v>25</v>
      </c>
      <c r="J4294" s="13" t="str">
        <f>HYPERLINK("https://www.airitibooks.com/Detail/Detail?PublicationID=P20150122105", "https://www.airitibooks.com/Detail/Detail?PublicationID=P20150122105")</f>
        <v>https://www.airitibooks.com/Detail/Detail?PublicationID=P20150122105</v>
      </c>
      <c r="K4294" s="13" t="str">
        <f>HYPERLINK("https://ntsu.idm.oclc.org/login?url=https://www.airitibooks.com/Detail/Detail?PublicationID=P20150122105", "https://ntsu.idm.oclc.org/login?url=https://www.airitibooks.com/Detail/Detail?PublicationID=P20150122105")</f>
        <v>https://ntsu.idm.oclc.org/login?url=https://www.airitibooks.com/Detail/Detail?PublicationID=P20150122105</v>
      </c>
    </row>
    <row r="4295" spans="1:11" ht="51" x14ac:dyDescent="0.4">
      <c r="A4295" s="10" t="s">
        <v>1898</v>
      </c>
      <c r="B4295" s="10" t="s">
        <v>1899</v>
      </c>
      <c r="C4295" s="10" t="s">
        <v>371</v>
      </c>
      <c r="D4295" s="10" t="s">
        <v>372</v>
      </c>
      <c r="E4295" s="10" t="s">
        <v>70</v>
      </c>
      <c r="F4295" s="10" t="s">
        <v>1895</v>
      </c>
      <c r="G4295" s="10" t="s">
        <v>87</v>
      </c>
      <c r="H4295" s="7" t="s">
        <v>24</v>
      </c>
      <c r="I4295" s="7" t="s">
        <v>25</v>
      </c>
      <c r="J4295" s="13" t="str">
        <f>HYPERLINK("https://www.airitibooks.com/Detail/Detail?PublicationID=P20150122106", "https://www.airitibooks.com/Detail/Detail?PublicationID=P20150122106")</f>
        <v>https://www.airitibooks.com/Detail/Detail?PublicationID=P20150122106</v>
      </c>
      <c r="K4295" s="13" t="str">
        <f>HYPERLINK("https://ntsu.idm.oclc.org/login?url=https://www.airitibooks.com/Detail/Detail?PublicationID=P20150122106", "https://ntsu.idm.oclc.org/login?url=https://www.airitibooks.com/Detail/Detail?PublicationID=P20150122106")</f>
        <v>https://ntsu.idm.oclc.org/login?url=https://www.airitibooks.com/Detail/Detail?PublicationID=P20150122106</v>
      </c>
    </row>
    <row r="4296" spans="1:11" ht="85" x14ac:dyDescent="0.4">
      <c r="A4296" s="10" t="s">
        <v>1948</v>
      </c>
      <c r="B4296" s="10" t="s">
        <v>1949</v>
      </c>
      <c r="C4296" s="10" t="s">
        <v>141</v>
      </c>
      <c r="D4296" s="10" t="s">
        <v>1950</v>
      </c>
      <c r="E4296" s="10" t="s">
        <v>70</v>
      </c>
      <c r="F4296" s="10" t="s">
        <v>144</v>
      </c>
      <c r="G4296" s="10" t="s">
        <v>87</v>
      </c>
      <c r="H4296" s="7" t="s">
        <v>24</v>
      </c>
      <c r="I4296" s="7" t="s">
        <v>25</v>
      </c>
      <c r="J4296" s="13" t="str">
        <f>HYPERLINK("https://www.airitibooks.com/Detail/Detail?PublicationID=P20150205104", "https://www.airitibooks.com/Detail/Detail?PublicationID=P20150205104")</f>
        <v>https://www.airitibooks.com/Detail/Detail?PublicationID=P20150205104</v>
      </c>
      <c r="K4296" s="13" t="str">
        <f>HYPERLINK("https://ntsu.idm.oclc.org/login?url=https://www.airitibooks.com/Detail/Detail?PublicationID=P20150205104", "https://ntsu.idm.oclc.org/login?url=https://www.airitibooks.com/Detail/Detail?PublicationID=P20150205104")</f>
        <v>https://ntsu.idm.oclc.org/login?url=https://www.airitibooks.com/Detail/Detail?PublicationID=P20150205104</v>
      </c>
    </row>
    <row r="4297" spans="1:11" ht="51" x14ac:dyDescent="0.4">
      <c r="A4297" s="10" t="s">
        <v>2122</v>
      </c>
      <c r="B4297" s="10" t="s">
        <v>2123</v>
      </c>
      <c r="C4297" s="10" t="s">
        <v>135</v>
      </c>
      <c r="D4297" s="10" t="s">
        <v>2124</v>
      </c>
      <c r="E4297" s="10" t="s">
        <v>70</v>
      </c>
      <c r="F4297" s="10" t="s">
        <v>475</v>
      </c>
      <c r="G4297" s="10" t="s">
        <v>87</v>
      </c>
      <c r="H4297" s="7" t="s">
        <v>24</v>
      </c>
      <c r="I4297" s="7" t="s">
        <v>25</v>
      </c>
      <c r="J4297" s="13" t="str">
        <f>HYPERLINK("https://www.airitibooks.com/Detail/Detail?PublicationID=P20150310006", "https://www.airitibooks.com/Detail/Detail?PublicationID=P20150310006")</f>
        <v>https://www.airitibooks.com/Detail/Detail?PublicationID=P20150310006</v>
      </c>
      <c r="K4297" s="13" t="str">
        <f>HYPERLINK("https://ntsu.idm.oclc.org/login?url=https://www.airitibooks.com/Detail/Detail?PublicationID=P20150310006", "https://ntsu.idm.oclc.org/login?url=https://www.airitibooks.com/Detail/Detail?PublicationID=P20150310006")</f>
        <v>https://ntsu.idm.oclc.org/login?url=https://www.airitibooks.com/Detail/Detail?PublicationID=P20150310006</v>
      </c>
    </row>
    <row r="4298" spans="1:11" ht="51" x14ac:dyDescent="0.4">
      <c r="A4298" s="10" t="s">
        <v>2125</v>
      </c>
      <c r="B4298" s="10" t="s">
        <v>2126</v>
      </c>
      <c r="C4298" s="10" t="s">
        <v>135</v>
      </c>
      <c r="D4298" s="10" t="s">
        <v>136</v>
      </c>
      <c r="E4298" s="10" t="s">
        <v>70</v>
      </c>
      <c r="F4298" s="10" t="s">
        <v>138</v>
      </c>
      <c r="G4298" s="10" t="s">
        <v>87</v>
      </c>
      <c r="H4298" s="7" t="s">
        <v>24</v>
      </c>
      <c r="I4298" s="7" t="s">
        <v>25</v>
      </c>
      <c r="J4298" s="13" t="str">
        <f>HYPERLINK("https://www.airitibooks.com/Detail/Detail?PublicationID=P20150310008", "https://www.airitibooks.com/Detail/Detail?PublicationID=P20150310008")</f>
        <v>https://www.airitibooks.com/Detail/Detail?PublicationID=P20150310008</v>
      </c>
      <c r="K4298" s="13" t="str">
        <f>HYPERLINK("https://ntsu.idm.oclc.org/login?url=https://www.airitibooks.com/Detail/Detail?PublicationID=P20150310008", "https://ntsu.idm.oclc.org/login?url=https://www.airitibooks.com/Detail/Detail?PublicationID=P20150310008")</f>
        <v>https://ntsu.idm.oclc.org/login?url=https://www.airitibooks.com/Detail/Detail?PublicationID=P20150310008</v>
      </c>
    </row>
    <row r="4299" spans="1:11" ht="51" x14ac:dyDescent="0.4">
      <c r="A4299" s="10" t="s">
        <v>2127</v>
      </c>
      <c r="B4299" s="10" t="s">
        <v>2128</v>
      </c>
      <c r="C4299" s="10" t="s">
        <v>135</v>
      </c>
      <c r="D4299" s="10" t="s">
        <v>2129</v>
      </c>
      <c r="E4299" s="10" t="s">
        <v>70</v>
      </c>
      <c r="F4299" s="10" t="s">
        <v>144</v>
      </c>
      <c r="G4299" s="10" t="s">
        <v>87</v>
      </c>
      <c r="H4299" s="7" t="s">
        <v>24</v>
      </c>
      <c r="I4299" s="7" t="s">
        <v>25</v>
      </c>
      <c r="J4299" s="13" t="str">
        <f>HYPERLINK("https://www.airitibooks.com/Detail/Detail?PublicationID=P20150310010", "https://www.airitibooks.com/Detail/Detail?PublicationID=P20150310010")</f>
        <v>https://www.airitibooks.com/Detail/Detail?PublicationID=P20150310010</v>
      </c>
      <c r="K4299" s="13" t="str">
        <f>HYPERLINK("https://ntsu.idm.oclc.org/login?url=https://www.airitibooks.com/Detail/Detail?PublicationID=P20150310010", "https://ntsu.idm.oclc.org/login?url=https://www.airitibooks.com/Detail/Detail?PublicationID=P20150310010")</f>
        <v>https://ntsu.idm.oclc.org/login?url=https://www.airitibooks.com/Detail/Detail?PublicationID=P20150310010</v>
      </c>
    </row>
    <row r="4300" spans="1:11" ht="51" x14ac:dyDescent="0.4">
      <c r="A4300" s="10" t="s">
        <v>2130</v>
      </c>
      <c r="B4300" s="10" t="s">
        <v>2131</v>
      </c>
      <c r="C4300" s="10" t="s">
        <v>135</v>
      </c>
      <c r="D4300" s="10" t="s">
        <v>2120</v>
      </c>
      <c r="E4300" s="10" t="s">
        <v>70</v>
      </c>
      <c r="F4300" s="10" t="s">
        <v>399</v>
      </c>
      <c r="G4300" s="10" t="s">
        <v>87</v>
      </c>
      <c r="H4300" s="7" t="s">
        <v>24</v>
      </c>
      <c r="I4300" s="7" t="s">
        <v>25</v>
      </c>
      <c r="J4300" s="13" t="str">
        <f>HYPERLINK("https://www.airitibooks.com/Detail/Detail?PublicationID=P20150310011", "https://www.airitibooks.com/Detail/Detail?PublicationID=P20150310011")</f>
        <v>https://www.airitibooks.com/Detail/Detail?PublicationID=P20150310011</v>
      </c>
      <c r="K4300" s="13" t="str">
        <f>HYPERLINK("https://ntsu.idm.oclc.org/login?url=https://www.airitibooks.com/Detail/Detail?PublicationID=P20150310011", "https://ntsu.idm.oclc.org/login?url=https://www.airitibooks.com/Detail/Detail?PublicationID=P20150310011")</f>
        <v>https://ntsu.idm.oclc.org/login?url=https://www.airitibooks.com/Detail/Detail?PublicationID=P20150310011</v>
      </c>
    </row>
    <row r="4301" spans="1:11" ht="51" x14ac:dyDescent="0.4">
      <c r="A4301" s="10" t="s">
        <v>2518</v>
      </c>
      <c r="B4301" s="10" t="s">
        <v>2519</v>
      </c>
      <c r="C4301" s="10" t="s">
        <v>2515</v>
      </c>
      <c r="D4301" s="10" t="s">
        <v>2520</v>
      </c>
      <c r="E4301" s="10" t="s">
        <v>70</v>
      </c>
      <c r="F4301" s="10" t="s">
        <v>2521</v>
      </c>
      <c r="G4301" s="10" t="s">
        <v>87</v>
      </c>
      <c r="H4301" s="7" t="s">
        <v>24</v>
      </c>
      <c r="I4301" s="7" t="s">
        <v>25</v>
      </c>
      <c r="J4301" s="13" t="str">
        <f>HYPERLINK("https://www.airitibooks.com/Detail/Detail?PublicationID=P20150508372", "https://www.airitibooks.com/Detail/Detail?PublicationID=P20150508372")</f>
        <v>https://www.airitibooks.com/Detail/Detail?PublicationID=P20150508372</v>
      </c>
      <c r="K4301" s="13" t="str">
        <f>HYPERLINK("https://ntsu.idm.oclc.org/login?url=https://www.airitibooks.com/Detail/Detail?PublicationID=P20150508372", "https://ntsu.idm.oclc.org/login?url=https://www.airitibooks.com/Detail/Detail?PublicationID=P20150508372")</f>
        <v>https://ntsu.idm.oclc.org/login?url=https://www.airitibooks.com/Detail/Detail?PublicationID=P20150508372</v>
      </c>
    </row>
    <row r="4302" spans="1:11" ht="68" x14ac:dyDescent="0.4">
      <c r="A4302" s="10" t="s">
        <v>2614</v>
      </c>
      <c r="B4302" s="10" t="s">
        <v>2615</v>
      </c>
      <c r="C4302" s="10" t="s">
        <v>2616</v>
      </c>
      <c r="D4302" s="10" t="s">
        <v>2617</v>
      </c>
      <c r="E4302" s="10" t="s">
        <v>70</v>
      </c>
      <c r="F4302" s="10" t="s">
        <v>144</v>
      </c>
      <c r="G4302" s="10" t="s">
        <v>87</v>
      </c>
      <c r="H4302" s="7" t="s">
        <v>24</v>
      </c>
      <c r="I4302" s="7" t="s">
        <v>25</v>
      </c>
      <c r="J4302" s="13" t="str">
        <f>HYPERLINK("https://www.airitibooks.com/Detail/Detail?PublicationID=P20150528072", "https://www.airitibooks.com/Detail/Detail?PublicationID=P20150528072")</f>
        <v>https://www.airitibooks.com/Detail/Detail?PublicationID=P20150528072</v>
      </c>
      <c r="K4302" s="13" t="str">
        <f>HYPERLINK("https://ntsu.idm.oclc.org/login?url=https://www.airitibooks.com/Detail/Detail?PublicationID=P20150528072", "https://ntsu.idm.oclc.org/login?url=https://www.airitibooks.com/Detail/Detail?PublicationID=P20150528072")</f>
        <v>https://ntsu.idm.oclc.org/login?url=https://www.airitibooks.com/Detail/Detail?PublicationID=P20150528072</v>
      </c>
    </row>
    <row r="4303" spans="1:11" ht="51" x14ac:dyDescent="0.4">
      <c r="A4303" s="10" t="s">
        <v>2618</v>
      </c>
      <c r="B4303" s="10" t="s">
        <v>2619</v>
      </c>
      <c r="C4303" s="10" t="s">
        <v>2616</v>
      </c>
      <c r="D4303" s="10" t="s">
        <v>2620</v>
      </c>
      <c r="E4303" s="10" t="s">
        <v>70</v>
      </c>
      <c r="F4303" s="10" t="s">
        <v>144</v>
      </c>
      <c r="G4303" s="10" t="s">
        <v>87</v>
      </c>
      <c r="H4303" s="7" t="s">
        <v>24</v>
      </c>
      <c r="I4303" s="7" t="s">
        <v>25</v>
      </c>
      <c r="J4303" s="13" t="str">
        <f>HYPERLINK("https://www.airitibooks.com/Detail/Detail?PublicationID=P20150528074", "https://www.airitibooks.com/Detail/Detail?PublicationID=P20150528074")</f>
        <v>https://www.airitibooks.com/Detail/Detail?PublicationID=P20150528074</v>
      </c>
      <c r="K4303" s="13" t="str">
        <f>HYPERLINK("https://ntsu.idm.oclc.org/login?url=https://www.airitibooks.com/Detail/Detail?PublicationID=P20150528074", "https://ntsu.idm.oclc.org/login?url=https://www.airitibooks.com/Detail/Detail?PublicationID=P20150528074")</f>
        <v>https://ntsu.idm.oclc.org/login?url=https://www.airitibooks.com/Detail/Detail?PublicationID=P20150528074</v>
      </c>
    </row>
    <row r="4304" spans="1:11" ht="51" x14ac:dyDescent="0.4">
      <c r="A4304" s="10" t="s">
        <v>2685</v>
      </c>
      <c r="B4304" s="10" t="s">
        <v>2686</v>
      </c>
      <c r="C4304" s="10" t="s">
        <v>297</v>
      </c>
      <c r="D4304" s="10" t="s">
        <v>2687</v>
      </c>
      <c r="E4304" s="10" t="s">
        <v>70</v>
      </c>
      <c r="F4304" s="10" t="s">
        <v>144</v>
      </c>
      <c r="G4304" s="10" t="s">
        <v>87</v>
      </c>
      <c r="H4304" s="7" t="s">
        <v>24</v>
      </c>
      <c r="I4304" s="7" t="s">
        <v>25</v>
      </c>
      <c r="J4304" s="13" t="str">
        <f>HYPERLINK("https://www.airitibooks.com/Detail/Detail?PublicationID=P20150624006", "https://www.airitibooks.com/Detail/Detail?PublicationID=P20150624006")</f>
        <v>https://www.airitibooks.com/Detail/Detail?PublicationID=P20150624006</v>
      </c>
      <c r="K4304" s="13" t="str">
        <f>HYPERLINK("https://ntsu.idm.oclc.org/login?url=https://www.airitibooks.com/Detail/Detail?PublicationID=P20150624006", "https://ntsu.idm.oclc.org/login?url=https://www.airitibooks.com/Detail/Detail?PublicationID=P20150624006")</f>
        <v>https://ntsu.idm.oclc.org/login?url=https://www.airitibooks.com/Detail/Detail?PublicationID=P20150624006</v>
      </c>
    </row>
    <row r="4305" spans="1:11" ht="51" x14ac:dyDescent="0.4">
      <c r="A4305" s="10" t="s">
        <v>2692</v>
      </c>
      <c r="B4305" s="10" t="s">
        <v>2693</v>
      </c>
      <c r="C4305" s="10" t="s">
        <v>1203</v>
      </c>
      <c r="D4305" s="10" t="s">
        <v>2694</v>
      </c>
      <c r="E4305" s="10" t="s">
        <v>70</v>
      </c>
      <c r="F4305" s="10" t="s">
        <v>284</v>
      </c>
      <c r="G4305" s="10" t="s">
        <v>87</v>
      </c>
      <c r="H4305" s="7" t="s">
        <v>24</v>
      </c>
      <c r="I4305" s="7" t="s">
        <v>25</v>
      </c>
      <c r="J4305" s="13" t="str">
        <f>HYPERLINK("https://www.airitibooks.com/Detail/Detail?PublicationID=P20150624009", "https://www.airitibooks.com/Detail/Detail?PublicationID=P20150624009")</f>
        <v>https://www.airitibooks.com/Detail/Detail?PublicationID=P20150624009</v>
      </c>
      <c r="K4305" s="13" t="str">
        <f>HYPERLINK("https://ntsu.idm.oclc.org/login?url=https://www.airitibooks.com/Detail/Detail?PublicationID=P20150624009", "https://ntsu.idm.oclc.org/login?url=https://www.airitibooks.com/Detail/Detail?PublicationID=P20150624009")</f>
        <v>https://ntsu.idm.oclc.org/login?url=https://www.airitibooks.com/Detail/Detail?PublicationID=P20150624009</v>
      </c>
    </row>
    <row r="4306" spans="1:11" ht="51" x14ac:dyDescent="0.4">
      <c r="A4306" s="10" t="s">
        <v>2718</v>
      </c>
      <c r="B4306" s="10" t="s">
        <v>2719</v>
      </c>
      <c r="C4306" s="10" t="s">
        <v>499</v>
      </c>
      <c r="D4306" s="10" t="s">
        <v>2720</v>
      </c>
      <c r="E4306" s="10" t="s">
        <v>70</v>
      </c>
      <c r="F4306" s="10" t="s">
        <v>2721</v>
      </c>
      <c r="G4306" s="10" t="s">
        <v>87</v>
      </c>
      <c r="H4306" s="7" t="s">
        <v>24</v>
      </c>
      <c r="I4306" s="7" t="s">
        <v>25</v>
      </c>
      <c r="J4306" s="13" t="str">
        <f>HYPERLINK("https://www.airitibooks.com/Detail/Detail?PublicationID=P20150624023", "https://www.airitibooks.com/Detail/Detail?PublicationID=P20150624023")</f>
        <v>https://www.airitibooks.com/Detail/Detail?PublicationID=P20150624023</v>
      </c>
      <c r="K4306" s="13" t="str">
        <f>HYPERLINK("https://ntsu.idm.oclc.org/login?url=https://www.airitibooks.com/Detail/Detail?PublicationID=P20150624023", "https://ntsu.idm.oclc.org/login?url=https://www.airitibooks.com/Detail/Detail?PublicationID=P20150624023")</f>
        <v>https://ntsu.idm.oclc.org/login?url=https://www.airitibooks.com/Detail/Detail?PublicationID=P20150624023</v>
      </c>
    </row>
    <row r="4307" spans="1:11" ht="51" x14ac:dyDescent="0.4">
      <c r="A4307" s="10" t="s">
        <v>2770</v>
      </c>
      <c r="B4307" s="10" t="s">
        <v>2771</v>
      </c>
      <c r="C4307" s="10" t="s">
        <v>130</v>
      </c>
      <c r="D4307" s="10" t="s">
        <v>2772</v>
      </c>
      <c r="E4307" s="10" t="s">
        <v>70</v>
      </c>
      <c r="F4307" s="10" t="s">
        <v>138</v>
      </c>
      <c r="G4307" s="10" t="s">
        <v>87</v>
      </c>
      <c r="H4307" s="7" t="s">
        <v>24</v>
      </c>
      <c r="I4307" s="7" t="s">
        <v>25</v>
      </c>
      <c r="J4307" s="13" t="str">
        <f>HYPERLINK("https://www.airitibooks.com/Detail/Detail?PublicationID=P20150624252", "https://www.airitibooks.com/Detail/Detail?PublicationID=P20150624252")</f>
        <v>https://www.airitibooks.com/Detail/Detail?PublicationID=P20150624252</v>
      </c>
      <c r="K4307" s="13" t="str">
        <f>HYPERLINK("https://ntsu.idm.oclc.org/login?url=https://www.airitibooks.com/Detail/Detail?PublicationID=P20150624252", "https://ntsu.idm.oclc.org/login?url=https://www.airitibooks.com/Detail/Detail?PublicationID=P20150624252")</f>
        <v>https://ntsu.idm.oclc.org/login?url=https://www.airitibooks.com/Detail/Detail?PublicationID=P20150624252</v>
      </c>
    </row>
    <row r="4308" spans="1:11" ht="51" x14ac:dyDescent="0.4">
      <c r="A4308" s="10" t="s">
        <v>2773</v>
      </c>
      <c r="B4308" s="10" t="s">
        <v>2774</v>
      </c>
      <c r="C4308" s="10" t="s">
        <v>130</v>
      </c>
      <c r="D4308" s="10" t="s">
        <v>2775</v>
      </c>
      <c r="E4308" s="10" t="s">
        <v>70</v>
      </c>
      <c r="F4308" s="10" t="s">
        <v>381</v>
      </c>
      <c r="G4308" s="10" t="s">
        <v>87</v>
      </c>
      <c r="H4308" s="7" t="s">
        <v>24</v>
      </c>
      <c r="I4308" s="7" t="s">
        <v>25</v>
      </c>
      <c r="J4308" s="13" t="str">
        <f>HYPERLINK("https://www.airitibooks.com/Detail/Detail?PublicationID=P20150624255", "https://www.airitibooks.com/Detail/Detail?PublicationID=P20150624255")</f>
        <v>https://www.airitibooks.com/Detail/Detail?PublicationID=P20150624255</v>
      </c>
      <c r="K4308" s="13" t="str">
        <f>HYPERLINK("https://ntsu.idm.oclc.org/login?url=https://www.airitibooks.com/Detail/Detail?PublicationID=P20150624255", "https://ntsu.idm.oclc.org/login?url=https://www.airitibooks.com/Detail/Detail?PublicationID=P20150624255")</f>
        <v>https://ntsu.idm.oclc.org/login?url=https://www.airitibooks.com/Detail/Detail?PublicationID=P20150624255</v>
      </c>
    </row>
    <row r="4309" spans="1:11" ht="51" x14ac:dyDescent="0.4">
      <c r="A4309" s="10" t="s">
        <v>2779</v>
      </c>
      <c r="B4309" s="10" t="s">
        <v>2780</v>
      </c>
      <c r="C4309" s="10" t="s">
        <v>130</v>
      </c>
      <c r="D4309" s="10" t="s">
        <v>2781</v>
      </c>
      <c r="E4309" s="10" t="s">
        <v>70</v>
      </c>
      <c r="F4309" s="10" t="s">
        <v>144</v>
      </c>
      <c r="G4309" s="10" t="s">
        <v>87</v>
      </c>
      <c r="H4309" s="7" t="s">
        <v>24</v>
      </c>
      <c r="I4309" s="7" t="s">
        <v>25</v>
      </c>
      <c r="J4309" s="13" t="str">
        <f>HYPERLINK("https://www.airitibooks.com/Detail/Detail?PublicationID=P20150624257", "https://www.airitibooks.com/Detail/Detail?PublicationID=P20150624257")</f>
        <v>https://www.airitibooks.com/Detail/Detail?PublicationID=P20150624257</v>
      </c>
      <c r="K4309" s="13" t="str">
        <f>HYPERLINK("https://ntsu.idm.oclc.org/login?url=https://www.airitibooks.com/Detail/Detail?PublicationID=P20150624257", "https://ntsu.idm.oclc.org/login?url=https://www.airitibooks.com/Detail/Detail?PublicationID=P20150624257")</f>
        <v>https://ntsu.idm.oclc.org/login?url=https://www.airitibooks.com/Detail/Detail?PublicationID=P20150624257</v>
      </c>
    </row>
    <row r="4310" spans="1:11" ht="51" x14ac:dyDescent="0.4">
      <c r="A4310" s="10" t="s">
        <v>2979</v>
      </c>
      <c r="B4310" s="10" t="s">
        <v>2980</v>
      </c>
      <c r="C4310" s="10" t="s">
        <v>1203</v>
      </c>
      <c r="D4310" s="10" t="s">
        <v>2981</v>
      </c>
      <c r="E4310" s="10" t="s">
        <v>70</v>
      </c>
      <c r="F4310" s="10" t="s">
        <v>2982</v>
      </c>
      <c r="G4310" s="10" t="s">
        <v>87</v>
      </c>
      <c r="H4310" s="7" t="s">
        <v>24</v>
      </c>
      <c r="I4310" s="7" t="s">
        <v>25</v>
      </c>
      <c r="J4310" s="13" t="str">
        <f>HYPERLINK("https://www.airitibooks.com/Detail/Detail?PublicationID=P20150807032", "https://www.airitibooks.com/Detail/Detail?PublicationID=P20150807032")</f>
        <v>https://www.airitibooks.com/Detail/Detail?PublicationID=P20150807032</v>
      </c>
      <c r="K4310" s="13" t="str">
        <f>HYPERLINK("https://ntsu.idm.oclc.org/login?url=https://www.airitibooks.com/Detail/Detail?PublicationID=P20150807032", "https://ntsu.idm.oclc.org/login?url=https://www.airitibooks.com/Detail/Detail?PublicationID=P20150807032")</f>
        <v>https://ntsu.idm.oclc.org/login?url=https://www.airitibooks.com/Detail/Detail?PublicationID=P20150807032</v>
      </c>
    </row>
    <row r="4311" spans="1:11" ht="51" x14ac:dyDescent="0.4">
      <c r="A4311" s="10" t="s">
        <v>3080</v>
      </c>
      <c r="B4311" s="10" t="s">
        <v>3081</v>
      </c>
      <c r="C4311" s="10" t="s">
        <v>3034</v>
      </c>
      <c r="D4311" s="10" t="s">
        <v>3035</v>
      </c>
      <c r="E4311" s="10" t="s">
        <v>70</v>
      </c>
      <c r="F4311" s="10" t="s">
        <v>144</v>
      </c>
      <c r="G4311" s="10" t="s">
        <v>87</v>
      </c>
      <c r="H4311" s="7" t="s">
        <v>24</v>
      </c>
      <c r="I4311" s="7" t="s">
        <v>25</v>
      </c>
      <c r="J4311" s="13" t="str">
        <f>HYPERLINK("https://www.airitibooks.com/Detail/Detail?PublicationID=P20150820078", "https://www.airitibooks.com/Detail/Detail?PublicationID=P20150820078")</f>
        <v>https://www.airitibooks.com/Detail/Detail?PublicationID=P20150820078</v>
      </c>
      <c r="K4311" s="13" t="str">
        <f>HYPERLINK("https://ntsu.idm.oclc.org/login?url=https://www.airitibooks.com/Detail/Detail?PublicationID=P20150820078", "https://ntsu.idm.oclc.org/login?url=https://www.airitibooks.com/Detail/Detail?PublicationID=P20150820078")</f>
        <v>https://ntsu.idm.oclc.org/login?url=https://www.airitibooks.com/Detail/Detail?PublicationID=P20150820078</v>
      </c>
    </row>
    <row r="4312" spans="1:11" ht="51" x14ac:dyDescent="0.4">
      <c r="A4312" s="10" t="s">
        <v>3285</v>
      </c>
      <c r="B4312" s="10" t="s">
        <v>3286</v>
      </c>
      <c r="C4312" s="10" t="s">
        <v>3280</v>
      </c>
      <c r="D4312" s="10" t="s">
        <v>3281</v>
      </c>
      <c r="E4312" s="10" t="s">
        <v>70</v>
      </c>
      <c r="F4312" s="10" t="s">
        <v>1208</v>
      </c>
      <c r="G4312" s="10" t="s">
        <v>87</v>
      </c>
      <c r="H4312" s="7" t="s">
        <v>24</v>
      </c>
      <c r="I4312" s="7" t="s">
        <v>25</v>
      </c>
      <c r="J4312" s="13" t="str">
        <f>HYPERLINK("https://www.airitibooks.com/Detail/Detail?PublicationID=P20150821138", "https://www.airitibooks.com/Detail/Detail?PublicationID=P20150821138")</f>
        <v>https://www.airitibooks.com/Detail/Detail?PublicationID=P20150821138</v>
      </c>
      <c r="K4312" s="13" t="str">
        <f>HYPERLINK("https://ntsu.idm.oclc.org/login?url=https://www.airitibooks.com/Detail/Detail?PublicationID=P20150821138", "https://ntsu.idm.oclc.org/login?url=https://www.airitibooks.com/Detail/Detail?PublicationID=P20150821138")</f>
        <v>https://ntsu.idm.oclc.org/login?url=https://www.airitibooks.com/Detail/Detail?PublicationID=P20150821138</v>
      </c>
    </row>
    <row r="4313" spans="1:11" ht="68" x14ac:dyDescent="0.4">
      <c r="A4313" s="10" t="s">
        <v>3287</v>
      </c>
      <c r="B4313" s="10" t="s">
        <v>3288</v>
      </c>
      <c r="C4313" s="10" t="s">
        <v>3280</v>
      </c>
      <c r="D4313" s="10" t="s">
        <v>3281</v>
      </c>
      <c r="E4313" s="10" t="s">
        <v>70</v>
      </c>
      <c r="F4313" s="10" t="s">
        <v>1208</v>
      </c>
      <c r="G4313" s="10" t="s">
        <v>87</v>
      </c>
      <c r="H4313" s="7" t="s">
        <v>24</v>
      </c>
      <c r="I4313" s="7" t="s">
        <v>25</v>
      </c>
      <c r="J4313" s="13" t="str">
        <f>HYPERLINK("https://www.airitibooks.com/Detail/Detail?PublicationID=P20150821139", "https://www.airitibooks.com/Detail/Detail?PublicationID=P20150821139")</f>
        <v>https://www.airitibooks.com/Detail/Detail?PublicationID=P20150821139</v>
      </c>
      <c r="K4313" s="13" t="str">
        <f>HYPERLINK("https://ntsu.idm.oclc.org/login?url=https://www.airitibooks.com/Detail/Detail?PublicationID=P20150821139", "https://ntsu.idm.oclc.org/login?url=https://www.airitibooks.com/Detail/Detail?PublicationID=P20150821139")</f>
        <v>https://ntsu.idm.oclc.org/login?url=https://www.airitibooks.com/Detail/Detail?PublicationID=P20150821139</v>
      </c>
    </row>
    <row r="4314" spans="1:11" ht="51" x14ac:dyDescent="0.4">
      <c r="A4314" s="10" t="s">
        <v>3300</v>
      </c>
      <c r="B4314" s="10" t="s">
        <v>3301</v>
      </c>
      <c r="C4314" s="10" t="s">
        <v>499</v>
      </c>
      <c r="D4314" s="10" t="s">
        <v>3302</v>
      </c>
      <c r="E4314" s="10" t="s">
        <v>70</v>
      </c>
      <c r="F4314" s="10" t="s">
        <v>3303</v>
      </c>
      <c r="G4314" s="10" t="s">
        <v>87</v>
      </c>
      <c r="H4314" s="7" t="s">
        <v>24</v>
      </c>
      <c r="I4314" s="7" t="s">
        <v>25</v>
      </c>
      <c r="J4314" s="13" t="str">
        <f>HYPERLINK("https://www.airitibooks.com/Detail/Detail?PublicationID=P20150821144", "https://www.airitibooks.com/Detail/Detail?PublicationID=P20150821144")</f>
        <v>https://www.airitibooks.com/Detail/Detail?PublicationID=P20150821144</v>
      </c>
      <c r="K4314" s="13" t="str">
        <f>HYPERLINK("https://ntsu.idm.oclc.org/login?url=https://www.airitibooks.com/Detail/Detail?PublicationID=P20150821144", "https://ntsu.idm.oclc.org/login?url=https://www.airitibooks.com/Detail/Detail?PublicationID=P20150821144")</f>
        <v>https://ntsu.idm.oclc.org/login?url=https://www.airitibooks.com/Detail/Detail?PublicationID=P20150821144</v>
      </c>
    </row>
    <row r="4315" spans="1:11" ht="68" x14ac:dyDescent="0.4">
      <c r="A4315" s="10" t="s">
        <v>3417</v>
      </c>
      <c r="B4315" s="10" t="s">
        <v>3418</v>
      </c>
      <c r="C4315" s="10" t="s">
        <v>147</v>
      </c>
      <c r="D4315" s="10" t="s">
        <v>3414</v>
      </c>
      <c r="E4315" s="10" t="s">
        <v>70</v>
      </c>
      <c r="F4315" s="10" t="s">
        <v>2717</v>
      </c>
      <c r="G4315" s="10" t="s">
        <v>87</v>
      </c>
      <c r="H4315" s="7" t="s">
        <v>24</v>
      </c>
      <c r="I4315" s="7" t="s">
        <v>25</v>
      </c>
      <c r="J4315" s="13" t="str">
        <f>HYPERLINK("https://www.airitibooks.com/Detail/Detail?PublicationID=P20150915089", "https://www.airitibooks.com/Detail/Detail?PublicationID=P20150915089")</f>
        <v>https://www.airitibooks.com/Detail/Detail?PublicationID=P20150915089</v>
      </c>
      <c r="K4315" s="13" t="str">
        <f>HYPERLINK("https://ntsu.idm.oclc.org/login?url=https://www.airitibooks.com/Detail/Detail?PublicationID=P20150915089", "https://ntsu.idm.oclc.org/login?url=https://www.airitibooks.com/Detail/Detail?PublicationID=P20150915089")</f>
        <v>https://ntsu.idm.oclc.org/login?url=https://www.airitibooks.com/Detail/Detail?PublicationID=P20150915089</v>
      </c>
    </row>
    <row r="4316" spans="1:11" ht="51" x14ac:dyDescent="0.4">
      <c r="A4316" s="10" t="s">
        <v>3735</v>
      </c>
      <c r="B4316" s="10" t="s">
        <v>3736</v>
      </c>
      <c r="C4316" s="10" t="s">
        <v>3705</v>
      </c>
      <c r="D4316" s="10" t="s">
        <v>3737</v>
      </c>
      <c r="E4316" s="10" t="s">
        <v>70</v>
      </c>
      <c r="F4316" s="10" t="s">
        <v>1286</v>
      </c>
      <c r="G4316" s="10" t="s">
        <v>87</v>
      </c>
      <c r="H4316" s="7" t="s">
        <v>24</v>
      </c>
      <c r="I4316" s="7" t="s">
        <v>25</v>
      </c>
      <c r="J4316" s="13" t="str">
        <f>HYPERLINK("https://www.airitibooks.com/Detail/Detail?PublicationID=P20151020388", "https://www.airitibooks.com/Detail/Detail?PublicationID=P20151020388")</f>
        <v>https://www.airitibooks.com/Detail/Detail?PublicationID=P20151020388</v>
      </c>
      <c r="K4316" s="13" t="str">
        <f>HYPERLINK("https://ntsu.idm.oclc.org/login?url=https://www.airitibooks.com/Detail/Detail?PublicationID=P20151020388", "https://ntsu.idm.oclc.org/login?url=https://www.airitibooks.com/Detail/Detail?PublicationID=P20151020388")</f>
        <v>https://ntsu.idm.oclc.org/login?url=https://www.airitibooks.com/Detail/Detail?PublicationID=P20151020388</v>
      </c>
    </row>
    <row r="4317" spans="1:11" ht="51" x14ac:dyDescent="0.4">
      <c r="A4317" s="10" t="s">
        <v>4171</v>
      </c>
      <c r="B4317" s="10" t="s">
        <v>4172</v>
      </c>
      <c r="C4317" s="10" t="s">
        <v>130</v>
      </c>
      <c r="D4317" s="10" t="s">
        <v>4173</v>
      </c>
      <c r="E4317" s="10" t="s">
        <v>70</v>
      </c>
      <c r="F4317" s="10" t="s">
        <v>144</v>
      </c>
      <c r="G4317" s="10" t="s">
        <v>87</v>
      </c>
      <c r="H4317" s="7" t="s">
        <v>24</v>
      </c>
      <c r="I4317" s="7" t="s">
        <v>25</v>
      </c>
      <c r="J4317" s="13" t="str">
        <f>HYPERLINK("https://www.airitibooks.com/Detail/Detail?PublicationID=P20160224048", "https://www.airitibooks.com/Detail/Detail?PublicationID=P20160224048")</f>
        <v>https://www.airitibooks.com/Detail/Detail?PublicationID=P20160224048</v>
      </c>
      <c r="K4317" s="13" t="str">
        <f>HYPERLINK("https://ntsu.idm.oclc.org/login?url=https://www.airitibooks.com/Detail/Detail?PublicationID=P20160224048", "https://ntsu.idm.oclc.org/login?url=https://www.airitibooks.com/Detail/Detail?PublicationID=P20160224048")</f>
        <v>https://ntsu.idm.oclc.org/login?url=https://www.airitibooks.com/Detail/Detail?PublicationID=P20160224048</v>
      </c>
    </row>
    <row r="4318" spans="1:11" ht="51" x14ac:dyDescent="0.4">
      <c r="A4318" s="10" t="s">
        <v>4532</v>
      </c>
      <c r="B4318" s="10" t="s">
        <v>4533</v>
      </c>
      <c r="C4318" s="10" t="s">
        <v>212</v>
      </c>
      <c r="D4318" s="10" t="s">
        <v>2060</v>
      </c>
      <c r="E4318" s="10" t="s">
        <v>70</v>
      </c>
      <c r="F4318" s="10" t="s">
        <v>399</v>
      </c>
      <c r="G4318" s="10" t="s">
        <v>87</v>
      </c>
      <c r="H4318" s="7" t="s">
        <v>24</v>
      </c>
      <c r="I4318" s="7" t="s">
        <v>25</v>
      </c>
      <c r="J4318" s="13" t="str">
        <f>HYPERLINK("https://www.airitibooks.com/Detail/Detail?PublicationID=P20160421144", "https://www.airitibooks.com/Detail/Detail?PublicationID=P20160421144")</f>
        <v>https://www.airitibooks.com/Detail/Detail?PublicationID=P20160421144</v>
      </c>
      <c r="K4318" s="13" t="str">
        <f>HYPERLINK("https://ntsu.idm.oclc.org/login?url=https://www.airitibooks.com/Detail/Detail?PublicationID=P20160421144", "https://ntsu.idm.oclc.org/login?url=https://www.airitibooks.com/Detail/Detail?PublicationID=P20160421144")</f>
        <v>https://ntsu.idm.oclc.org/login?url=https://www.airitibooks.com/Detail/Detail?PublicationID=P20160421144</v>
      </c>
    </row>
    <row r="4319" spans="1:11" ht="51" x14ac:dyDescent="0.4">
      <c r="A4319" s="10" t="s">
        <v>4677</v>
      </c>
      <c r="B4319" s="10" t="s">
        <v>4678</v>
      </c>
      <c r="C4319" s="10" t="s">
        <v>2515</v>
      </c>
      <c r="D4319" s="10" t="s">
        <v>4679</v>
      </c>
      <c r="E4319" s="10" t="s">
        <v>70</v>
      </c>
      <c r="F4319" s="10" t="s">
        <v>4680</v>
      </c>
      <c r="G4319" s="10" t="s">
        <v>87</v>
      </c>
      <c r="H4319" s="7" t="s">
        <v>24</v>
      </c>
      <c r="I4319" s="7" t="s">
        <v>25</v>
      </c>
      <c r="J4319" s="13" t="str">
        <f>HYPERLINK("https://www.airitibooks.com/Detail/Detail?PublicationID=P20160603010", "https://www.airitibooks.com/Detail/Detail?PublicationID=P20160603010")</f>
        <v>https://www.airitibooks.com/Detail/Detail?PublicationID=P20160603010</v>
      </c>
      <c r="K4319" s="13" t="str">
        <f>HYPERLINK("https://ntsu.idm.oclc.org/login?url=https://www.airitibooks.com/Detail/Detail?PublicationID=P20160603010", "https://ntsu.idm.oclc.org/login?url=https://www.airitibooks.com/Detail/Detail?PublicationID=P20160603010")</f>
        <v>https://ntsu.idm.oclc.org/login?url=https://www.airitibooks.com/Detail/Detail?PublicationID=P20160603010</v>
      </c>
    </row>
    <row r="4320" spans="1:11" ht="51" x14ac:dyDescent="0.4">
      <c r="A4320" s="10" t="s">
        <v>4795</v>
      </c>
      <c r="B4320" s="10" t="s">
        <v>4796</v>
      </c>
      <c r="C4320" s="10" t="s">
        <v>1095</v>
      </c>
      <c r="D4320" s="10" t="s">
        <v>4797</v>
      </c>
      <c r="E4320" s="10" t="s">
        <v>70</v>
      </c>
      <c r="F4320" s="10" t="s">
        <v>399</v>
      </c>
      <c r="G4320" s="10" t="s">
        <v>87</v>
      </c>
      <c r="H4320" s="7" t="s">
        <v>24</v>
      </c>
      <c r="I4320" s="7" t="s">
        <v>25</v>
      </c>
      <c r="J4320" s="13" t="str">
        <f>HYPERLINK("https://www.airitibooks.com/Detail/Detail?PublicationID=P20160705008", "https://www.airitibooks.com/Detail/Detail?PublicationID=P20160705008")</f>
        <v>https://www.airitibooks.com/Detail/Detail?PublicationID=P20160705008</v>
      </c>
      <c r="K4320" s="13" t="str">
        <f>HYPERLINK("https://ntsu.idm.oclc.org/login?url=https://www.airitibooks.com/Detail/Detail?PublicationID=P20160705008", "https://ntsu.idm.oclc.org/login?url=https://www.airitibooks.com/Detail/Detail?PublicationID=P20160705008")</f>
        <v>https://ntsu.idm.oclc.org/login?url=https://www.airitibooks.com/Detail/Detail?PublicationID=P20160705008</v>
      </c>
    </row>
    <row r="4321" spans="1:11" ht="51" x14ac:dyDescent="0.4">
      <c r="A4321" s="10" t="s">
        <v>4977</v>
      </c>
      <c r="B4321" s="10" t="s">
        <v>4978</v>
      </c>
      <c r="C4321" s="10" t="s">
        <v>282</v>
      </c>
      <c r="D4321" s="10" t="s">
        <v>4979</v>
      </c>
      <c r="E4321" s="10" t="s">
        <v>70</v>
      </c>
      <c r="F4321" s="10" t="s">
        <v>399</v>
      </c>
      <c r="G4321" s="10" t="s">
        <v>87</v>
      </c>
      <c r="H4321" s="7" t="s">
        <v>24</v>
      </c>
      <c r="I4321" s="7" t="s">
        <v>25</v>
      </c>
      <c r="J4321" s="13" t="str">
        <f>HYPERLINK("https://www.airitibooks.com/Detail/Detail?PublicationID=P20160723038", "https://www.airitibooks.com/Detail/Detail?PublicationID=P20160723038")</f>
        <v>https://www.airitibooks.com/Detail/Detail?PublicationID=P20160723038</v>
      </c>
      <c r="K4321" s="13" t="str">
        <f>HYPERLINK("https://ntsu.idm.oclc.org/login?url=https://www.airitibooks.com/Detail/Detail?PublicationID=P20160723038", "https://ntsu.idm.oclc.org/login?url=https://www.airitibooks.com/Detail/Detail?PublicationID=P20160723038")</f>
        <v>https://ntsu.idm.oclc.org/login?url=https://www.airitibooks.com/Detail/Detail?PublicationID=P20160723038</v>
      </c>
    </row>
    <row r="4322" spans="1:11" ht="51" x14ac:dyDescent="0.4">
      <c r="A4322" s="10" t="s">
        <v>5038</v>
      </c>
      <c r="B4322" s="10" t="s">
        <v>5039</v>
      </c>
      <c r="C4322" s="10" t="s">
        <v>1296</v>
      </c>
      <c r="D4322" s="10" t="s">
        <v>5040</v>
      </c>
      <c r="E4322" s="10" t="s">
        <v>70</v>
      </c>
      <c r="F4322" s="10" t="s">
        <v>144</v>
      </c>
      <c r="G4322" s="10" t="s">
        <v>87</v>
      </c>
      <c r="H4322" s="7" t="s">
        <v>24</v>
      </c>
      <c r="I4322" s="7" t="s">
        <v>25</v>
      </c>
      <c r="J4322" s="13" t="str">
        <f>HYPERLINK("https://www.airitibooks.com/Detail/Detail?PublicationID=P20160801094", "https://www.airitibooks.com/Detail/Detail?PublicationID=P20160801094")</f>
        <v>https://www.airitibooks.com/Detail/Detail?PublicationID=P20160801094</v>
      </c>
      <c r="K4322" s="13" t="str">
        <f>HYPERLINK("https://ntsu.idm.oclc.org/login?url=https://www.airitibooks.com/Detail/Detail?PublicationID=P20160801094", "https://ntsu.idm.oclc.org/login?url=https://www.airitibooks.com/Detail/Detail?PublicationID=P20160801094")</f>
        <v>https://ntsu.idm.oclc.org/login?url=https://www.airitibooks.com/Detail/Detail?PublicationID=P20160801094</v>
      </c>
    </row>
    <row r="4323" spans="1:11" ht="68" x14ac:dyDescent="0.4">
      <c r="A4323" s="10" t="s">
        <v>5199</v>
      </c>
      <c r="B4323" s="10" t="s">
        <v>5200</v>
      </c>
      <c r="C4323" s="10" t="s">
        <v>499</v>
      </c>
      <c r="D4323" s="10" t="s">
        <v>5201</v>
      </c>
      <c r="E4323" s="10" t="s">
        <v>70</v>
      </c>
      <c r="F4323" s="10" t="s">
        <v>5202</v>
      </c>
      <c r="G4323" s="10" t="s">
        <v>87</v>
      </c>
      <c r="H4323" s="7" t="s">
        <v>24</v>
      </c>
      <c r="I4323" s="7" t="s">
        <v>25</v>
      </c>
      <c r="J4323" s="13" t="str">
        <f>HYPERLINK("https://www.airitibooks.com/Detail/Detail?PublicationID=P20160829015", "https://www.airitibooks.com/Detail/Detail?PublicationID=P20160829015")</f>
        <v>https://www.airitibooks.com/Detail/Detail?PublicationID=P20160829015</v>
      </c>
      <c r="K4323" s="13" t="str">
        <f>HYPERLINK("https://ntsu.idm.oclc.org/login?url=https://www.airitibooks.com/Detail/Detail?PublicationID=P20160829015", "https://ntsu.idm.oclc.org/login?url=https://www.airitibooks.com/Detail/Detail?PublicationID=P20160829015")</f>
        <v>https://ntsu.idm.oclc.org/login?url=https://www.airitibooks.com/Detail/Detail?PublicationID=P20160829015</v>
      </c>
    </row>
    <row r="4324" spans="1:11" ht="68" x14ac:dyDescent="0.4">
      <c r="A4324" s="10" t="s">
        <v>5203</v>
      </c>
      <c r="B4324" s="10" t="s">
        <v>5204</v>
      </c>
      <c r="C4324" s="10" t="s">
        <v>499</v>
      </c>
      <c r="D4324" s="10" t="s">
        <v>5201</v>
      </c>
      <c r="E4324" s="10" t="s">
        <v>70</v>
      </c>
      <c r="F4324" s="10" t="s">
        <v>5202</v>
      </c>
      <c r="G4324" s="10" t="s">
        <v>87</v>
      </c>
      <c r="H4324" s="7" t="s">
        <v>24</v>
      </c>
      <c r="I4324" s="7" t="s">
        <v>25</v>
      </c>
      <c r="J4324" s="13" t="str">
        <f>HYPERLINK("https://www.airitibooks.com/Detail/Detail?PublicationID=P20160829016", "https://www.airitibooks.com/Detail/Detail?PublicationID=P20160829016")</f>
        <v>https://www.airitibooks.com/Detail/Detail?PublicationID=P20160829016</v>
      </c>
      <c r="K4324" s="13" t="str">
        <f>HYPERLINK("https://ntsu.idm.oclc.org/login?url=https://www.airitibooks.com/Detail/Detail?PublicationID=P20160829016", "https://ntsu.idm.oclc.org/login?url=https://www.airitibooks.com/Detail/Detail?PublicationID=P20160829016")</f>
        <v>https://ntsu.idm.oclc.org/login?url=https://www.airitibooks.com/Detail/Detail?PublicationID=P20160829016</v>
      </c>
    </row>
    <row r="4325" spans="1:11" ht="51" x14ac:dyDescent="0.4">
      <c r="A4325" s="10" t="s">
        <v>5572</v>
      </c>
      <c r="B4325" s="10" t="s">
        <v>5573</v>
      </c>
      <c r="C4325" s="10" t="s">
        <v>147</v>
      </c>
      <c r="D4325" s="10" t="s">
        <v>5574</v>
      </c>
      <c r="E4325" s="10" t="s">
        <v>70</v>
      </c>
      <c r="F4325" s="10" t="s">
        <v>1208</v>
      </c>
      <c r="G4325" s="10" t="s">
        <v>87</v>
      </c>
      <c r="H4325" s="7" t="s">
        <v>24</v>
      </c>
      <c r="I4325" s="7" t="s">
        <v>25</v>
      </c>
      <c r="J4325" s="13" t="str">
        <f>HYPERLINK("https://www.airitibooks.com/Detail/Detail?PublicationID=P20161004007", "https://www.airitibooks.com/Detail/Detail?PublicationID=P20161004007")</f>
        <v>https://www.airitibooks.com/Detail/Detail?PublicationID=P20161004007</v>
      </c>
      <c r="K4325" s="13" t="str">
        <f>HYPERLINK("https://ntsu.idm.oclc.org/login?url=https://www.airitibooks.com/Detail/Detail?PublicationID=P20161004007", "https://ntsu.idm.oclc.org/login?url=https://www.airitibooks.com/Detail/Detail?PublicationID=P20161004007")</f>
        <v>https://ntsu.idm.oclc.org/login?url=https://www.airitibooks.com/Detail/Detail?PublicationID=P20161004007</v>
      </c>
    </row>
    <row r="4326" spans="1:11" ht="51" x14ac:dyDescent="0.4">
      <c r="A4326" s="10" t="s">
        <v>8785</v>
      </c>
      <c r="B4326" s="10" t="s">
        <v>8786</v>
      </c>
      <c r="C4326" s="10" t="s">
        <v>848</v>
      </c>
      <c r="D4326" s="10" t="s">
        <v>8787</v>
      </c>
      <c r="E4326" s="10" t="s">
        <v>70</v>
      </c>
      <c r="F4326" s="10" t="s">
        <v>144</v>
      </c>
      <c r="G4326" s="10" t="s">
        <v>87</v>
      </c>
      <c r="H4326" s="7" t="s">
        <v>24</v>
      </c>
      <c r="I4326" s="7" t="s">
        <v>25</v>
      </c>
      <c r="J4326" s="13" t="str">
        <f>HYPERLINK("https://www.airitibooks.com/Detail/Detail?PublicationID=P20180323075", "https://www.airitibooks.com/Detail/Detail?PublicationID=P20180323075")</f>
        <v>https://www.airitibooks.com/Detail/Detail?PublicationID=P20180323075</v>
      </c>
      <c r="K4326" s="13" t="str">
        <f>HYPERLINK("https://ntsu.idm.oclc.org/login?url=https://www.airitibooks.com/Detail/Detail?PublicationID=P20180323075", "https://ntsu.idm.oclc.org/login?url=https://www.airitibooks.com/Detail/Detail?PublicationID=P20180323075")</f>
        <v>https://ntsu.idm.oclc.org/login?url=https://www.airitibooks.com/Detail/Detail?PublicationID=P20180323075</v>
      </c>
    </row>
    <row r="4327" spans="1:11" ht="51" x14ac:dyDescent="0.4">
      <c r="A4327" s="10" t="s">
        <v>1128</v>
      </c>
      <c r="B4327" s="10" t="s">
        <v>1129</v>
      </c>
      <c r="C4327" s="10" t="s">
        <v>1125</v>
      </c>
      <c r="D4327" s="10" t="s">
        <v>1130</v>
      </c>
      <c r="E4327" s="10" t="s">
        <v>70</v>
      </c>
      <c r="F4327" s="10" t="s">
        <v>1131</v>
      </c>
      <c r="G4327" s="10" t="s">
        <v>23</v>
      </c>
      <c r="H4327" s="7" t="s">
        <v>24</v>
      </c>
      <c r="I4327" s="7" t="s">
        <v>25</v>
      </c>
      <c r="J4327" s="13" t="str">
        <f>HYPERLINK("https://www.airitibooks.com/Detail/Detail?PublicationID=P20140120060", "https://www.airitibooks.com/Detail/Detail?PublicationID=P20140120060")</f>
        <v>https://www.airitibooks.com/Detail/Detail?PublicationID=P20140120060</v>
      </c>
      <c r="K4327" s="13" t="str">
        <f>HYPERLINK("https://ntsu.idm.oclc.org/login?url=https://www.airitibooks.com/Detail/Detail?PublicationID=P20140120060", "https://ntsu.idm.oclc.org/login?url=https://www.airitibooks.com/Detail/Detail?PublicationID=P20140120060")</f>
        <v>https://ntsu.idm.oclc.org/login?url=https://www.airitibooks.com/Detail/Detail?PublicationID=P20140120060</v>
      </c>
    </row>
    <row r="4328" spans="1:11" ht="51" x14ac:dyDescent="0.4">
      <c r="A4328" s="10" t="s">
        <v>1148</v>
      </c>
      <c r="B4328" s="10" t="s">
        <v>1149</v>
      </c>
      <c r="C4328" s="10" t="s">
        <v>804</v>
      </c>
      <c r="D4328" s="10" t="s">
        <v>1150</v>
      </c>
      <c r="E4328" s="10" t="s">
        <v>70</v>
      </c>
      <c r="F4328" s="10" t="s">
        <v>250</v>
      </c>
      <c r="G4328" s="10" t="s">
        <v>23</v>
      </c>
      <c r="H4328" s="7" t="s">
        <v>24</v>
      </c>
      <c r="I4328" s="7" t="s">
        <v>25</v>
      </c>
      <c r="J4328" s="13" t="str">
        <f>HYPERLINK("https://www.airitibooks.com/Detail/Detail?PublicationID=P20140124013", "https://www.airitibooks.com/Detail/Detail?PublicationID=P20140124013")</f>
        <v>https://www.airitibooks.com/Detail/Detail?PublicationID=P20140124013</v>
      </c>
      <c r="K4328" s="13" t="str">
        <f>HYPERLINK("https://ntsu.idm.oclc.org/login?url=https://www.airitibooks.com/Detail/Detail?PublicationID=P20140124013", "https://ntsu.idm.oclc.org/login?url=https://www.airitibooks.com/Detail/Detail?PublicationID=P20140124013")</f>
        <v>https://ntsu.idm.oclc.org/login?url=https://www.airitibooks.com/Detail/Detail?PublicationID=P20140124013</v>
      </c>
    </row>
    <row r="4329" spans="1:11" ht="51" x14ac:dyDescent="0.4">
      <c r="A4329" s="10" t="s">
        <v>1278</v>
      </c>
      <c r="B4329" s="10" t="s">
        <v>1279</v>
      </c>
      <c r="C4329" s="10" t="s">
        <v>804</v>
      </c>
      <c r="D4329" s="10" t="s">
        <v>1150</v>
      </c>
      <c r="E4329" s="10" t="s">
        <v>70</v>
      </c>
      <c r="F4329" s="10" t="s">
        <v>250</v>
      </c>
      <c r="G4329" s="10" t="s">
        <v>23</v>
      </c>
      <c r="H4329" s="7" t="s">
        <v>24</v>
      </c>
      <c r="I4329" s="7" t="s">
        <v>25</v>
      </c>
      <c r="J4329" s="13" t="str">
        <f>HYPERLINK("https://www.airitibooks.com/Detail/Detail?PublicationID=P20140702164", "https://www.airitibooks.com/Detail/Detail?PublicationID=P20140702164")</f>
        <v>https://www.airitibooks.com/Detail/Detail?PublicationID=P20140702164</v>
      </c>
      <c r="K4329" s="13" t="str">
        <f>HYPERLINK("https://ntsu.idm.oclc.org/login?url=https://www.airitibooks.com/Detail/Detail?PublicationID=P20140702164", "https://ntsu.idm.oclc.org/login?url=https://www.airitibooks.com/Detail/Detail?PublicationID=P20140702164")</f>
        <v>https://ntsu.idm.oclc.org/login?url=https://www.airitibooks.com/Detail/Detail?PublicationID=P20140702164</v>
      </c>
    </row>
    <row r="4330" spans="1:11" ht="51" x14ac:dyDescent="0.4">
      <c r="A4330" s="10" t="s">
        <v>1280</v>
      </c>
      <c r="B4330" s="10" t="s">
        <v>1281</v>
      </c>
      <c r="C4330" s="10" t="s">
        <v>804</v>
      </c>
      <c r="D4330" s="10" t="s">
        <v>1150</v>
      </c>
      <c r="E4330" s="10" t="s">
        <v>70</v>
      </c>
      <c r="F4330" s="10" t="s">
        <v>250</v>
      </c>
      <c r="G4330" s="10" t="s">
        <v>23</v>
      </c>
      <c r="H4330" s="7" t="s">
        <v>24</v>
      </c>
      <c r="I4330" s="7" t="s">
        <v>25</v>
      </c>
      <c r="J4330" s="13" t="str">
        <f>HYPERLINK("https://www.airitibooks.com/Detail/Detail?PublicationID=P20140702174", "https://www.airitibooks.com/Detail/Detail?PublicationID=P20140702174")</f>
        <v>https://www.airitibooks.com/Detail/Detail?PublicationID=P20140702174</v>
      </c>
      <c r="K4330" s="13" t="str">
        <f>HYPERLINK("https://ntsu.idm.oclc.org/login?url=https://www.airitibooks.com/Detail/Detail?PublicationID=P20140702174", "https://ntsu.idm.oclc.org/login?url=https://www.airitibooks.com/Detail/Detail?PublicationID=P20140702174")</f>
        <v>https://ntsu.idm.oclc.org/login?url=https://www.airitibooks.com/Detail/Detail?PublicationID=P20140702174</v>
      </c>
    </row>
    <row r="4331" spans="1:11" ht="51" x14ac:dyDescent="0.4">
      <c r="A4331" s="10" t="s">
        <v>1289</v>
      </c>
      <c r="B4331" s="10" t="s">
        <v>1290</v>
      </c>
      <c r="C4331" s="10" t="s">
        <v>1291</v>
      </c>
      <c r="D4331" s="10" t="s">
        <v>1292</v>
      </c>
      <c r="E4331" s="10" t="s">
        <v>70</v>
      </c>
      <c r="F4331" s="10" t="s">
        <v>1293</v>
      </c>
      <c r="G4331" s="10" t="s">
        <v>23</v>
      </c>
      <c r="H4331" s="7" t="s">
        <v>24</v>
      </c>
      <c r="I4331" s="7" t="s">
        <v>25</v>
      </c>
      <c r="J4331" s="13" t="str">
        <f>HYPERLINK("https://www.airitibooks.com/Detail/Detail?PublicationID=P20140702219", "https://www.airitibooks.com/Detail/Detail?PublicationID=P20140702219")</f>
        <v>https://www.airitibooks.com/Detail/Detail?PublicationID=P20140702219</v>
      </c>
      <c r="K4331" s="13" t="str">
        <f>HYPERLINK("https://ntsu.idm.oclc.org/login?url=https://www.airitibooks.com/Detail/Detail?PublicationID=P20140702219", "https://ntsu.idm.oclc.org/login?url=https://www.airitibooks.com/Detail/Detail?PublicationID=P20140702219")</f>
        <v>https://ntsu.idm.oclc.org/login?url=https://www.airitibooks.com/Detail/Detail?PublicationID=P20140702219</v>
      </c>
    </row>
    <row r="4332" spans="1:11" ht="51" x14ac:dyDescent="0.4">
      <c r="A4332" s="10" t="s">
        <v>1323</v>
      </c>
      <c r="B4332" s="10" t="s">
        <v>1324</v>
      </c>
      <c r="C4332" s="10" t="s">
        <v>819</v>
      </c>
      <c r="D4332" s="10" t="s">
        <v>1325</v>
      </c>
      <c r="E4332" s="10" t="s">
        <v>70</v>
      </c>
      <c r="F4332" s="10" t="s">
        <v>1326</v>
      </c>
      <c r="G4332" s="10" t="s">
        <v>23</v>
      </c>
      <c r="H4332" s="7" t="s">
        <v>24</v>
      </c>
      <c r="I4332" s="7" t="s">
        <v>25</v>
      </c>
      <c r="J4332" s="13" t="str">
        <f>HYPERLINK("https://www.airitibooks.com/Detail/Detail?PublicationID=P20140814008", "https://www.airitibooks.com/Detail/Detail?PublicationID=P20140814008")</f>
        <v>https://www.airitibooks.com/Detail/Detail?PublicationID=P20140814008</v>
      </c>
      <c r="K4332" s="13" t="str">
        <f>HYPERLINK("https://ntsu.idm.oclc.org/login?url=https://www.airitibooks.com/Detail/Detail?PublicationID=P20140814008", "https://ntsu.idm.oclc.org/login?url=https://www.airitibooks.com/Detail/Detail?PublicationID=P20140814008")</f>
        <v>https://ntsu.idm.oclc.org/login?url=https://www.airitibooks.com/Detail/Detail?PublicationID=P20140814008</v>
      </c>
    </row>
    <row r="4333" spans="1:11" ht="51" x14ac:dyDescent="0.4">
      <c r="A4333" s="10" t="s">
        <v>1335</v>
      </c>
      <c r="B4333" s="10" t="s">
        <v>1336</v>
      </c>
      <c r="C4333" s="10" t="s">
        <v>287</v>
      </c>
      <c r="D4333" s="10" t="s">
        <v>1337</v>
      </c>
      <c r="E4333" s="10" t="s">
        <v>70</v>
      </c>
      <c r="F4333" s="10" t="s">
        <v>250</v>
      </c>
      <c r="G4333" s="10" t="s">
        <v>23</v>
      </c>
      <c r="H4333" s="7" t="s">
        <v>24</v>
      </c>
      <c r="I4333" s="7" t="s">
        <v>25</v>
      </c>
      <c r="J4333" s="13" t="str">
        <f>HYPERLINK("https://www.airitibooks.com/Detail/Detail?PublicationID=P20140815004", "https://www.airitibooks.com/Detail/Detail?PublicationID=P20140815004")</f>
        <v>https://www.airitibooks.com/Detail/Detail?PublicationID=P20140815004</v>
      </c>
      <c r="K4333" s="13" t="str">
        <f>HYPERLINK("https://ntsu.idm.oclc.org/login?url=https://www.airitibooks.com/Detail/Detail?PublicationID=P20140815004", "https://ntsu.idm.oclc.org/login?url=https://www.airitibooks.com/Detail/Detail?PublicationID=P20140815004")</f>
        <v>https://ntsu.idm.oclc.org/login?url=https://www.airitibooks.com/Detail/Detail?PublicationID=P20140815004</v>
      </c>
    </row>
    <row r="4334" spans="1:11" ht="51" x14ac:dyDescent="0.4">
      <c r="A4334" s="10" t="s">
        <v>1378</v>
      </c>
      <c r="B4334" s="10" t="s">
        <v>1379</v>
      </c>
      <c r="C4334" s="10" t="s">
        <v>212</v>
      </c>
      <c r="D4334" s="10" t="s">
        <v>935</v>
      </c>
      <c r="E4334" s="10" t="s">
        <v>70</v>
      </c>
      <c r="F4334" s="10" t="s">
        <v>1127</v>
      </c>
      <c r="G4334" s="10" t="s">
        <v>23</v>
      </c>
      <c r="H4334" s="7" t="s">
        <v>24</v>
      </c>
      <c r="I4334" s="7" t="s">
        <v>25</v>
      </c>
      <c r="J4334" s="13" t="str">
        <f>HYPERLINK("https://www.airitibooks.com/Detail/Detail?PublicationID=P20140821005", "https://www.airitibooks.com/Detail/Detail?PublicationID=P20140821005")</f>
        <v>https://www.airitibooks.com/Detail/Detail?PublicationID=P20140821005</v>
      </c>
      <c r="K4334" s="13" t="str">
        <f>HYPERLINK("https://ntsu.idm.oclc.org/login?url=https://www.airitibooks.com/Detail/Detail?PublicationID=P20140821005", "https://ntsu.idm.oclc.org/login?url=https://www.airitibooks.com/Detail/Detail?PublicationID=P20140821005")</f>
        <v>https://ntsu.idm.oclc.org/login?url=https://www.airitibooks.com/Detail/Detail?PublicationID=P20140821005</v>
      </c>
    </row>
    <row r="4335" spans="1:11" ht="51" x14ac:dyDescent="0.4">
      <c r="A4335" s="10" t="s">
        <v>1380</v>
      </c>
      <c r="B4335" s="10" t="s">
        <v>1381</v>
      </c>
      <c r="C4335" s="10" t="s">
        <v>212</v>
      </c>
      <c r="D4335" s="10" t="s">
        <v>935</v>
      </c>
      <c r="E4335" s="10" t="s">
        <v>70</v>
      </c>
      <c r="F4335" s="10" t="s">
        <v>1127</v>
      </c>
      <c r="G4335" s="10" t="s">
        <v>23</v>
      </c>
      <c r="H4335" s="7" t="s">
        <v>24</v>
      </c>
      <c r="I4335" s="7" t="s">
        <v>25</v>
      </c>
      <c r="J4335" s="13" t="str">
        <f>HYPERLINK("https://www.airitibooks.com/Detail/Detail?PublicationID=P20140821007", "https://www.airitibooks.com/Detail/Detail?PublicationID=P20140821007")</f>
        <v>https://www.airitibooks.com/Detail/Detail?PublicationID=P20140821007</v>
      </c>
      <c r="K4335" s="13" t="str">
        <f>HYPERLINK("https://ntsu.idm.oclc.org/login?url=https://www.airitibooks.com/Detail/Detail?PublicationID=P20140821007", "https://ntsu.idm.oclc.org/login?url=https://www.airitibooks.com/Detail/Detail?PublicationID=P20140821007")</f>
        <v>https://ntsu.idm.oclc.org/login?url=https://www.airitibooks.com/Detail/Detail?PublicationID=P20140821007</v>
      </c>
    </row>
    <row r="4336" spans="1:11" ht="51" x14ac:dyDescent="0.4">
      <c r="A4336" s="10" t="s">
        <v>1382</v>
      </c>
      <c r="B4336" s="10" t="s">
        <v>1383</v>
      </c>
      <c r="C4336" s="10" t="s">
        <v>212</v>
      </c>
      <c r="D4336" s="10" t="s">
        <v>671</v>
      </c>
      <c r="E4336" s="10" t="s">
        <v>70</v>
      </c>
      <c r="F4336" s="10" t="s">
        <v>1384</v>
      </c>
      <c r="G4336" s="10" t="s">
        <v>23</v>
      </c>
      <c r="H4336" s="7" t="s">
        <v>24</v>
      </c>
      <c r="I4336" s="7" t="s">
        <v>25</v>
      </c>
      <c r="J4336" s="13" t="str">
        <f>HYPERLINK("https://www.airitibooks.com/Detail/Detail?PublicationID=P20140821009", "https://www.airitibooks.com/Detail/Detail?PublicationID=P20140821009")</f>
        <v>https://www.airitibooks.com/Detail/Detail?PublicationID=P20140821009</v>
      </c>
      <c r="K4336" s="13" t="str">
        <f>HYPERLINK("https://ntsu.idm.oclc.org/login?url=https://www.airitibooks.com/Detail/Detail?PublicationID=P20140821009", "https://ntsu.idm.oclc.org/login?url=https://www.airitibooks.com/Detail/Detail?PublicationID=P20140821009")</f>
        <v>https://ntsu.idm.oclc.org/login?url=https://www.airitibooks.com/Detail/Detail?PublicationID=P20140821009</v>
      </c>
    </row>
    <row r="4337" spans="1:11" ht="51" x14ac:dyDescent="0.4">
      <c r="A4337" s="10" t="s">
        <v>1385</v>
      </c>
      <c r="B4337" s="10" t="s">
        <v>1386</v>
      </c>
      <c r="C4337" s="10" t="s">
        <v>212</v>
      </c>
      <c r="D4337" s="10" t="s">
        <v>935</v>
      </c>
      <c r="E4337" s="10" t="s">
        <v>70</v>
      </c>
      <c r="F4337" s="10" t="s">
        <v>1127</v>
      </c>
      <c r="G4337" s="10" t="s">
        <v>23</v>
      </c>
      <c r="H4337" s="7" t="s">
        <v>24</v>
      </c>
      <c r="I4337" s="7" t="s">
        <v>25</v>
      </c>
      <c r="J4337" s="13" t="str">
        <f>HYPERLINK("https://www.airitibooks.com/Detail/Detail?PublicationID=P20140821010", "https://www.airitibooks.com/Detail/Detail?PublicationID=P20140821010")</f>
        <v>https://www.airitibooks.com/Detail/Detail?PublicationID=P20140821010</v>
      </c>
      <c r="K4337" s="13" t="str">
        <f>HYPERLINK("https://ntsu.idm.oclc.org/login?url=https://www.airitibooks.com/Detail/Detail?PublicationID=P20140821010", "https://ntsu.idm.oclc.org/login?url=https://www.airitibooks.com/Detail/Detail?PublicationID=P20140821010")</f>
        <v>https://ntsu.idm.oclc.org/login?url=https://www.airitibooks.com/Detail/Detail?PublicationID=P20140821010</v>
      </c>
    </row>
    <row r="4338" spans="1:11" ht="51" x14ac:dyDescent="0.4">
      <c r="A4338" s="10" t="s">
        <v>1387</v>
      </c>
      <c r="B4338" s="10" t="s">
        <v>1388</v>
      </c>
      <c r="C4338" s="10" t="s">
        <v>212</v>
      </c>
      <c r="D4338" s="10" t="s">
        <v>671</v>
      </c>
      <c r="E4338" s="10" t="s">
        <v>70</v>
      </c>
      <c r="F4338" s="10" t="s">
        <v>1389</v>
      </c>
      <c r="G4338" s="10" t="s">
        <v>23</v>
      </c>
      <c r="H4338" s="7" t="s">
        <v>24</v>
      </c>
      <c r="I4338" s="7" t="s">
        <v>25</v>
      </c>
      <c r="J4338" s="13" t="str">
        <f>HYPERLINK("https://www.airitibooks.com/Detail/Detail?PublicationID=P20140821013", "https://www.airitibooks.com/Detail/Detail?PublicationID=P20140821013")</f>
        <v>https://www.airitibooks.com/Detail/Detail?PublicationID=P20140821013</v>
      </c>
      <c r="K4338" s="13" t="str">
        <f>HYPERLINK("https://ntsu.idm.oclc.org/login?url=https://www.airitibooks.com/Detail/Detail?PublicationID=P20140821013", "https://ntsu.idm.oclc.org/login?url=https://www.airitibooks.com/Detail/Detail?PublicationID=P20140821013")</f>
        <v>https://ntsu.idm.oclc.org/login?url=https://www.airitibooks.com/Detail/Detail?PublicationID=P20140821013</v>
      </c>
    </row>
    <row r="4339" spans="1:11" ht="51" x14ac:dyDescent="0.4">
      <c r="A4339" s="10" t="s">
        <v>1404</v>
      </c>
      <c r="B4339" s="10" t="s">
        <v>1405</v>
      </c>
      <c r="C4339" s="10" t="s">
        <v>439</v>
      </c>
      <c r="D4339" s="10" t="s">
        <v>1406</v>
      </c>
      <c r="E4339" s="10" t="s">
        <v>70</v>
      </c>
      <c r="F4339" s="10" t="s">
        <v>250</v>
      </c>
      <c r="G4339" s="10" t="s">
        <v>23</v>
      </c>
      <c r="H4339" s="7" t="s">
        <v>24</v>
      </c>
      <c r="I4339" s="7" t="s">
        <v>25</v>
      </c>
      <c r="J4339" s="13" t="str">
        <f>HYPERLINK("https://www.airitibooks.com/Detail/Detail?PublicationID=P20140821036", "https://www.airitibooks.com/Detail/Detail?PublicationID=P20140821036")</f>
        <v>https://www.airitibooks.com/Detail/Detail?PublicationID=P20140821036</v>
      </c>
      <c r="K4339" s="13" t="str">
        <f>HYPERLINK("https://ntsu.idm.oclc.org/login?url=https://www.airitibooks.com/Detail/Detail?PublicationID=P20140821036", "https://ntsu.idm.oclc.org/login?url=https://www.airitibooks.com/Detail/Detail?PublicationID=P20140821036")</f>
        <v>https://ntsu.idm.oclc.org/login?url=https://www.airitibooks.com/Detail/Detail?PublicationID=P20140821036</v>
      </c>
    </row>
    <row r="4340" spans="1:11" ht="51" x14ac:dyDescent="0.4">
      <c r="A4340" s="10" t="s">
        <v>1420</v>
      </c>
      <c r="B4340" s="10" t="s">
        <v>1421</v>
      </c>
      <c r="C4340" s="10" t="s">
        <v>1125</v>
      </c>
      <c r="D4340" s="10" t="s">
        <v>1422</v>
      </c>
      <c r="E4340" s="10" t="s">
        <v>70</v>
      </c>
      <c r="F4340" s="10" t="s">
        <v>214</v>
      </c>
      <c r="G4340" s="10" t="s">
        <v>23</v>
      </c>
      <c r="H4340" s="7" t="s">
        <v>24</v>
      </c>
      <c r="I4340" s="7" t="s">
        <v>25</v>
      </c>
      <c r="J4340" s="13" t="str">
        <f>HYPERLINK("https://www.airitibooks.com/Detail/Detail?PublicationID=P20140821049", "https://www.airitibooks.com/Detail/Detail?PublicationID=P20140821049")</f>
        <v>https://www.airitibooks.com/Detail/Detail?PublicationID=P20140821049</v>
      </c>
      <c r="K4340" s="13" t="str">
        <f>HYPERLINK("https://ntsu.idm.oclc.org/login?url=https://www.airitibooks.com/Detail/Detail?PublicationID=P20140821049", "https://ntsu.idm.oclc.org/login?url=https://www.airitibooks.com/Detail/Detail?PublicationID=P20140821049")</f>
        <v>https://ntsu.idm.oclc.org/login?url=https://www.airitibooks.com/Detail/Detail?PublicationID=P20140821049</v>
      </c>
    </row>
    <row r="4341" spans="1:11" ht="51" x14ac:dyDescent="0.4">
      <c r="A4341" s="10" t="s">
        <v>1423</v>
      </c>
      <c r="B4341" s="10" t="s">
        <v>1424</v>
      </c>
      <c r="C4341" s="10" t="s">
        <v>1125</v>
      </c>
      <c r="D4341" s="10" t="s">
        <v>1130</v>
      </c>
      <c r="E4341" s="10" t="s">
        <v>70</v>
      </c>
      <c r="F4341" s="10" t="s">
        <v>1127</v>
      </c>
      <c r="G4341" s="10" t="s">
        <v>23</v>
      </c>
      <c r="H4341" s="7" t="s">
        <v>24</v>
      </c>
      <c r="I4341" s="7" t="s">
        <v>25</v>
      </c>
      <c r="J4341" s="13" t="str">
        <f>HYPERLINK("https://www.airitibooks.com/Detail/Detail?PublicationID=P20140821050", "https://www.airitibooks.com/Detail/Detail?PublicationID=P20140821050")</f>
        <v>https://www.airitibooks.com/Detail/Detail?PublicationID=P20140821050</v>
      </c>
      <c r="K4341" s="13" t="str">
        <f>HYPERLINK("https://ntsu.idm.oclc.org/login?url=https://www.airitibooks.com/Detail/Detail?PublicationID=P20140821050", "https://ntsu.idm.oclc.org/login?url=https://www.airitibooks.com/Detail/Detail?PublicationID=P20140821050")</f>
        <v>https://ntsu.idm.oclc.org/login?url=https://www.airitibooks.com/Detail/Detail?PublicationID=P20140821050</v>
      </c>
    </row>
    <row r="4342" spans="1:11" ht="51" x14ac:dyDescent="0.4">
      <c r="A4342" s="10" t="s">
        <v>1425</v>
      </c>
      <c r="B4342" s="10" t="s">
        <v>1426</v>
      </c>
      <c r="C4342" s="10" t="s">
        <v>1125</v>
      </c>
      <c r="D4342" s="10" t="s">
        <v>1126</v>
      </c>
      <c r="E4342" s="10" t="s">
        <v>70</v>
      </c>
      <c r="F4342" s="10" t="s">
        <v>1427</v>
      </c>
      <c r="G4342" s="10" t="s">
        <v>23</v>
      </c>
      <c r="H4342" s="7" t="s">
        <v>24</v>
      </c>
      <c r="I4342" s="7" t="s">
        <v>25</v>
      </c>
      <c r="J4342" s="13" t="str">
        <f>HYPERLINK("https://www.airitibooks.com/Detail/Detail?PublicationID=P20140821051", "https://www.airitibooks.com/Detail/Detail?PublicationID=P20140821051")</f>
        <v>https://www.airitibooks.com/Detail/Detail?PublicationID=P20140821051</v>
      </c>
      <c r="K4342" s="13" t="str">
        <f>HYPERLINK("https://ntsu.idm.oclc.org/login?url=https://www.airitibooks.com/Detail/Detail?PublicationID=P20140821051", "https://ntsu.idm.oclc.org/login?url=https://www.airitibooks.com/Detail/Detail?PublicationID=P20140821051")</f>
        <v>https://ntsu.idm.oclc.org/login?url=https://www.airitibooks.com/Detail/Detail?PublicationID=P20140821051</v>
      </c>
    </row>
    <row r="4343" spans="1:11" ht="51" x14ac:dyDescent="0.4">
      <c r="A4343" s="10" t="s">
        <v>1441</v>
      </c>
      <c r="B4343" s="10" t="s">
        <v>1442</v>
      </c>
      <c r="C4343" s="10" t="s">
        <v>791</v>
      </c>
      <c r="D4343" s="10" t="s">
        <v>1443</v>
      </c>
      <c r="E4343" s="10" t="s">
        <v>70</v>
      </c>
      <c r="F4343" s="10" t="s">
        <v>696</v>
      </c>
      <c r="G4343" s="10" t="s">
        <v>23</v>
      </c>
      <c r="H4343" s="7" t="s">
        <v>24</v>
      </c>
      <c r="I4343" s="7" t="s">
        <v>25</v>
      </c>
      <c r="J4343" s="13" t="str">
        <f>HYPERLINK("https://www.airitibooks.com/Detail/Detail?PublicationID=P20140829026", "https://www.airitibooks.com/Detail/Detail?PublicationID=P20140829026")</f>
        <v>https://www.airitibooks.com/Detail/Detail?PublicationID=P20140829026</v>
      </c>
      <c r="K4343" s="13" t="str">
        <f>HYPERLINK("https://ntsu.idm.oclc.org/login?url=https://www.airitibooks.com/Detail/Detail?PublicationID=P20140829026", "https://ntsu.idm.oclc.org/login?url=https://www.airitibooks.com/Detail/Detail?PublicationID=P20140829026")</f>
        <v>https://ntsu.idm.oclc.org/login?url=https://www.airitibooks.com/Detail/Detail?PublicationID=P20140829026</v>
      </c>
    </row>
    <row r="4344" spans="1:11" ht="51" x14ac:dyDescent="0.4">
      <c r="A4344" s="10" t="s">
        <v>1444</v>
      </c>
      <c r="B4344" s="10" t="s">
        <v>1445</v>
      </c>
      <c r="C4344" s="10" t="s">
        <v>791</v>
      </c>
      <c r="D4344" s="10" t="s">
        <v>1446</v>
      </c>
      <c r="E4344" s="10" t="s">
        <v>70</v>
      </c>
      <c r="F4344" s="10" t="s">
        <v>696</v>
      </c>
      <c r="G4344" s="10" t="s">
        <v>23</v>
      </c>
      <c r="H4344" s="7" t="s">
        <v>24</v>
      </c>
      <c r="I4344" s="7" t="s">
        <v>25</v>
      </c>
      <c r="J4344" s="13" t="str">
        <f>HYPERLINK("https://www.airitibooks.com/Detail/Detail?PublicationID=P20140829028", "https://www.airitibooks.com/Detail/Detail?PublicationID=P20140829028")</f>
        <v>https://www.airitibooks.com/Detail/Detail?PublicationID=P20140829028</v>
      </c>
      <c r="K4344" s="13" t="str">
        <f>HYPERLINK("https://ntsu.idm.oclc.org/login?url=https://www.airitibooks.com/Detail/Detail?PublicationID=P20140829028", "https://ntsu.idm.oclc.org/login?url=https://www.airitibooks.com/Detail/Detail?PublicationID=P20140829028")</f>
        <v>https://ntsu.idm.oclc.org/login?url=https://www.airitibooks.com/Detail/Detail?PublicationID=P20140829028</v>
      </c>
    </row>
    <row r="4345" spans="1:11" ht="68" x14ac:dyDescent="0.4">
      <c r="A4345" s="10" t="s">
        <v>1451</v>
      </c>
      <c r="B4345" s="10" t="s">
        <v>1452</v>
      </c>
      <c r="C4345" s="10" t="s">
        <v>791</v>
      </c>
      <c r="D4345" s="10" t="s">
        <v>1453</v>
      </c>
      <c r="E4345" s="10" t="s">
        <v>70</v>
      </c>
      <c r="F4345" s="10" t="s">
        <v>1454</v>
      </c>
      <c r="G4345" s="10" t="s">
        <v>23</v>
      </c>
      <c r="H4345" s="7" t="s">
        <v>24</v>
      </c>
      <c r="I4345" s="7" t="s">
        <v>25</v>
      </c>
      <c r="J4345" s="13" t="str">
        <f>HYPERLINK("https://www.airitibooks.com/Detail/Detail?PublicationID=P20140829030", "https://www.airitibooks.com/Detail/Detail?PublicationID=P20140829030")</f>
        <v>https://www.airitibooks.com/Detail/Detail?PublicationID=P20140829030</v>
      </c>
      <c r="K4345" s="13" t="str">
        <f>HYPERLINK("https://ntsu.idm.oclc.org/login?url=https://www.airitibooks.com/Detail/Detail?PublicationID=P20140829030", "https://ntsu.idm.oclc.org/login?url=https://www.airitibooks.com/Detail/Detail?PublicationID=P20140829030")</f>
        <v>https://ntsu.idm.oclc.org/login?url=https://www.airitibooks.com/Detail/Detail?PublicationID=P20140829030</v>
      </c>
    </row>
    <row r="4346" spans="1:11" ht="51" x14ac:dyDescent="0.4">
      <c r="A4346" s="10" t="s">
        <v>1468</v>
      </c>
      <c r="B4346" s="10" t="s">
        <v>1469</v>
      </c>
      <c r="C4346" s="10" t="s">
        <v>1095</v>
      </c>
      <c r="D4346" s="10" t="s">
        <v>1470</v>
      </c>
      <c r="E4346" s="10" t="s">
        <v>70</v>
      </c>
      <c r="F4346" s="10" t="s">
        <v>250</v>
      </c>
      <c r="G4346" s="10" t="s">
        <v>23</v>
      </c>
      <c r="H4346" s="7" t="s">
        <v>24</v>
      </c>
      <c r="I4346" s="7" t="s">
        <v>25</v>
      </c>
      <c r="J4346" s="13" t="str">
        <f>HYPERLINK("https://www.airitibooks.com/Detail/Detail?PublicationID=P20140912041", "https://www.airitibooks.com/Detail/Detail?PublicationID=P20140912041")</f>
        <v>https://www.airitibooks.com/Detail/Detail?PublicationID=P20140912041</v>
      </c>
      <c r="K4346" s="13" t="str">
        <f>HYPERLINK("https://ntsu.idm.oclc.org/login?url=https://www.airitibooks.com/Detail/Detail?PublicationID=P20140912041", "https://ntsu.idm.oclc.org/login?url=https://www.airitibooks.com/Detail/Detail?PublicationID=P20140912041")</f>
        <v>https://ntsu.idm.oclc.org/login?url=https://www.airitibooks.com/Detail/Detail?PublicationID=P20140912041</v>
      </c>
    </row>
    <row r="4347" spans="1:11" ht="51" x14ac:dyDescent="0.4">
      <c r="A4347" s="10" t="s">
        <v>1471</v>
      </c>
      <c r="B4347" s="10" t="s">
        <v>1472</v>
      </c>
      <c r="C4347" s="10" t="s">
        <v>1095</v>
      </c>
      <c r="D4347" s="10" t="s">
        <v>1470</v>
      </c>
      <c r="E4347" s="10" t="s">
        <v>70</v>
      </c>
      <c r="F4347" s="10" t="s">
        <v>250</v>
      </c>
      <c r="G4347" s="10" t="s">
        <v>23</v>
      </c>
      <c r="H4347" s="7" t="s">
        <v>24</v>
      </c>
      <c r="I4347" s="7" t="s">
        <v>25</v>
      </c>
      <c r="J4347" s="13" t="str">
        <f>HYPERLINK("https://www.airitibooks.com/Detail/Detail?PublicationID=P20140912044", "https://www.airitibooks.com/Detail/Detail?PublicationID=P20140912044")</f>
        <v>https://www.airitibooks.com/Detail/Detail?PublicationID=P20140912044</v>
      </c>
      <c r="K4347" s="13" t="str">
        <f>HYPERLINK("https://ntsu.idm.oclc.org/login?url=https://www.airitibooks.com/Detail/Detail?PublicationID=P20140912044", "https://ntsu.idm.oclc.org/login?url=https://www.airitibooks.com/Detail/Detail?PublicationID=P20140912044")</f>
        <v>https://ntsu.idm.oclc.org/login?url=https://www.airitibooks.com/Detail/Detail?PublicationID=P20140912044</v>
      </c>
    </row>
    <row r="4348" spans="1:11" ht="51" x14ac:dyDescent="0.4">
      <c r="A4348" s="10" t="s">
        <v>1518</v>
      </c>
      <c r="B4348" s="10" t="s">
        <v>1519</v>
      </c>
      <c r="C4348" s="10" t="s">
        <v>1504</v>
      </c>
      <c r="D4348" s="10" t="s">
        <v>1520</v>
      </c>
      <c r="E4348" s="10" t="s">
        <v>70</v>
      </c>
      <c r="F4348" s="10" t="s">
        <v>565</v>
      </c>
      <c r="G4348" s="10" t="s">
        <v>23</v>
      </c>
      <c r="H4348" s="7" t="s">
        <v>24</v>
      </c>
      <c r="I4348" s="7" t="s">
        <v>25</v>
      </c>
      <c r="J4348" s="13" t="str">
        <f>HYPERLINK("https://www.airitibooks.com/Detail/Detail?PublicationID=P20141017059", "https://www.airitibooks.com/Detail/Detail?PublicationID=P20141017059")</f>
        <v>https://www.airitibooks.com/Detail/Detail?PublicationID=P20141017059</v>
      </c>
      <c r="K4348" s="13" t="str">
        <f>HYPERLINK("https://ntsu.idm.oclc.org/login?url=https://www.airitibooks.com/Detail/Detail?PublicationID=P20141017059", "https://ntsu.idm.oclc.org/login?url=https://www.airitibooks.com/Detail/Detail?PublicationID=P20141017059")</f>
        <v>https://ntsu.idm.oclc.org/login?url=https://www.airitibooks.com/Detail/Detail?PublicationID=P20141017059</v>
      </c>
    </row>
    <row r="4349" spans="1:11" ht="51" x14ac:dyDescent="0.4">
      <c r="A4349" s="10" t="s">
        <v>1589</v>
      </c>
      <c r="B4349" s="10" t="s">
        <v>1590</v>
      </c>
      <c r="C4349" s="10" t="s">
        <v>212</v>
      </c>
      <c r="D4349" s="10" t="s">
        <v>1591</v>
      </c>
      <c r="E4349" s="10" t="s">
        <v>70</v>
      </c>
      <c r="F4349" s="10" t="s">
        <v>386</v>
      </c>
      <c r="G4349" s="10" t="s">
        <v>23</v>
      </c>
      <c r="H4349" s="7" t="s">
        <v>24</v>
      </c>
      <c r="I4349" s="7" t="s">
        <v>25</v>
      </c>
      <c r="J4349" s="13" t="str">
        <f>HYPERLINK("https://www.airitibooks.com/Detail/Detail?PublicationID=P20141027169", "https://www.airitibooks.com/Detail/Detail?PublicationID=P20141027169")</f>
        <v>https://www.airitibooks.com/Detail/Detail?PublicationID=P20141027169</v>
      </c>
      <c r="K4349" s="13" t="str">
        <f>HYPERLINK("https://ntsu.idm.oclc.org/login?url=https://www.airitibooks.com/Detail/Detail?PublicationID=P20141027169", "https://ntsu.idm.oclc.org/login?url=https://www.airitibooks.com/Detail/Detail?PublicationID=P20141027169")</f>
        <v>https://ntsu.idm.oclc.org/login?url=https://www.airitibooks.com/Detail/Detail?PublicationID=P20141027169</v>
      </c>
    </row>
    <row r="4350" spans="1:11" ht="51" x14ac:dyDescent="0.4">
      <c r="A4350" s="10" t="s">
        <v>1594</v>
      </c>
      <c r="B4350" s="10" t="s">
        <v>1595</v>
      </c>
      <c r="C4350" s="10" t="s">
        <v>212</v>
      </c>
      <c r="D4350" s="10" t="s">
        <v>935</v>
      </c>
      <c r="E4350" s="10" t="s">
        <v>70</v>
      </c>
      <c r="F4350" s="10" t="s">
        <v>1596</v>
      </c>
      <c r="G4350" s="10" t="s">
        <v>23</v>
      </c>
      <c r="H4350" s="7" t="s">
        <v>24</v>
      </c>
      <c r="I4350" s="7" t="s">
        <v>25</v>
      </c>
      <c r="J4350" s="13" t="str">
        <f>HYPERLINK("https://www.airitibooks.com/Detail/Detail?PublicationID=P20141027173", "https://www.airitibooks.com/Detail/Detail?PublicationID=P20141027173")</f>
        <v>https://www.airitibooks.com/Detail/Detail?PublicationID=P20141027173</v>
      </c>
      <c r="K4350" s="13" t="str">
        <f>HYPERLINK("https://ntsu.idm.oclc.org/login?url=https://www.airitibooks.com/Detail/Detail?PublicationID=P20141027173", "https://ntsu.idm.oclc.org/login?url=https://www.airitibooks.com/Detail/Detail?PublicationID=P20141027173")</f>
        <v>https://ntsu.idm.oclc.org/login?url=https://www.airitibooks.com/Detail/Detail?PublicationID=P20141027173</v>
      </c>
    </row>
    <row r="4351" spans="1:11" ht="51" x14ac:dyDescent="0.4">
      <c r="A4351" s="10" t="s">
        <v>1597</v>
      </c>
      <c r="B4351" s="10" t="s">
        <v>1598</v>
      </c>
      <c r="C4351" s="10" t="s">
        <v>212</v>
      </c>
      <c r="D4351" s="10" t="s">
        <v>671</v>
      </c>
      <c r="E4351" s="10" t="s">
        <v>70</v>
      </c>
      <c r="F4351" s="10" t="s">
        <v>1599</v>
      </c>
      <c r="G4351" s="10" t="s">
        <v>23</v>
      </c>
      <c r="H4351" s="7" t="s">
        <v>24</v>
      </c>
      <c r="I4351" s="7" t="s">
        <v>25</v>
      </c>
      <c r="J4351" s="13" t="str">
        <f>HYPERLINK("https://www.airitibooks.com/Detail/Detail?PublicationID=P20141027174", "https://www.airitibooks.com/Detail/Detail?PublicationID=P20141027174")</f>
        <v>https://www.airitibooks.com/Detail/Detail?PublicationID=P20141027174</v>
      </c>
      <c r="K4351" s="13" t="str">
        <f>HYPERLINK("https://ntsu.idm.oclc.org/login?url=https://www.airitibooks.com/Detail/Detail?PublicationID=P20141027174", "https://ntsu.idm.oclc.org/login?url=https://www.airitibooks.com/Detail/Detail?PublicationID=P20141027174")</f>
        <v>https://ntsu.idm.oclc.org/login?url=https://www.airitibooks.com/Detail/Detail?PublicationID=P20141027174</v>
      </c>
    </row>
    <row r="4352" spans="1:11" ht="51" x14ac:dyDescent="0.4">
      <c r="A4352" s="10" t="s">
        <v>1600</v>
      </c>
      <c r="B4352" s="10" t="s">
        <v>1601</v>
      </c>
      <c r="C4352" s="10" t="s">
        <v>212</v>
      </c>
      <c r="D4352" s="10" t="s">
        <v>671</v>
      </c>
      <c r="E4352" s="10" t="s">
        <v>70</v>
      </c>
      <c r="F4352" s="10" t="s">
        <v>1599</v>
      </c>
      <c r="G4352" s="10" t="s">
        <v>23</v>
      </c>
      <c r="H4352" s="7" t="s">
        <v>24</v>
      </c>
      <c r="I4352" s="7" t="s">
        <v>25</v>
      </c>
      <c r="J4352" s="13" t="str">
        <f>HYPERLINK("https://www.airitibooks.com/Detail/Detail?PublicationID=P20141027178", "https://www.airitibooks.com/Detail/Detail?PublicationID=P20141027178")</f>
        <v>https://www.airitibooks.com/Detail/Detail?PublicationID=P20141027178</v>
      </c>
      <c r="K4352" s="13" t="str">
        <f>HYPERLINK("https://ntsu.idm.oclc.org/login?url=https://www.airitibooks.com/Detail/Detail?PublicationID=P20141027178", "https://ntsu.idm.oclc.org/login?url=https://www.airitibooks.com/Detail/Detail?PublicationID=P20141027178")</f>
        <v>https://ntsu.idm.oclc.org/login?url=https://www.airitibooks.com/Detail/Detail?PublicationID=P20141027178</v>
      </c>
    </row>
    <row r="4353" spans="1:11" ht="51" x14ac:dyDescent="0.4">
      <c r="A4353" s="10" t="s">
        <v>1612</v>
      </c>
      <c r="B4353" s="10" t="s">
        <v>1613</v>
      </c>
      <c r="C4353" s="10" t="s">
        <v>297</v>
      </c>
      <c r="D4353" s="10" t="s">
        <v>1614</v>
      </c>
      <c r="E4353" s="10" t="s">
        <v>70</v>
      </c>
      <c r="F4353" s="10" t="s">
        <v>299</v>
      </c>
      <c r="G4353" s="10" t="s">
        <v>23</v>
      </c>
      <c r="H4353" s="7" t="s">
        <v>24</v>
      </c>
      <c r="I4353" s="7" t="s">
        <v>25</v>
      </c>
      <c r="J4353" s="13" t="str">
        <f>HYPERLINK("https://www.airitibooks.com/Detail/Detail?PublicationID=P20141027191", "https://www.airitibooks.com/Detail/Detail?PublicationID=P20141027191")</f>
        <v>https://www.airitibooks.com/Detail/Detail?PublicationID=P20141027191</v>
      </c>
      <c r="K4353" s="13" t="str">
        <f>HYPERLINK("https://ntsu.idm.oclc.org/login?url=https://www.airitibooks.com/Detail/Detail?PublicationID=P20141027191", "https://ntsu.idm.oclc.org/login?url=https://www.airitibooks.com/Detail/Detail?PublicationID=P20141027191")</f>
        <v>https://ntsu.idm.oclc.org/login?url=https://www.airitibooks.com/Detail/Detail?PublicationID=P20141027191</v>
      </c>
    </row>
    <row r="4354" spans="1:11" ht="51" x14ac:dyDescent="0.4">
      <c r="A4354" s="10" t="s">
        <v>1619</v>
      </c>
      <c r="B4354" s="10" t="s">
        <v>1620</v>
      </c>
      <c r="C4354" s="10" t="s">
        <v>1203</v>
      </c>
      <c r="D4354" s="10" t="s">
        <v>1621</v>
      </c>
      <c r="E4354" s="10" t="s">
        <v>70</v>
      </c>
      <c r="F4354" s="10" t="s">
        <v>1622</v>
      </c>
      <c r="G4354" s="10" t="s">
        <v>23</v>
      </c>
      <c r="H4354" s="7" t="s">
        <v>24</v>
      </c>
      <c r="I4354" s="7" t="s">
        <v>25</v>
      </c>
      <c r="J4354" s="13" t="str">
        <f>HYPERLINK("https://www.airitibooks.com/Detail/Detail?PublicationID=P20141027196", "https://www.airitibooks.com/Detail/Detail?PublicationID=P20141027196")</f>
        <v>https://www.airitibooks.com/Detail/Detail?PublicationID=P20141027196</v>
      </c>
      <c r="K4354" s="13" t="str">
        <f>HYPERLINK("https://ntsu.idm.oclc.org/login?url=https://www.airitibooks.com/Detail/Detail?PublicationID=P20141027196", "https://ntsu.idm.oclc.org/login?url=https://www.airitibooks.com/Detail/Detail?PublicationID=P20141027196")</f>
        <v>https://ntsu.idm.oclc.org/login?url=https://www.airitibooks.com/Detail/Detail?PublicationID=P20141027196</v>
      </c>
    </row>
    <row r="4355" spans="1:11" ht="51" x14ac:dyDescent="0.4">
      <c r="A4355" s="10" t="s">
        <v>1626</v>
      </c>
      <c r="B4355" s="10" t="s">
        <v>1627</v>
      </c>
      <c r="C4355" s="10" t="s">
        <v>439</v>
      </c>
      <c r="D4355" s="10" t="s">
        <v>1628</v>
      </c>
      <c r="E4355" s="10" t="s">
        <v>70</v>
      </c>
      <c r="F4355" s="10" t="s">
        <v>441</v>
      </c>
      <c r="G4355" s="10" t="s">
        <v>23</v>
      </c>
      <c r="H4355" s="7" t="s">
        <v>24</v>
      </c>
      <c r="I4355" s="7" t="s">
        <v>25</v>
      </c>
      <c r="J4355" s="13" t="str">
        <f>HYPERLINK("https://www.airitibooks.com/Detail/Detail?PublicationID=P20141027205", "https://www.airitibooks.com/Detail/Detail?PublicationID=P20141027205")</f>
        <v>https://www.airitibooks.com/Detail/Detail?PublicationID=P20141027205</v>
      </c>
      <c r="K4355" s="13" t="str">
        <f>HYPERLINK("https://ntsu.idm.oclc.org/login?url=https://www.airitibooks.com/Detail/Detail?PublicationID=P20141027205", "https://ntsu.idm.oclc.org/login?url=https://www.airitibooks.com/Detail/Detail?PublicationID=P20141027205")</f>
        <v>https://ntsu.idm.oclc.org/login?url=https://www.airitibooks.com/Detail/Detail?PublicationID=P20141027205</v>
      </c>
    </row>
    <row r="4356" spans="1:11" ht="51" x14ac:dyDescent="0.4">
      <c r="A4356" s="10" t="s">
        <v>1643</v>
      </c>
      <c r="B4356" s="10" t="s">
        <v>1644</v>
      </c>
      <c r="C4356" s="10" t="s">
        <v>938</v>
      </c>
      <c r="D4356" s="10" t="s">
        <v>1645</v>
      </c>
      <c r="E4356" s="10" t="s">
        <v>70</v>
      </c>
      <c r="F4356" s="10" t="s">
        <v>1646</v>
      </c>
      <c r="G4356" s="10" t="s">
        <v>23</v>
      </c>
      <c r="H4356" s="7" t="s">
        <v>24</v>
      </c>
      <c r="I4356" s="7" t="s">
        <v>25</v>
      </c>
      <c r="J4356" s="13" t="str">
        <f>HYPERLINK("https://www.airitibooks.com/Detail/Detail?PublicationID=P20141027240", "https://www.airitibooks.com/Detail/Detail?PublicationID=P20141027240")</f>
        <v>https://www.airitibooks.com/Detail/Detail?PublicationID=P20141027240</v>
      </c>
      <c r="K4356" s="13" t="str">
        <f>HYPERLINK("https://ntsu.idm.oclc.org/login?url=https://www.airitibooks.com/Detail/Detail?PublicationID=P20141027240", "https://ntsu.idm.oclc.org/login?url=https://www.airitibooks.com/Detail/Detail?PublicationID=P20141027240")</f>
        <v>https://ntsu.idm.oclc.org/login?url=https://www.airitibooks.com/Detail/Detail?PublicationID=P20141027240</v>
      </c>
    </row>
    <row r="4357" spans="1:11" ht="51" x14ac:dyDescent="0.4">
      <c r="A4357" s="10" t="s">
        <v>1647</v>
      </c>
      <c r="B4357" s="10" t="s">
        <v>1648</v>
      </c>
      <c r="C4357" s="10" t="s">
        <v>938</v>
      </c>
      <c r="D4357" s="10" t="s">
        <v>1649</v>
      </c>
      <c r="E4357" s="10" t="s">
        <v>70</v>
      </c>
      <c r="F4357" s="10" t="s">
        <v>1646</v>
      </c>
      <c r="G4357" s="10" t="s">
        <v>23</v>
      </c>
      <c r="H4357" s="7" t="s">
        <v>24</v>
      </c>
      <c r="I4357" s="7" t="s">
        <v>25</v>
      </c>
      <c r="J4357" s="13" t="str">
        <f>HYPERLINK("https://www.airitibooks.com/Detail/Detail?PublicationID=P20141027243", "https://www.airitibooks.com/Detail/Detail?PublicationID=P20141027243")</f>
        <v>https://www.airitibooks.com/Detail/Detail?PublicationID=P20141027243</v>
      </c>
      <c r="K4357" s="13" t="str">
        <f>HYPERLINK("https://ntsu.idm.oclc.org/login?url=https://www.airitibooks.com/Detail/Detail?PublicationID=P20141027243", "https://ntsu.idm.oclc.org/login?url=https://www.airitibooks.com/Detail/Detail?PublicationID=P20141027243")</f>
        <v>https://ntsu.idm.oclc.org/login?url=https://www.airitibooks.com/Detail/Detail?PublicationID=P20141027243</v>
      </c>
    </row>
    <row r="4358" spans="1:11" ht="51" x14ac:dyDescent="0.4">
      <c r="A4358" s="10" t="s">
        <v>1687</v>
      </c>
      <c r="B4358" s="10" t="s">
        <v>1688</v>
      </c>
      <c r="C4358" s="10" t="s">
        <v>731</v>
      </c>
      <c r="D4358" s="10" t="s">
        <v>1689</v>
      </c>
      <c r="E4358" s="10" t="s">
        <v>70</v>
      </c>
      <c r="F4358" s="10" t="s">
        <v>1690</v>
      </c>
      <c r="G4358" s="10" t="s">
        <v>23</v>
      </c>
      <c r="H4358" s="7" t="s">
        <v>24</v>
      </c>
      <c r="I4358" s="7" t="s">
        <v>25</v>
      </c>
      <c r="J4358" s="13" t="str">
        <f>HYPERLINK("https://www.airitibooks.com/Detail/Detail?PublicationID=P20141117072", "https://www.airitibooks.com/Detail/Detail?PublicationID=P20141117072")</f>
        <v>https://www.airitibooks.com/Detail/Detail?PublicationID=P20141117072</v>
      </c>
      <c r="K4358" s="13" t="str">
        <f>HYPERLINK("https://ntsu.idm.oclc.org/login?url=https://www.airitibooks.com/Detail/Detail?PublicationID=P20141117072", "https://ntsu.idm.oclc.org/login?url=https://www.airitibooks.com/Detail/Detail?PublicationID=P20141117072")</f>
        <v>https://ntsu.idm.oclc.org/login?url=https://www.airitibooks.com/Detail/Detail?PublicationID=P20141117072</v>
      </c>
    </row>
    <row r="4359" spans="1:11" ht="51" x14ac:dyDescent="0.4">
      <c r="A4359" s="10" t="s">
        <v>1725</v>
      </c>
      <c r="B4359" s="10" t="s">
        <v>1726</v>
      </c>
      <c r="C4359" s="10" t="s">
        <v>1727</v>
      </c>
      <c r="D4359" s="10" t="s">
        <v>1728</v>
      </c>
      <c r="E4359" s="10" t="s">
        <v>70</v>
      </c>
      <c r="F4359" s="10" t="s">
        <v>250</v>
      </c>
      <c r="G4359" s="10" t="s">
        <v>23</v>
      </c>
      <c r="H4359" s="7" t="s">
        <v>24</v>
      </c>
      <c r="I4359" s="7" t="s">
        <v>25</v>
      </c>
      <c r="J4359" s="13" t="str">
        <f>HYPERLINK("https://www.airitibooks.com/Detail/Detail?PublicationID=P20141205114", "https://www.airitibooks.com/Detail/Detail?PublicationID=P20141205114")</f>
        <v>https://www.airitibooks.com/Detail/Detail?PublicationID=P20141205114</v>
      </c>
      <c r="K4359" s="13" t="str">
        <f>HYPERLINK("https://ntsu.idm.oclc.org/login?url=https://www.airitibooks.com/Detail/Detail?PublicationID=P20141205114", "https://ntsu.idm.oclc.org/login?url=https://www.airitibooks.com/Detail/Detail?PublicationID=P20141205114")</f>
        <v>https://ntsu.idm.oclc.org/login?url=https://www.airitibooks.com/Detail/Detail?PublicationID=P20141205114</v>
      </c>
    </row>
    <row r="4360" spans="1:11" ht="51" x14ac:dyDescent="0.4">
      <c r="A4360" s="10" t="s">
        <v>1796</v>
      </c>
      <c r="B4360" s="10" t="s">
        <v>1797</v>
      </c>
      <c r="C4360" s="10" t="s">
        <v>1727</v>
      </c>
      <c r="D4360" s="10" t="s">
        <v>1728</v>
      </c>
      <c r="E4360" s="10" t="s">
        <v>70</v>
      </c>
      <c r="F4360" s="10" t="s">
        <v>1798</v>
      </c>
      <c r="G4360" s="10" t="s">
        <v>23</v>
      </c>
      <c r="H4360" s="7" t="s">
        <v>24</v>
      </c>
      <c r="I4360" s="7" t="s">
        <v>25</v>
      </c>
      <c r="J4360" s="13" t="str">
        <f>HYPERLINK("https://www.airitibooks.com/Detail/Detail?PublicationID=P20141211201", "https://www.airitibooks.com/Detail/Detail?PublicationID=P20141211201")</f>
        <v>https://www.airitibooks.com/Detail/Detail?PublicationID=P20141211201</v>
      </c>
      <c r="K4360" s="13" t="str">
        <f>HYPERLINK("https://ntsu.idm.oclc.org/login?url=https://www.airitibooks.com/Detail/Detail?PublicationID=P20141211201", "https://ntsu.idm.oclc.org/login?url=https://www.airitibooks.com/Detail/Detail?PublicationID=P20141211201")</f>
        <v>https://ntsu.idm.oclc.org/login?url=https://www.airitibooks.com/Detail/Detail?PublicationID=P20141211201</v>
      </c>
    </row>
    <row r="4361" spans="1:11" ht="51" x14ac:dyDescent="0.4">
      <c r="A4361" s="10" t="s">
        <v>1809</v>
      </c>
      <c r="B4361" s="10" t="s">
        <v>1810</v>
      </c>
      <c r="C4361" s="10" t="s">
        <v>212</v>
      </c>
      <c r="D4361" s="10" t="s">
        <v>935</v>
      </c>
      <c r="E4361" s="10" t="s">
        <v>70</v>
      </c>
      <c r="F4361" s="10" t="s">
        <v>1127</v>
      </c>
      <c r="G4361" s="10" t="s">
        <v>23</v>
      </c>
      <c r="H4361" s="7" t="s">
        <v>24</v>
      </c>
      <c r="I4361" s="7" t="s">
        <v>25</v>
      </c>
      <c r="J4361" s="13" t="str">
        <f>HYPERLINK("https://www.airitibooks.com/Detail/Detail?PublicationID=P201501152159", "https://www.airitibooks.com/Detail/Detail?PublicationID=P201501152159")</f>
        <v>https://www.airitibooks.com/Detail/Detail?PublicationID=P201501152159</v>
      </c>
      <c r="K4361" s="13" t="str">
        <f>HYPERLINK("https://ntsu.idm.oclc.org/login?url=https://www.airitibooks.com/Detail/Detail?PublicationID=P201501152159", "https://ntsu.idm.oclc.org/login?url=https://www.airitibooks.com/Detail/Detail?PublicationID=P201501152159")</f>
        <v>https://ntsu.idm.oclc.org/login?url=https://www.airitibooks.com/Detail/Detail?PublicationID=P201501152159</v>
      </c>
    </row>
    <row r="4362" spans="1:11" ht="51" x14ac:dyDescent="0.4">
      <c r="A4362" s="10" t="s">
        <v>1811</v>
      </c>
      <c r="B4362" s="10" t="s">
        <v>1812</v>
      </c>
      <c r="C4362" s="10" t="s">
        <v>212</v>
      </c>
      <c r="D4362" s="10" t="s">
        <v>671</v>
      </c>
      <c r="E4362" s="10" t="s">
        <v>70</v>
      </c>
      <c r="F4362" s="10" t="s">
        <v>1122</v>
      </c>
      <c r="G4362" s="10" t="s">
        <v>23</v>
      </c>
      <c r="H4362" s="7" t="s">
        <v>24</v>
      </c>
      <c r="I4362" s="7" t="s">
        <v>25</v>
      </c>
      <c r="J4362" s="13" t="str">
        <f>HYPERLINK("https://www.airitibooks.com/Detail/Detail?PublicationID=P201501152160", "https://www.airitibooks.com/Detail/Detail?PublicationID=P201501152160")</f>
        <v>https://www.airitibooks.com/Detail/Detail?PublicationID=P201501152160</v>
      </c>
      <c r="K4362" s="13" t="str">
        <f>HYPERLINK("https://ntsu.idm.oclc.org/login?url=https://www.airitibooks.com/Detail/Detail?PublicationID=P201501152160", "https://ntsu.idm.oclc.org/login?url=https://www.airitibooks.com/Detail/Detail?PublicationID=P201501152160")</f>
        <v>https://ntsu.idm.oclc.org/login?url=https://www.airitibooks.com/Detail/Detail?PublicationID=P201501152160</v>
      </c>
    </row>
    <row r="4363" spans="1:11" ht="51" x14ac:dyDescent="0.4">
      <c r="A4363" s="10" t="s">
        <v>1841</v>
      </c>
      <c r="B4363" s="10" t="s">
        <v>1842</v>
      </c>
      <c r="C4363" s="10" t="s">
        <v>384</v>
      </c>
      <c r="D4363" s="10" t="s">
        <v>1843</v>
      </c>
      <c r="E4363" s="10" t="s">
        <v>70</v>
      </c>
      <c r="F4363" s="10" t="s">
        <v>1844</v>
      </c>
      <c r="G4363" s="10" t="s">
        <v>23</v>
      </c>
      <c r="H4363" s="7" t="s">
        <v>24</v>
      </c>
      <c r="I4363" s="7" t="s">
        <v>25</v>
      </c>
      <c r="J4363" s="13" t="str">
        <f>HYPERLINK("https://www.airitibooks.com/Detail/Detail?PublicationID=P201501152217", "https://www.airitibooks.com/Detail/Detail?PublicationID=P201501152217")</f>
        <v>https://www.airitibooks.com/Detail/Detail?PublicationID=P201501152217</v>
      </c>
      <c r="K4363" s="13" t="str">
        <f>HYPERLINK("https://ntsu.idm.oclc.org/login?url=https://www.airitibooks.com/Detail/Detail?PublicationID=P201501152217", "https://ntsu.idm.oclc.org/login?url=https://www.airitibooks.com/Detail/Detail?PublicationID=P201501152217")</f>
        <v>https://ntsu.idm.oclc.org/login?url=https://www.airitibooks.com/Detail/Detail?PublicationID=P201501152217</v>
      </c>
    </row>
    <row r="4364" spans="1:11" ht="51" x14ac:dyDescent="0.4">
      <c r="A4364" s="10" t="s">
        <v>1845</v>
      </c>
      <c r="B4364" s="10" t="s">
        <v>1846</v>
      </c>
      <c r="C4364" s="10" t="s">
        <v>384</v>
      </c>
      <c r="D4364" s="10" t="s">
        <v>1843</v>
      </c>
      <c r="E4364" s="10" t="s">
        <v>70</v>
      </c>
      <c r="F4364" s="10" t="s">
        <v>1844</v>
      </c>
      <c r="G4364" s="10" t="s">
        <v>23</v>
      </c>
      <c r="H4364" s="7" t="s">
        <v>24</v>
      </c>
      <c r="I4364" s="7" t="s">
        <v>25</v>
      </c>
      <c r="J4364" s="13" t="str">
        <f>HYPERLINK("https://www.airitibooks.com/Detail/Detail?PublicationID=P201501152218", "https://www.airitibooks.com/Detail/Detail?PublicationID=P201501152218")</f>
        <v>https://www.airitibooks.com/Detail/Detail?PublicationID=P201501152218</v>
      </c>
      <c r="K4364" s="13" t="str">
        <f>HYPERLINK("https://ntsu.idm.oclc.org/login?url=https://www.airitibooks.com/Detail/Detail?PublicationID=P201501152218", "https://ntsu.idm.oclc.org/login?url=https://www.airitibooks.com/Detail/Detail?PublicationID=P201501152218")</f>
        <v>https://ntsu.idm.oclc.org/login?url=https://www.airitibooks.com/Detail/Detail?PublicationID=P201501152218</v>
      </c>
    </row>
    <row r="4365" spans="1:11" ht="51" x14ac:dyDescent="0.4">
      <c r="A4365" s="10" t="s">
        <v>1847</v>
      </c>
      <c r="B4365" s="10" t="s">
        <v>1848</v>
      </c>
      <c r="C4365" s="10" t="s">
        <v>384</v>
      </c>
      <c r="D4365" s="10" t="s">
        <v>1849</v>
      </c>
      <c r="E4365" s="10" t="s">
        <v>70</v>
      </c>
      <c r="F4365" s="10" t="s">
        <v>1844</v>
      </c>
      <c r="G4365" s="10" t="s">
        <v>23</v>
      </c>
      <c r="H4365" s="7" t="s">
        <v>24</v>
      </c>
      <c r="I4365" s="7" t="s">
        <v>25</v>
      </c>
      <c r="J4365" s="13" t="str">
        <f>HYPERLINK("https://www.airitibooks.com/Detail/Detail?PublicationID=P201501152219", "https://www.airitibooks.com/Detail/Detail?PublicationID=P201501152219")</f>
        <v>https://www.airitibooks.com/Detail/Detail?PublicationID=P201501152219</v>
      </c>
      <c r="K4365" s="13" t="str">
        <f>HYPERLINK("https://ntsu.idm.oclc.org/login?url=https://www.airitibooks.com/Detail/Detail?PublicationID=P201501152219", "https://ntsu.idm.oclc.org/login?url=https://www.airitibooks.com/Detail/Detail?PublicationID=P201501152219")</f>
        <v>https://ntsu.idm.oclc.org/login?url=https://www.airitibooks.com/Detail/Detail?PublicationID=P201501152219</v>
      </c>
    </row>
    <row r="4366" spans="1:11" ht="51" x14ac:dyDescent="0.4">
      <c r="A4366" s="10" t="s">
        <v>1850</v>
      </c>
      <c r="B4366" s="10" t="s">
        <v>1851</v>
      </c>
      <c r="C4366" s="10" t="s">
        <v>384</v>
      </c>
      <c r="D4366" s="10" t="s">
        <v>1852</v>
      </c>
      <c r="E4366" s="10" t="s">
        <v>70</v>
      </c>
      <c r="F4366" s="10" t="s">
        <v>1853</v>
      </c>
      <c r="G4366" s="10" t="s">
        <v>23</v>
      </c>
      <c r="H4366" s="7" t="s">
        <v>24</v>
      </c>
      <c r="I4366" s="7" t="s">
        <v>25</v>
      </c>
      <c r="J4366" s="13" t="str">
        <f>HYPERLINK("https://www.airitibooks.com/Detail/Detail?PublicationID=P201501152220", "https://www.airitibooks.com/Detail/Detail?PublicationID=P201501152220")</f>
        <v>https://www.airitibooks.com/Detail/Detail?PublicationID=P201501152220</v>
      </c>
      <c r="K4366" s="13" t="str">
        <f>HYPERLINK("https://ntsu.idm.oclc.org/login?url=https://www.airitibooks.com/Detail/Detail?PublicationID=P201501152220", "https://ntsu.idm.oclc.org/login?url=https://www.airitibooks.com/Detail/Detail?PublicationID=P201501152220")</f>
        <v>https://ntsu.idm.oclc.org/login?url=https://www.airitibooks.com/Detail/Detail?PublicationID=P201501152220</v>
      </c>
    </row>
    <row r="4367" spans="1:11" ht="51" x14ac:dyDescent="0.4">
      <c r="A4367" s="10" t="s">
        <v>1854</v>
      </c>
      <c r="B4367" s="10" t="s">
        <v>1855</v>
      </c>
      <c r="C4367" s="10" t="s">
        <v>371</v>
      </c>
      <c r="D4367" s="10" t="s">
        <v>372</v>
      </c>
      <c r="E4367" s="10" t="s">
        <v>70</v>
      </c>
      <c r="F4367" s="10" t="s">
        <v>1856</v>
      </c>
      <c r="G4367" s="10" t="s">
        <v>23</v>
      </c>
      <c r="H4367" s="7" t="s">
        <v>24</v>
      </c>
      <c r="I4367" s="7" t="s">
        <v>25</v>
      </c>
      <c r="J4367" s="13" t="str">
        <f>HYPERLINK("https://www.airitibooks.com/Detail/Detail?PublicationID=P201501152334", "https://www.airitibooks.com/Detail/Detail?PublicationID=P201501152334")</f>
        <v>https://www.airitibooks.com/Detail/Detail?PublicationID=P201501152334</v>
      </c>
      <c r="K4367" s="13" t="str">
        <f>HYPERLINK("https://ntsu.idm.oclc.org/login?url=https://www.airitibooks.com/Detail/Detail?PublicationID=P201501152334", "https://ntsu.idm.oclc.org/login?url=https://www.airitibooks.com/Detail/Detail?PublicationID=P201501152334")</f>
        <v>https://ntsu.idm.oclc.org/login?url=https://www.airitibooks.com/Detail/Detail?PublicationID=P201501152334</v>
      </c>
    </row>
    <row r="4368" spans="1:11" ht="51" x14ac:dyDescent="0.4">
      <c r="A4368" s="10" t="s">
        <v>1857</v>
      </c>
      <c r="B4368" s="10" t="s">
        <v>1858</v>
      </c>
      <c r="C4368" s="10" t="s">
        <v>371</v>
      </c>
      <c r="D4368" s="10" t="s">
        <v>372</v>
      </c>
      <c r="E4368" s="10" t="s">
        <v>70</v>
      </c>
      <c r="F4368" s="10" t="s">
        <v>1856</v>
      </c>
      <c r="G4368" s="10" t="s">
        <v>23</v>
      </c>
      <c r="H4368" s="7" t="s">
        <v>24</v>
      </c>
      <c r="I4368" s="7" t="s">
        <v>25</v>
      </c>
      <c r="J4368" s="13" t="str">
        <f>HYPERLINK("https://www.airitibooks.com/Detail/Detail?PublicationID=P201501152335", "https://www.airitibooks.com/Detail/Detail?PublicationID=P201501152335")</f>
        <v>https://www.airitibooks.com/Detail/Detail?PublicationID=P201501152335</v>
      </c>
      <c r="K4368" s="13" t="str">
        <f>HYPERLINK("https://ntsu.idm.oclc.org/login?url=https://www.airitibooks.com/Detail/Detail?PublicationID=P201501152335", "https://ntsu.idm.oclc.org/login?url=https://www.airitibooks.com/Detail/Detail?PublicationID=P201501152335")</f>
        <v>https://ntsu.idm.oclc.org/login?url=https://www.airitibooks.com/Detail/Detail?PublicationID=P201501152335</v>
      </c>
    </row>
    <row r="4369" spans="1:11" ht="51" x14ac:dyDescent="0.4">
      <c r="A4369" s="10" t="s">
        <v>1859</v>
      </c>
      <c r="B4369" s="10" t="s">
        <v>1860</v>
      </c>
      <c r="C4369" s="10" t="s">
        <v>371</v>
      </c>
      <c r="D4369" s="10" t="s">
        <v>372</v>
      </c>
      <c r="E4369" s="10" t="s">
        <v>70</v>
      </c>
      <c r="F4369" s="10" t="s">
        <v>1856</v>
      </c>
      <c r="G4369" s="10" t="s">
        <v>23</v>
      </c>
      <c r="H4369" s="7" t="s">
        <v>24</v>
      </c>
      <c r="I4369" s="7" t="s">
        <v>25</v>
      </c>
      <c r="J4369" s="13" t="str">
        <f>HYPERLINK("https://www.airitibooks.com/Detail/Detail?PublicationID=P201501152336", "https://www.airitibooks.com/Detail/Detail?PublicationID=P201501152336")</f>
        <v>https://www.airitibooks.com/Detail/Detail?PublicationID=P201501152336</v>
      </c>
      <c r="K4369" s="13" t="str">
        <f>HYPERLINK("https://ntsu.idm.oclc.org/login?url=https://www.airitibooks.com/Detail/Detail?PublicationID=P201501152336", "https://ntsu.idm.oclc.org/login?url=https://www.airitibooks.com/Detail/Detail?PublicationID=P201501152336")</f>
        <v>https://ntsu.idm.oclc.org/login?url=https://www.airitibooks.com/Detail/Detail?PublicationID=P201501152336</v>
      </c>
    </row>
    <row r="4370" spans="1:11" ht="51" x14ac:dyDescent="0.4">
      <c r="A4370" s="10" t="s">
        <v>1869</v>
      </c>
      <c r="B4370" s="10" t="s">
        <v>1870</v>
      </c>
      <c r="C4370" s="10" t="s">
        <v>544</v>
      </c>
      <c r="D4370" s="10" t="s">
        <v>1871</v>
      </c>
      <c r="E4370" s="10" t="s">
        <v>70</v>
      </c>
      <c r="F4370" s="10" t="s">
        <v>1872</v>
      </c>
      <c r="G4370" s="10" t="s">
        <v>23</v>
      </c>
      <c r="H4370" s="7" t="s">
        <v>24</v>
      </c>
      <c r="I4370" s="7" t="s">
        <v>25</v>
      </c>
      <c r="J4370" s="13" t="str">
        <f>HYPERLINK("https://www.airitibooks.com/Detail/Detail?PublicationID=P20150122035", "https://www.airitibooks.com/Detail/Detail?PublicationID=P20150122035")</f>
        <v>https://www.airitibooks.com/Detail/Detail?PublicationID=P20150122035</v>
      </c>
      <c r="K4370" s="13" t="str">
        <f>HYPERLINK("https://ntsu.idm.oclc.org/login?url=https://www.airitibooks.com/Detail/Detail?PublicationID=P20150122035", "https://ntsu.idm.oclc.org/login?url=https://www.airitibooks.com/Detail/Detail?PublicationID=P20150122035")</f>
        <v>https://ntsu.idm.oclc.org/login?url=https://www.airitibooks.com/Detail/Detail?PublicationID=P20150122035</v>
      </c>
    </row>
    <row r="4371" spans="1:11" ht="51" x14ac:dyDescent="0.4">
      <c r="A4371" s="10" t="s">
        <v>1877</v>
      </c>
      <c r="B4371" s="10" t="s">
        <v>1878</v>
      </c>
      <c r="C4371" s="10" t="s">
        <v>544</v>
      </c>
      <c r="D4371" s="10" t="s">
        <v>1879</v>
      </c>
      <c r="E4371" s="10" t="s">
        <v>70</v>
      </c>
      <c r="F4371" s="10" t="s">
        <v>1880</v>
      </c>
      <c r="G4371" s="10" t="s">
        <v>23</v>
      </c>
      <c r="H4371" s="7" t="s">
        <v>24</v>
      </c>
      <c r="I4371" s="7" t="s">
        <v>25</v>
      </c>
      <c r="J4371" s="13" t="str">
        <f>HYPERLINK("https://www.airitibooks.com/Detail/Detail?PublicationID=P20150122063", "https://www.airitibooks.com/Detail/Detail?PublicationID=P20150122063")</f>
        <v>https://www.airitibooks.com/Detail/Detail?PublicationID=P20150122063</v>
      </c>
      <c r="K4371" s="13" t="str">
        <f>HYPERLINK("https://ntsu.idm.oclc.org/login?url=https://www.airitibooks.com/Detail/Detail?PublicationID=P20150122063", "https://ntsu.idm.oclc.org/login?url=https://www.airitibooks.com/Detail/Detail?PublicationID=P20150122063")</f>
        <v>https://ntsu.idm.oclc.org/login?url=https://www.airitibooks.com/Detail/Detail?PublicationID=P20150122063</v>
      </c>
    </row>
    <row r="4372" spans="1:11" ht="51" x14ac:dyDescent="0.4">
      <c r="A4372" s="10" t="s">
        <v>1885</v>
      </c>
      <c r="B4372" s="10" t="s">
        <v>1886</v>
      </c>
      <c r="C4372" s="10" t="s">
        <v>544</v>
      </c>
      <c r="D4372" s="10" t="s">
        <v>1887</v>
      </c>
      <c r="E4372" s="10" t="s">
        <v>70</v>
      </c>
      <c r="F4372" s="10" t="s">
        <v>1888</v>
      </c>
      <c r="G4372" s="10" t="s">
        <v>23</v>
      </c>
      <c r="H4372" s="7" t="s">
        <v>24</v>
      </c>
      <c r="I4372" s="7" t="s">
        <v>25</v>
      </c>
      <c r="J4372" s="13" t="str">
        <f>HYPERLINK("https://www.airitibooks.com/Detail/Detail?PublicationID=P20150122089", "https://www.airitibooks.com/Detail/Detail?PublicationID=P20150122089")</f>
        <v>https://www.airitibooks.com/Detail/Detail?PublicationID=P20150122089</v>
      </c>
      <c r="K4372" s="13" t="str">
        <f>HYPERLINK("https://ntsu.idm.oclc.org/login?url=https://www.airitibooks.com/Detail/Detail?PublicationID=P20150122089", "https://ntsu.idm.oclc.org/login?url=https://www.airitibooks.com/Detail/Detail?PublicationID=P20150122089")</f>
        <v>https://ntsu.idm.oclc.org/login?url=https://www.airitibooks.com/Detail/Detail?PublicationID=P20150122089</v>
      </c>
    </row>
    <row r="4373" spans="1:11" ht="51" x14ac:dyDescent="0.4">
      <c r="A4373" s="10" t="s">
        <v>1904</v>
      </c>
      <c r="B4373" s="10" t="s">
        <v>1905</v>
      </c>
      <c r="C4373" s="10" t="s">
        <v>108</v>
      </c>
      <c r="D4373" s="10" t="s">
        <v>1906</v>
      </c>
      <c r="E4373" s="10" t="s">
        <v>70</v>
      </c>
      <c r="F4373" s="10" t="s">
        <v>250</v>
      </c>
      <c r="G4373" s="10" t="s">
        <v>23</v>
      </c>
      <c r="H4373" s="7" t="s">
        <v>24</v>
      </c>
      <c r="I4373" s="7" t="s">
        <v>25</v>
      </c>
      <c r="J4373" s="13" t="str">
        <f>HYPERLINK("https://www.airitibooks.com/Detail/Detail?PublicationID=P20150205007", "https://www.airitibooks.com/Detail/Detail?PublicationID=P20150205007")</f>
        <v>https://www.airitibooks.com/Detail/Detail?PublicationID=P20150205007</v>
      </c>
      <c r="K4373" s="13" t="str">
        <f>HYPERLINK("https://ntsu.idm.oclc.org/login?url=https://www.airitibooks.com/Detail/Detail?PublicationID=P20150205007", "https://ntsu.idm.oclc.org/login?url=https://www.airitibooks.com/Detail/Detail?PublicationID=P20150205007")</f>
        <v>https://ntsu.idm.oclc.org/login?url=https://www.airitibooks.com/Detail/Detail?PublicationID=P20150205007</v>
      </c>
    </row>
    <row r="4374" spans="1:11" ht="51" x14ac:dyDescent="0.4">
      <c r="A4374" s="10" t="s">
        <v>1914</v>
      </c>
      <c r="B4374" s="10" t="s">
        <v>1915</v>
      </c>
      <c r="C4374" s="10" t="s">
        <v>108</v>
      </c>
      <c r="D4374" s="10" t="s">
        <v>1916</v>
      </c>
      <c r="E4374" s="10" t="s">
        <v>70</v>
      </c>
      <c r="F4374" s="10" t="s">
        <v>1917</v>
      </c>
      <c r="G4374" s="10" t="s">
        <v>23</v>
      </c>
      <c r="H4374" s="7" t="s">
        <v>24</v>
      </c>
      <c r="I4374" s="7" t="s">
        <v>25</v>
      </c>
      <c r="J4374" s="13" t="str">
        <f>HYPERLINK("https://www.airitibooks.com/Detail/Detail?PublicationID=P20150205011", "https://www.airitibooks.com/Detail/Detail?PublicationID=P20150205011")</f>
        <v>https://www.airitibooks.com/Detail/Detail?PublicationID=P20150205011</v>
      </c>
      <c r="K4374" s="13" t="str">
        <f>HYPERLINK("https://ntsu.idm.oclc.org/login?url=https://www.airitibooks.com/Detail/Detail?PublicationID=P20150205011", "https://ntsu.idm.oclc.org/login?url=https://www.airitibooks.com/Detail/Detail?PublicationID=P20150205011")</f>
        <v>https://ntsu.idm.oclc.org/login?url=https://www.airitibooks.com/Detail/Detail?PublicationID=P20150205011</v>
      </c>
    </row>
    <row r="4375" spans="1:11" ht="51" x14ac:dyDescent="0.4">
      <c r="A4375" s="10" t="s">
        <v>1968</v>
      </c>
      <c r="B4375" s="10" t="s">
        <v>1969</v>
      </c>
      <c r="C4375" s="10" t="s">
        <v>1966</v>
      </c>
      <c r="D4375" s="10" t="s">
        <v>1970</v>
      </c>
      <c r="E4375" s="10" t="s">
        <v>70</v>
      </c>
      <c r="F4375" s="10" t="s">
        <v>762</v>
      </c>
      <c r="G4375" s="10" t="s">
        <v>23</v>
      </c>
      <c r="H4375" s="7" t="s">
        <v>24</v>
      </c>
      <c r="I4375" s="7" t="s">
        <v>25</v>
      </c>
      <c r="J4375" s="13" t="str">
        <f>HYPERLINK("https://www.airitibooks.com/Detail/Detail?PublicationID=P20150206043", "https://www.airitibooks.com/Detail/Detail?PublicationID=P20150206043")</f>
        <v>https://www.airitibooks.com/Detail/Detail?PublicationID=P20150206043</v>
      </c>
      <c r="K4375" s="13" t="str">
        <f>HYPERLINK("https://ntsu.idm.oclc.org/login?url=https://www.airitibooks.com/Detail/Detail?PublicationID=P20150206043", "https://ntsu.idm.oclc.org/login?url=https://www.airitibooks.com/Detail/Detail?PublicationID=P20150206043")</f>
        <v>https://ntsu.idm.oclc.org/login?url=https://www.airitibooks.com/Detail/Detail?PublicationID=P20150206043</v>
      </c>
    </row>
    <row r="4376" spans="1:11" ht="51" x14ac:dyDescent="0.4">
      <c r="A4376" s="10" t="s">
        <v>1971</v>
      </c>
      <c r="B4376" s="10" t="s">
        <v>1972</v>
      </c>
      <c r="C4376" s="10" t="s">
        <v>1966</v>
      </c>
      <c r="D4376" s="10" t="s">
        <v>1973</v>
      </c>
      <c r="E4376" s="10" t="s">
        <v>70</v>
      </c>
      <c r="F4376" s="10" t="s">
        <v>762</v>
      </c>
      <c r="G4376" s="10" t="s">
        <v>23</v>
      </c>
      <c r="H4376" s="7" t="s">
        <v>24</v>
      </c>
      <c r="I4376" s="7" t="s">
        <v>25</v>
      </c>
      <c r="J4376" s="13" t="str">
        <f>HYPERLINK("https://www.airitibooks.com/Detail/Detail?PublicationID=P20150206044", "https://www.airitibooks.com/Detail/Detail?PublicationID=P20150206044")</f>
        <v>https://www.airitibooks.com/Detail/Detail?PublicationID=P20150206044</v>
      </c>
      <c r="K4376" s="13" t="str">
        <f>HYPERLINK("https://ntsu.idm.oclc.org/login?url=https://www.airitibooks.com/Detail/Detail?PublicationID=P20150206044", "https://ntsu.idm.oclc.org/login?url=https://www.airitibooks.com/Detail/Detail?PublicationID=P20150206044")</f>
        <v>https://ntsu.idm.oclc.org/login?url=https://www.airitibooks.com/Detail/Detail?PublicationID=P20150206044</v>
      </c>
    </row>
    <row r="4377" spans="1:11" ht="51" x14ac:dyDescent="0.4">
      <c r="A4377" s="10" t="s">
        <v>1974</v>
      </c>
      <c r="B4377" s="10" t="s">
        <v>1975</v>
      </c>
      <c r="C4377" s="10" t="s">
        <v>1966</v>
      </c>
      <c r="D4377" s="10" t="s">
        <v>1976</v>
      </c>
      <c r="E4377" s="10" t="s">
        <v>70</v>
      </c>
      <c r="F4377" s="10" t="s">
        <v>762</v>
      </c>
      <c r="G4377" s="10" t="s">
        <v>23</v>
      </c>
      <c r="H4377" s="7" t="s">
        <v>24</v>
      </c>
      <c r="I4377" s="7" t="s">
        <v>25</v>
      </c>
      <c r="J4377" s="13" t="str">
        <f>HYPERLINK("https://www.airitibooks.com/Detail/Detail?PublicationID=P20150206045", "https://www.airitibooks.com/Detail/Detail?PublicationID=P20150206045")</f>
        <v>https://www.airitibooks.com/Detail/Detail?PublicationID=P20150206045</v>
      </c>
      <c r="K4377" s="13" t="str">
        <f>HYPERLINK("https://ntsu.idm.oclc.org/login?url=https://www.airitibooks.com/Detail/Detail?PublicationID=P20150206045", "https://ntsu.idm.oclc.org/login?url=https://www.airitibooks.com/Detail/Detail?PublicationID=P20150206045")</f>
        <v>https://ntsu.idm.oclc.org/login?url=https://www.airitibooks.com/Detail/Detail?PublicationID=P20150206045</v>
      </c>
    </row>
    <row r="4378" spans="1:11" ht="51" x14ac:dyDescent="0.4">
      <c r="A4378" s="10" t="s">
        <v>1984</v>
      </c>
      <c r="B4378" s="10" t="s">
        <v>1985</v>
      </c>
      <c r="C4378" s="10" t="s">
        <v>1986</v>
      </c>
      <c r="D4378" s="10" t="s">
        <v>1987</v>
      </c>
      <c r="E4378" s="10" t="s">
        <v>70</v>
      </c>
      <c r="F4378" s="10" t="s">
        <v>720</v>
      </c>
      <c r="G4378" s="10" t="s">
        <v>23</v>
      </c>
      <c r="H4378" s="7" t="s">
        <v>24</v>
      </c>
      <c r="I4378" s="7" t="s">
        <v>25</v>
      </c>
      <c r="J4378" s="13" t="str">
        <f>HYPERLINK("https://www.airitibooks.com/Detail/Detail?PublicationID=P20150211017", "https://www.airitibooks.com/Detail/Detail?PublicationID=P20150211017")</f>
        <v>https://www.airitibooks.com/Detail/Detail?PublicationID=P20150211017</v>
      </c>
      <c r="K4378" s="13" t="str">
        <f>HYPERLINK("https://ntsu.idm.oclc.org/login?url=https://www.airitibooks.com/Detail/Detail?PublicationID=P20150211017", "https://ntsu.idm.oclc.org/login?url=https://www.airitibooks.com/Detail/Detail?PublicationID=P20150211017")</f>
        <v>https://ntsu.idm.oclc.org/login?url=https://www.airitibooks.com/Detail/Detail?PublicationID=P20150211017</v>
      </c>
    </row>
    <row r="4379" spans="1:11" ht="51" x14ac:dyDescent="0.4">
      <c r="A4379" s="10" t="s">
        <v>1988</v>
      </c>
      <c r="B4379" s="10" t="s">
        <v>1989</v>
      </c>
      <c r="C4379" s="10" t="s">
        <v>1986</v>
      </c>
      <c r="D4379" s="10" t="s">
        <v>1990</v>
      </c>
      <c r="E4379" s="10" t="s">
        <v>70</v>
      </c>
      <c r="F4379" s="10" t="s">
        <v>214</v>
      </c>
      <c r="G4379" s="10" t="s">
        <v>23</v>
      </c>
      <c r="H4379" s="7" t="s">
        <v>24</v>
      </c>
      <c r="I4379" s="7" t="s">
        <v>25</v>
      </c>
      <c r="J4379" s="13" t="str">
        <f>HYPERLINK("https://www.airitibooks.com/Detail/Detail?PublicationID=P20150211018", "https://www.airitibooks.com/Detail/Detail?PublicationID=P20150211018")</f>
        <v>https://www.airitibooks.com/Detail/Detail?PublicationID=P20150211018</v>
      </c>
      <c r="K4379" s="13" t="str">
        <f>HYPERLINK("https://ntsu.idm.oclc.org/login?url=https://www.airitibooks.com/Detail/Detail?PublicationID=P20150211018", "https://ntsu.idm.oclc.org/login?url=https://www.airitibooks.com/Detail/Detail?PublicationID=P20150211018")</f>
        <v>https://ntsu.idm.oclc.org/login?url=https://www.airitibooks.com/Detail/Detail?PublicationID=P20150211018</v>
      </c>
    </row>
    <row r="4380" spans="1:11" ht="51" x14ac:dyDescent="0.4">
      <c r="A4380" s="10" t="s">
        <v>1991</v>
      </c>
      <c r="B4380" s="10" t="s">
        <v>1992</v>
      </c>
      <c r="C4380" s="10" t="s">
        <v>1484</v>
      </c>
      <c r="D4380" s="10" t="s">
        <v>1993</v>
      </c>
      <c r="E4380" s="10" t="s">
        <v>70</v>
      </c>
      <c r="F4380" s="10" t="s">
        <v>1994</v>
      </c>
      <c r="G4380" s="10" t="s">
        <v>23</v>
      </c>
      <c r="H4380" s="7" t="s">
        <v>24</v>
      </c>
      <c r="I4380" s="7" t="s">
        <v>25</v>
      </c>
      <c r="J4380" s="13" t="str">
        <f>HYPERLINK("https://www.airitibooks.com/Detail/Detail?PublicationID=P20150211019", "https://www.airitibooks.com/Detail/Detail?PublicationID=P20150211019")</f>
        <v>https://www.airitibooks.com/Detail/Detail?PublicationID=P20150211019</v>
      </c>
      <c r="K4380" s="13" t="str">
        <f>HYPERLINK("https://ntsu.idm.oclc.org/login?url=https://www.airitibooks.com/Detail/Detail?PublicationID=P20150211019", "https://ntsu.idm.oclc.org/login?url=https://www.airitibooks.com/Detail/Detail?PublicationID=P20150211019")</f>
        <v>https://ntsu.idm.oclc.org/login?url=https://www.airitibooks.com/Detail/Detail?PublicationID=P20150211019</v>
      </c>
    </row>
    <row r="4381" spans="1:11" ht="51" x14ac:dyDescent="0.4">
      <c r="A4381" s="10" t="s">
        <v>2015</v>
      </c>
      <c r="B4381" s="10" t="s">
        <v>2016</v>
      </c>
      <c r="C4381" s="10" t="s">
        <v>938</v>
      </c>
      <c r="D4381" s="10" t="s">
        <v>2017</v>
      </c>
      <c r="E4381" s="10" t="s">
        <v>70</v>
      </c>
      <c r="F4381" s="10" t="s">
        <v>565</v>
      </c>
      <c r="G4381" s="10" t="s">
        <v>23</v>
      </c>
      <c r="H4381" s="7" t="s">
        <v>24</v>
      </c>
      <c r="I4381" s="7" t="s">
        <v>25</v>
      </c>
      <c r="J4381" s="13" t="str">
        <f>HYPERLINK("https://www.airitibooks.com/Detail/Detail?PublicationID=P20150213108", "https://www.airitibooks.com/Detail/Detail?PublicationID=P20150213108")</f>
        <v>https://www.airitibooks.com/Detail/Detail?PublicationID=P20150213108</v>
      </c>
      <c r="K4381" s="13" t="str">
        <f>HYPERLINK("https://ntsu.idm.oclc.org/login?url=https://www.airitibooks.com/Detail/Detail?PublicationID=P20150213108", "https://ntsu.idm.oclc.org/login?url=https://www.airitibooks.com/Detail/Detail?PublicationID=P20150213108")</f>
        <v>https://ntsu.idm.oclc.org/login?url=https://www.airitibooks.com/Detail/Detail?PublicationID=P20150213108</v>
      </c>
    </row>
    <row r="4382" spans="1:11" ht="51" x14ac:dyDescent="0.4">
      <c r="A4382" s="10" t="s">
        <v>2140</v>
      </c>
      <c r="B4382" s="10" t="s">
        <v>2141</v>
      </c>
      <c r="C4382" s="10" t="s">
        <v>938</v>
      </c>
      <c r="D4382" s="10" t="s">
        <v>2142</v>
      </c>
      <c r="E4382" s="10" t="s">
        <v>70</v>
      </c>
      <c r="F4382" s="10" t="s">
        <v>2143</v>
      </c>
      <c r="G4382" s="10" t="s">
        <v>23</v>
      </c>
      <c r="H4382" s="7" t="s">
        <v>24</v>
      </c>
      <c r="I4382" s="7" t="s">
        <v>25</v>
      </c>
      <c r="J4382" s="13" t="str">
        <f>HYPERLINK("https://www.airitibooks.com/Detail/Detail?PublicationID=P20150310030", "https://www.airitibooks.com/Detail/Detail?PublicationID=P20150310030")</f>
        <v>https://www.airitibooks.com/Detail/Detail?PublicationID=P20150310030</v>
      </c>
      <c r="K4382" s="13" t="str">
        <f>HYPERLINK("https://ntsu.idm.oclc.org/login?url=https://www.airitibooks.com/Detail/Detail?PublicationID=P20150310030", "https://ntsu.idm.oclc.org/login?url=https://www.airitibooks.com/Detail/Detail?PublicationID=P20150310030")</f>
        <v>https://ntsu.idm.oclc.org/login?url=https://www.airitibooks.com/Detail/Detail?PublicationID=P20150310030</v>
      </c>
    </row>
    <row r="4383" spans="1:11" ht="51" x14ac:dyDescent="0.4">
      <c r="A4383" s="10" t="s">
        <v>2261</v>
      </c>
      <c r="B4383" s="10" t="s">
        <v>2262</v>
      </c>
      <c r="C4383" s="10" t="s">
        <v>108</v>
      </c>
      <c r="D4383" s="10" t="s">
        <v>2263</v>
      </c>
      <c r="E4383" s="10" t="s">
        <v>70</v>
      </c>
      <c r="F4383" s="10" t="s">
        <v>1227</v>
      </c>
      <c r="G4383" s="10" t="s">
        <v>23</v>
      </c>
      <c r="H4383" s="7" t="s">
        <v>24</v>
      </c>
      <c r="I4383" s="7" t="s">
        <v>25</v>
      </c>
      <c r="J4383" s="13" t="str">
        <f>HYPERLINK("https://www.airitibooks.com/Detail/Detail?PublicationID=P20150319013", "https://www.airitibooks.com/Detail/Detail?PublicationID=P20150319013")</f>
        <v>https://www.airitibooks.com/Detail/Detail?PublicationID=P20150319013</v>
      </c>
      <c r="K4383" s="13" t="str">
        <f>HYPERLINK("https://ntsu.idm.oclc.org/login?url=https://www.airitibooks.com/Detail/Detail?PublicationID=P20150319013", "https://ntsu.idm.oclc.org/login?url=https://www.airitibooks.com/Detail/Detail?PublicationID=P20150319013")</f>
        <v>https://ntsu.idm.oclc.org/login?url=https://www.airitibooks.com/Detail/Detail?PublicationID=P20150319013</v>
      </c>
    </row>
    <row r="4384" spans="1:11" ht="51" x14ac:dyDescent="0.4">
      <c r="A4384" s="10" t="s">
        <v>2336</v>
      </c>
      <c r="B4384" s="10" t="s">
        <v>2337</v>
      </c>
      <c r="C4384" s="10" t="s">
        <v>1059</v>
      </c>
      <c r="D4384" s="10" t="s">
        <v>1060</v>
      </c>
      <c r="E4384" s="10" t="s">
        <v>70</v>
      </c>
      <c r="F4384" s="10" t="s">
        <v>762</v>
      </c>
      <c r="G4384" s="10" t="s">
        <v>23</v>
      </c>
      <c r="H4384" s="7" t="s">
        <v>24</v>
      </c>
      <c r="I4384" s="7" t="s">
        <v>25</v>
      </c>
      <c r="J4384" s="13" t="str">
        <f>HYPERLINK("https://www.airitibooks.com/Detail/Detail?PublicationID=P20150410042", "https://www.airitibooks.com/Detail/Detail?PublicationID=P20150410042")</f>
        <v>https://www.airitibooks.com/Detail/Detail?PublicationID=P20150410042</v>
      </c>
      <c r="K4384" s="13" t="str">
        <f>HYPERLINK("https://ntsu.idm.oclc.org/login?url=https://www.airitibooks.com/Detail/Detail?PublicationID=P20150410042", "https://ntsu.idm.oclc.org/login?url=https://www.airitibooks.com/Detail/Detail?PublicationID=P20150410042")</f>
        <v>https://ntsu.idm.oclc.org/login?url=https://www.airitibooks.com/Detail/Detail?PublicationID=P20150410042</v>
      </c>
    </row>
    <row r="4385" spans="1:11" ht="51" x14ac:dyDescent="0.4">
      <c r="A4385" s="10" t="s">
        <v>2522</v>
      </c>
      <c r="B4385" s="10" t="s">
        <v>2523</v>
      </c>
      <c r="C4385" s="10" t="s">
        <v>2515</v>
      </c>
      <c r="D4385" s="10" t="s">
        <v>2524</v>
      </c>
      <c r="E4385" s="10" t="s">
        <v>70</v>
      </c>
      <c r="F4385" s="10" t="s">
        <v>2525</v>
      </c>
      <c r="G4385" s="10" t="s">
        <v>23</v>
      </c>
      <c r="H4385" s="7" t="s">
        <v>24</v>
      </c>
      <c r="I4385" s="7" t="s">
        <v>25</v>
      </c>
      <c r="J4385" s="13" t="str">
        <f>HYPERLINK("https://www.airitibooks.com/Detail/Detail?PublicationID=P20150508379", "https://www.airitibooks.com/Detail/Detail?PublicationID=P20150508379")</f>
        <v>https://www.airitibooks.com/Detail/Detail?PublicationID=P20150508379</v>
      </c>
      <c r="K4385" s="13" t="str">
        <f>HYPERLINK("https://ntsu.idm.oclc.org/login?url=https://www.airitibooks.com/Detail/Detail?PublicationID=P20150508379", "https://ntsu.idm.oclc.org/login?url=https://www.airitibooks.com/Detail/Detail?PublicationID=P20150508379")</f>
        <v>https://ntsu.idm.oclc.org/login?url=https://www.airitibooks.com/Detail/Detail?PublicationID=P20150508379</v>
      </c>
    </row>
    <row r="4386" spans="1:11" ht="51" x14ac:dyDescent="0.4">
      <c r="A4386" s="10" t="s">
        <v>2598</v>
      </c>
      <c r="B4386" s="10" t="s">
        <v>2599</v>
      </c>
      <c r="C4386" s="10" t="s">
        <v>707</v>
      </c>
      <c r="D4386" s="10" t="s">
        <v>2600</v>
      </c>
      <c r="E4386" s="10" t="s">
        <v>70</v>
      </c>
      <c r="F4386" s="10" t="s">
        <v>720</v>
      </c>
      <c r="G4386" s="10" t="s">
        <v>23</v>
      </c>
      <c r="H4386" s="7" t="s">
        <v>24</v>
      </c>
      <c r="I4386" s="7" t="s">
        <v>25</v>
      </c>
      <c r="J4386" s="13" t="str">
        <f>HYPERLINK("https://www.airitibooks.com/Detail/Detail?PublicationID=P20150525001", "https://www.airitibooks.com/Detail/Detail?PublicationID=P20150525001")</f>
        <v>https://www.airitibooks.com/Detail/Detail?PublicationID=P20150525001</v>
      </c>
      <c r="K4386" s="13" t="str">
        <f>HYPERLINK("https://ntsu.idm.oclc.org/login?url=https://www.airitibooks.com/Detail/Detail?PublicationID=P20150525001", "https://ntsu.idm.oclc.org/login?url=https://www.airitibooks.com/Detail/Detail?PublicationID=P20150525001")</f>
        <v>https://ntsu.idm.oclc.org/login?url=https://www.airitibooks.com/Detail/Detail?PublicationID=P20150525001</v>
      </c>
    </row>
    <row r="4387" spans="1:11" ht="51" x14ac:dyDescent="0.4">
      <c r="A4387" s="10" t="s">
        <v>2601</v>
      </c>
      <c r="B4387" s="10" t="s">
        <v>2602</v>
      </c>
      <c r="C4387" s="10" t="s">
        <v>707</v>
      </c>
      <c r="D4387" s="10" t="s">
        <v>2600</v>
      </c>
      <c r="E4387" s="10" t="s">
        <v>70</v>
      </c>
      <c r="F4387" s="10" t="s">
        <v>720</v>
      </c>
      <c r="G4387" s="10" t="s">
        <v>23</v>
      </c>
      <c r="H4387" s="7" t="s">
        <v>24</v>
      </c>
      <c r="I4387" s="7" t="s">
        <v>25</v>
      </c>
      <c r="J4387" s="13" t="str">
        <f>HYPERLINK("https://www.airitibooks.com/Detail/Detail?PublicationID=P20150525002", "https://www.airitibooks.com/Detail/Detail?PublicationID=P20150525002")</f>
        <v>https://www.airitibooks.com/Detail/Detail?PublicationID=P20150525002</v>
      </c>
      <c r="K4387" s="13" t="str">
        <f>HYPERLINK("https://ntsu.idm.oclc.org/login?url=https://www.airitibooks.com/Detail/Detail?PublicationID=P20150525002", "https://ntsu.idm.oclc.org/login?url=https://www.airitibooks.com/Detail/Detail?PublicationID=P20150525002")</f>
        <v>https://ntsu.idm.oclc.org/login?url=https://www.airitibooks.com/Detail/Detail?PublicationID=P20150525002</v>
      </c>
    </row>
    <row r="4388" spans="1:11" ht="51" x14ac:dyDescent="0.4">
      <c r="A4388" s="10" t="s">
        <v>2603</v>
      </c>
      <c r="B4388" s="10" t="s">
        <v>2604</v>
      </c>
      <c r="C4388" s="10" t="s">
        <v>707</v>
      </c>
      <c r="D4388" s="10" t="s">
        <v>2600</v>
      </c>
      <c r="E4388" s="10" t="s">
        <v>70</v>
      </c>
      <c r="F4388" s="10" t="s">
        <v>720</v>
      </c>
      <c r="G4388" s="10" t="s">
        <v>23</v>
      </c>
      <c r="H4388" s="7" t="s">
        <v>24</v>
      </c>
      <c r="I4388" s="7" t="s">
        <v>25</v>
      </c>
      <c r="J4388" s="13" t="str">
        <f>HYPERLINK("https://www.airitibooks.com/Detail/Detail?PublicationID=P20150525003", "https://www.airitibooks.com/Detail/Detail?PublicationID=P20150525003")</f>
        <v>https://www.airitibooks.com/Detail/Detail?PublicationID=P20150525003</v>
      </c>
      <c r="K4388" s="13" t="str">
        <f>HYPERLINK("https://ntsu.idm.oclc.org/login?url=https://www.airitibooks.com/Detail/Detail?PublicationID=P20150525003", "https://ntsu.idm.oclc.org/login?url=https://www.airitibooks.com/Detail/Detail?PublicationID=P20150525003")</f>
        <v>https://ntsu.idm.oclc.org/login?url=https://www.airitibooks.com/Detail/Detail?PublicationID=P20150525003</v>
      </c>
    </row>
    <row r="4389" spans="1:11" ht="68" x14ac:dyDescent="0.4">
      <c r="A4389" s="10" t="s">
        <v>2729</v>
      </c>
      <c r="B4389" s="10" t="s">
        <v>2730</v>
      </c>
      <c r="C4389" s="10" t="s">
        <v>2731</v>
      </c>
      <c r="D4389" s="10" t="s">
        <v>2732</v>
      </c>
      <c r="E4389" s="10" t="s">
        <v>70</v>
      </c>
      <c r="F4389" s="10" t="s">
        <v>2733</v>
      </c>
      <c r="G4389" s="10" t="s">
        <v>23</v>
      </c>
      <c r="H4389" s="7" t="s">
        <v>24</v>
      </c>
      <c r="I4389" s="7" t="s">
        <v>25</v>
      </c>
      <c r="J4389" s="13" t="str">
        <f>HYPERLINK("https://www.airitibooks.com/Detail/Detail?PublicationID=P20150624135", "https://www.airitibooks.com/Detail/Detail?PublicationID=P20150624135")</f>
        <v>https://www.airitibooks.com/Detail/Detail?PublicationID=P20150624135</v>
      </c>
      <c r="K4389" s="13" t="str">
        <f>HYPERLINK("https://ntsu.idm.oclc.org/login?url=https://www.airitibooks.com/Detail/Detail?PublicationID=P20150624135", "https://ntsu.idm.oclc.org/login?url=https://www.airitibooks.com/Detail/Detail?PublicationID=P20150624135")</f>
        <v>https://ntsu.idm.oclc.org/login?url=https://www.airitibooks.com/Detail/Detail?PublicationID=P20150624135</v>
      </c>
    </row>
    <row r="4390" spans="1:11" ht="51" x14ac:dyDescent="0.4">
      <c r="A4390" s="10" t="s">
        <v>2734</v>
      </c>
      <c r="B4390" s="10" t="s">
        <v>2735</v>
      </c>
      <c r="C4390" s="10" t="s">
        <v>2731</v>
      </c>
      <c r="D4390" s="10" t="s">
        <v>2736</v>
      </c>
      <c r="E4390" s="10" t="s">
        <v>70</v>
      </c>
      <c r="F4390" s="10" t="s">
        <v>2737</v>
      </c>
      <c r="G4390" s="10" t="s">
        <v>23</v>
      </c>
      <c r="H4390" s="7" t="s">
        <v>24</v>
      </c>
      <c r="I4390" s="7" t="s">
        <v>25</v>
      </c>
      <c r="J4390" s="13" t="str">
        <f>HYPERLINK("https://www.airitibooks.com/Detail/Detail?PublicationID=P20150624136", "https://www.airitibooks.com/Detail/Detail?PublicationID=P20150624136")</f>
        <v>https://www.airitibooks.com/Detail/Detail?PublicationID=P20150624136</v>
      </c>
      <c r="K4390" s="13" t="str">
        <f>HYPERLINK("https://ntsu.idm.oclc.org/login?url=https://www.airitibooks.com/Detail/Detail?PublicationID=P20150624136", "https://ntsu.idm.oclc.org/login?url=https://www.airitibooks.com/Detail/Detail?PublicationID=P20150624136")</f>
        <v>https://ntsu.idm.oclc.org/login?url=https://www.airitibooks.com/Detail/Detail?PublicationID=P20150624136</v>
      </c>
    </row>
    <row r="4391" spans="1:11" ht="51" x14ac:dyDescent="0.4">
      <c r="A4391" s="10" t="s">
        <v>3064</v>
      </c>
      <c r="B4391" s="10" t="s">
        <v>3065</v>
      </c>
      <c r="C4391" s="10" t="s">
        <v>3034</v>
      </c>
      <c r="D4391" s="10" t="s">
        <v>3035</v>
      </c>
      <c r="E4391" s="10" t="s">
        <v>70</v>
      </c>
      <c r="F4391" s="10" t="s">
        <v>250</v>
      </c>
      <c r="G4391" s="10" t="s">
        <v>23</v>
      </c>
      <c r="H4391" s="7" t="s">
        <v>24</v>
      </c>
      <c r="I4391" s="7" t="s">
        <v>25</v>
      </c>
      <c r="J4391" s="13" t="str">
        <f>HYPERLINK("https://www.airitibooks.com/Detail/Detail?PublicationID=P20150820053", "https://www.airitibooks.com/Detail/Detail?PublicationID=P20150820053")</f>
        <v>https://www.airitibooks.com/Detail/Detail?PublicationID=P20150820053</v>
      </c>
      <c r="K4391" s="13" t="str">
        <f>HYPERLINK("https://ntsu.idm.oclc.org/login?url=https://www.airitibooks.com/Detail/Detail?PublicationID=P20150820053", "https://ntsu.idm.oclc.org/login?url=https://www.airitibooks.com/Detail/Detail?PublicationID=P20150820053")</f>
        <v>https://ntsu.idm.oclc.org/login?url=https://www.airitibooks.com/Detail/Detail?PublicationID=P20150820053</v>
      </c>
    </row>
    <row r="4392" spans="1:11" ht="51" x14ac:dyDescent="0.4">
      <c r="A4392" s="10" t="s">
        <v>3182</v>
      </c>
      <c r="B4392" s="10" t="s">
        <v>3183</v>
      </c>
      <c r="C4392" s="10" t="s">
        <v>791</v>
      </c>
      <c r="D4392" s="10" t="s">
        <v>3184</v>
      </c>
      <c r="E4392" s="10" t="s">
        <v>70</v>
      </c>
      <c r="F4392" s="10" t="s">
        <v>696</v>
      </c>
      <c r="G4392" s="10" t="s">
        <v>23</v>
      </c>
      <c r="H4392" s="7" t="s">
        <v>24</v>
      </c>
      <c r="I4392" s="7" t="s">
        <v>25</v>
      </c>
      <c r="J4392" s="13" t="str">
        <f>HYPERLINK("https://www.airitibooks.com/Detail/Detail?PublicationID=P20150820179", "https://www.airitibooks.com/Detail/Detail?PublicationID=P20150820179")</f>
        <v>https://www.airitibooks.com/Detail/Detail?PublicationID=P20150820179</v>
      </c>
      <c r="K4392" s="13" t="str">
        <f>HYPERLINK("https://ntsu.idm.oclc.org/login?url=https://www.airitibooks.com/Detail/Detail?PublicationID=P20150820179", "https://ntsu.idm.oclc.org/login?url=https://www.airitibooks.com/Detail/Detail?PublicationID=P20150820179")</f>
        <v>https://ntsu.idm.oclc.org/login?url=https://www.airitibooks.com/Detail/Detail?PublicationID=P20150820179</v>
      </c>
    </row>
    <row r="4393" spans="1:11" ht="51" x14ac:dyDescent="0.4">
      <c r="A4393" s="10" t="s">
        <v>3201</v>
      </c>
      <c r="B4393" s="10" t="s">
        <v>3202</v>
      </c>
      <c r="C4393" s="10" t="s">
        <v>791</v>
      </c>
      <c r="D4393" s="10" t="s">
        <v>449</v>
      </c>
      <c r="E4393" s="10" t="s">
        <v>70</v>
      </c>
      <c r="F4393" s="10" t="s">
        <v>1122</v>
      </c>
      <c r="G4393" s="10" t="s">
        <v>23</v>
      </c>
      <c r="H4393" s="7" t="s">
        <v>24</v>
      </c>
      <c r="I4393" s="7" t="s">
        <v>25</v>
      </c>
      <c r="J4393" s="13" t="str">
        <f>HYPERLINK("https://www.airitibooks.com/Detail/Detail?PublicationID=P20150820193", "https://www.airitibooks.com/Detail/Detail?PublicationID=P20150820193")</f>
        <v>https://www.airitibooks.com/Detail/Detail?PublicationID=P20150820193</v>
      </c>
      <c r="K4393" s="13" t="str">
        <f>HYPERLINK("https://ntsu.idm.oclc.org/login?url=https://www.airitibooks.com/Detail/Detail?PublicationID=P20150820193", "https://ntsu.idm.oclc.org/login?url=https://www.airitibooks.com/Detail/Detail?PublicationID=P20150820193")</f>
        <v>https://ntsu.idm.oclc.org/login?url=https://www.airitibooks.com/Detail/Detail?PublicationID=P20150820193</v>
      </c>
    </row>
    <row r="4394" spans="1:11" ht="51" x14ac:dyDescent="0.4">
      <c r="A4394" s="10" t="s">
        <v>3238</v>
      </c>
      <c r="B4394" s="10" t="s">
        <v>3239</v>
      </c>
      <c r="C4394" s="10" t="s">
        <v>3240</v>
      </c>
      <c r="D4394" s="10" t="s">
        <v>3241</v>
      </c>
      <c r="E4394" s="10" t="s">
        <v>70</v>
      </c>
      <c r="F4394" s="10" t="s">
        <v>565</v>
      </c>
      <c r="G4394" s="10" t="s">
        <v>23</v>
      </c>
      <c r="H4394" s="7" t="s">
        <v>24</v>
      </c>
      <c r="I4394" s="7" t="s">
        <v>25</v>
      </c>
      <c r="J4394" s="13" t="str">
        <f>HYPERLINK("https://www.airitibooks.com/Detail/Detail?PublicationID=P20150820230", "https://www.airitibooks.com/Detail/Detail?PublicationID=P20150820230")</f>
        <v>https://www.airitibooks.com/Detail/Detail?PublicationID=P20150820230</v>
      </c>
      <c r="K4394" s="13" t="str">
        <f>HYPERLINK("https://ntsu.idm.oclc.org/login?url=https://www.airitibooks.com/Detail/Detail?PublicationID=P20150820230", "https://ntsu.idm.oclc.org/login?url=https://www.airitibooks.com/Detail/Detail?PublicationID=P20150820230")</f>
        <v>https://ntsu.idm.oclc.org/login?url=https://www.airitibooks.com/Detail/Detail?PublicationID=P20150820230</v>
      </c>
    </row>
    <row r="4395" spans="1:11" ht="51" x14ac:dyDescent="0.4">
      <c r="A4395" s="10" t="s">
        <v>3291</v>
      </c>
      <c r="B4395" s="10" t="s">
        <v>3292</v>
      </c>
      <c r="C4395" s="10" t="s">
        <v>3293</v>
      </c>
      <c r="D4395" s="10" t="s">
        <v>3294</v>
      </c>
      <c r="E4395" s="10" t="s">
        <v>70</v>
      </c>
      <c r="F4395" s="10" t="s">
        <v>3295</v>
      </c>
      <c r="G4395" s="10" t="s">
        <v>23</v>
      </c>
      <c r="H4395" s="7" t="s">
        <v>24</v>
      </c>
      <c r="I4395" s="7" t="s">
        <v>25</v>
      </c>
      <c r="J4395" s="13" t="str">
        <f>HYPERLINK("https://www.airitibooks.com/Detail/Detail?PublicationID=P20150821142", "https://www.airitibooks.com/Detail/Detail?PublicationID=P20150821142")</f>
        <v>https://www.airitibooks.com/Detail/Detail?PublicationID=P20150821142</v>
      </c>
      <c r="K4395" s="13" t="str">
        <f>HYPERLINK("https://ntsu.idm.oclc.org/login?url=https://www.airitibooks.com/Detail/Detail?PublicationID=P20150821142", "https://ntsu.idm.oclc.org/login?url=https://www.airitibooks.com/Detail/Detail?PublicationID=P20150821142")</f>
        <v>https://ntsu.idm.oclc.org/login?url=https://www.airitibooks.com/Detail/Detail?PublicationID=P20150821142</v>
      </c>
    </row>
    <row r="4396" spans="1:11" ht="51" x14ac:dyDescent="0.4">
      <c r="A4396" s="10" t="s">
        <v>3435</v>
      </c>
      <c r="B4396" s="10" t="s">
        <v>3436</v>
      </c>
      <c r="C4396" s="10" t="s">
        <v>3426</v>
      </c>
      <c r="D4396" s="10" t="s">
        <v>3437</v>
      </c>
      <c r="E4396" s="10" t="s">
        <v>70</v>
      </c>
      <c r="F4396" s="10" t="s">
        <v>250</v>
      </c>
      <c r="G4396" s="10" t="s">
        <v>23</v>
      </c>
      <c r="H4396" s="7" t="s">
        <v>24</v>
      </c>
      <c r="I4396" s="7" t="s">
        <v>25</v>
      </c>
      <c r="J4396" s="13" t="str">
        <f>HYPERLINK("https://www.airitibooks.com/Detail/Detail?PublicationID=P20150918061", "https://www.airitibooks.com/Detail/Detail?PublicationID=P20150918061")</f>
        <v>https://www.airitibooks.com/Detail/Detail?PublicationID=P20150918061</v>
      </c>
      <c r="K4396" s="13" t="str">
        <f>HYPERLINK("https://ntsu.idm.oclc.org/login?url=https://www.airitibooks.com/Detail/Detail?PublicationID=P20150918061", "https://ntsu.idm.oclc.org/login?url=https://www.airitibooks.com/Detail/Detail?PublicationID=P20150918061")</f>
        <v>https://ntsu.idm.oclc.org/login?url=https://www.airitibooks.com/Detail/Detail?PublicationID=P20150918061</v>
      </c>
    </row>
    <row r="4397" spans="1:11" ht="51" x14ac:dyDescent="0.4">
      <c r="A4397" s="10" t="s">
        <v>3454</v>
      </c>
      <c r="B4397" s="10" t="s">
        <v>3455</v>
      </c>
      <c r="C4397" s="10" t="s">
        <v>3426</v>
      </c>
      <c r="D4397" s="10" t="s">
        <v>3456</v>
      </c>
      <c r="E4397" s="10" t="s">
        <v>70</v>
      </c>
      <c r="F4397" s="10" t="s">
        <v>565</v>
      </c>
      <c r="G4397" s="10" t="s">
        <v>23</v>
      </c>
      <c r="H4397" s="7" t="s">
        <v>24</v>
      </c>
      <c r="I4397" s="7" t="s">
        <v>25</v>
      </c>
      <c r="J4397" s="13" t="str">
        <f>HYPERLINK("https://www.airitibooks.com/Detail/Detail?PublicationID=P20150918069", "https://www.airitibooks.com/Detail/Detail?PublicationID=P20150918069")</f>
        <v>https://www.airitibooks.com/Detail/Detail?PublicationID=P20150918069</v>
      </c>
      <c r="K4397" s="13" t="str">
        <f>HYPERLINK("https://ntsu.idm.oclc.org/login?url=https://www.airitibooks.com/Detail/Detail?PublicationID=P20150918069", "https://ntsu.idm.oclc.org/login?url=https://www.airitibooks.com/Detail/Detail?PublicationID=P20150918069")</f>
        <v>https://ntsu.idm.oclc.org/login?url=https://www.airitibooks.com/Detail/Detail?PublicationID=P20150918069</v>
      </c>
    </row>
    <row r="4398" spans="1:11" ht="51" x14ac:dyDescent="0.4">
      <c r="A4398" s="10" t="s">
        <v>3471</v>
      </c>
      <c r="B4398" s="10" t="s">
        <v>3472</v>
      </c>
      <c r="C4398" s="10" t="s">
        <v>3473</v>
      </c>
      <c r="D4398" s="10" t="s">
        <v>3474</v>
      </c>
      <c r="E4398" s="10" t="s">
        <v>70</v>
      </c>
      <c r="F4398" s="10" t="s">
        <v>1122</v>
      </c>
      <c r="G4398" s="10" t="s">
        <v>23</v>
      </c>
      <c r="H4398" s="7" t="s">
        <v>24</v>
      </c>
      <c r="I4398" s="7" t="s">
        <v>25</v>
      </c>
      <c r="J4398" s="13" t="str">
        <f>HYPERLINK("https://www.airitibooks.com/Detail/Detail?PublicationID=P20150918075", "https://www.airitibooks.com/Detail/Detail?PublicationID=P20150918075")</f>
        <v>https://www.airitibooks.com/Detail/Detail?PublicationID=P20150918075</v>
      </c>
      <c r="K4398" s="13" t="str">
        <f>HYPERLINK("https://ntsu.idm.oclc.org/login?url=https://www.airitibooks.com/Detail/Detail?PublicationID=P20150918075", "https://ntsu.idm.oclc.org/login?url=https://www.airitibooks.com/Detail/Detail?PublicationID=P20150918075")</f>
        <v>https://ntsu.idm.oclc.org/login?url=https://www.airitibooks.com/Detail/Detail?PublicationID=P20150918075</v>
      </c>
    </row>
    <row r="4399" spans="1:11" ht="51" x14ac:dyDescent="0.4">
      <c r="A4399" s="10" t="s">
        <v>3475</v>
      </c>
      <c r="B4399" s="10" t="s">
        <v>3476</v>
      </c>
      <c r="C4399" s="10" t="s">
        <v>3473</v>
      </c>
      <c r="D4399" s="10" t="s">
        <v>3477</v>
      </c>
      <c r="E4399" s="10" t="s">
        <v>70</v>
      </c>
      <c r="F4399" s="10" t="s">
        <v>2660</v>
      </c>
      <c r="G4399" s="10" t="s">
        <v>23</v>
      </c>
      <c r="H4399" s="7" t="s">
        <v>24</v>
      </c>
      <c r="I4399" s="7" t="s">
        <v>25</v>
      </c>
      <c r="J4399" s="13" t="str">
        <f>HYPERLINK("https://www.airitibooks.com/Detail/Detail?PublicationID=P20150918077", "https://www.airitibooks.com/Detail/Detail?PublicationID=P20150918077")</f>
        <v>https://www.airitibooks.com/Detail/Detail?PublicationID=P20150918077</v>
      </c>
      <c r="K4399" s="13" t="str">
        <f>HYPERLINK("https://ntsu.idm.oclc.org/login?url=https://www.airitibooks.com/Detail/Detail?PublicationID=P20150918077", "https://ntsu.idm.oclc.org/login?url=https://www.airitibooks.com/Detail/Detail?PublicationID=P20150918077")</f>
        <v>https://ntsu.idm.oclc.org/login?url=https://www.airitibooks.com/Detail/Detail?PublicationID=P20150918077</v>
      </c>
    </row>
    <row r="4400" spans="1:11" ht="51" x14ac:dyDescent="0.4">
      <c r="A4400" s="10" t="s">
        <v>3478</v>
      </c>
      <c r="B4400" s="10" t="s">
        <v>3479</v>
      </c>
      <c r="C4400" s="10" t="s">
        <v>3473</v>
      </c>
      <c r="D4400" s="10" t="s">
        <v>3480</v>
      </c>
      <c r="E4400" s="10" t="s">
        <v>70</v>
      </c>
      <c r="F4400" s="10" t="s">
        <v>214</v>
      </c>
      <c r="G4400" s="10" t="s">
        <v>23</v>
      </c>
      <c r="H4400" s="7" t="s">
        <v>24</v>
      </c>
      <c r="I4400" s="7" t="s">
        <v>25</v>
      </c>
      <c r="J4400" s="13" t="str">
        <f>HYPERLINK("https://www.airitibooks.com/Detail/Detail?PublicationID=P20150918078", "https://www.airitibooks.com/Detail/Detail?PublicationID=P20150918078")</f>
        <v>https://www.airitibooks.com/Detail/Detail?PublicationID=P20150918078</v>
      </c>
      <c r="K4400" s="13" t="str">
        <f>HYPERLINK("https://ntsu.idm.oclc.org/login?url=https://www.airitibooks.com/Detail/Detail?PublicationID=P20150918078", "https://ntsu.idm.oclc.org/login?url=https://www.airitibooks.com/Detail/Detail?PublicationID=P20150918078")</f>
        <v>https://ntsu.idm.oclc.org/login?url=https://www.airitibooks.com/Detail/Detail?PublicationID=P20150918078</v>
      </c>
    </row>
    <row r="4401" spans="1:11" ht="51" x14ac:dyDescent="0.4">
      <c r="A4401" s="10" t="s">
        <v>3481</v>
      </c>
      <c r="B4401" s="10" t="s">
        <v>3482</v>
      </c>
      <c r="C4401" s="10" t="s">
        <v>3473</v>
      </c>
      <c r="D4401" s="10" t="s">
        <v>3483</v>
      </c>
      <c r="E4401" s="10" t="s">
        <v>70</v>
      </c>
      <c r="F4401" s="10" t="s">
        <v>1022</v>
      </c>
      <c r="G4401" s="10" t="s">
        <v>23</v>
      </c>
      <c r="H4401" s="7" t="s">
        <v>24</v>
      </c>
      <c r="I4401" s="7" t="s">
        <v>25</v>
      </c>
      <c r="J4401" s="13" t="str">
        <f>HYPERLINK("https://www.airitibooks.com/Detail/Detail?PublicationID=P20150918079", "https://www.airitibooks.com/Detail/Detail?PublicationID=P20150918079")</f>
        <v>https://www.airitibooks.com/Detail/Detail?PublicationID=P20150918079</v>
      </c>
      <c r="K4401" s="13" t="str">
        <f>HYPERLINK("https://ntsu.idm.oclc.org/login?url=https://www.airitibooks.com/Detail/Detail?PublicationID=P20150918079", "https://ntsu.idm.oclc.org/login?url=https://www.airitibooks.com/Detail/Detail?PublicationID=P20150918079")</f>
        <v>https://ntsu.idm.oclc.org/login?url=https://www.airitibooks.com/Detail/Detail?PublicationID=P20150918079</v>
      </c>
    </row>
    <row r="4402" spans="1:11" ht="51" x14ac:dyDescent="0.4">
      <c r="A4402" s="10" t="s">
        <v>3484</v>
      </c>
      <c r="B4402" s="10" t="s">
        <v>3485</v>
      </c>
      <c r="C4402" s="10" t="s">
        <v>3473</v>
      </c>
      <c r="D4402" s="10" t="s">
        <v>3474</v>
      </c>
      <c r="E4402" s="10" t="s">
        <v>70</v>
      </c>
      <c r="F4402" s="10" t="s">
        <v>1122</v>
      </c>
      <c r="G4402" s="10" t="s">
        <v>23</v>
      </c>
      <c r="H4402" s="7" t="s">
        <v>24</v>
      </c>
      <c r="I4402" s="7" t="s">
        <v>25</v>
      </c>
      <c r="J4402" s="13" t="str">
        <f>HYPERLINK("https://www.airitibooks.com/Detail/Detail?PublicationID=P20150918080", "https://www.airitibooks.com/Detail/Detail?PublicationID=P20150918080")</f>
        <v>https://www.airitibooks.com/Detail/Detail?PublicationID=P20150918080</v>
      </c>
      <c r="K4402" s="13" t="str">
        <f>HYPERLINK("https://ntsu.idm.oclc.org/login?url=https://www.airitibooks.com/Detail/Detail?PublicationID=P20150918080", "https://ntsu.idm.oclc.org/login?url=https://www.airitibooks.com/Detail/Detail?PublicationID=P20150918080")</f>
        <v>https://ntsu.idm.oclc.org/login?url=https://www.airitibooks.com/Detail/Detail?PublicationID=P20150918080</v>
      </c>
    </row>
    <row r="4403" spans="1:11" ht="51" x14ac:dyDescent="0.4">
      <c r="A4403" s="10" t="s">
        <v>3486</v>
      </c>
      <c r="B4403" s="10" t="s">
        <v>3487</v>
      </c>
      <c r="C4403" s="10" t="s">
        <v>3473</v>
      </c>
      <c r="D4403" s="10" t="s">
        <v>3488</v>
      </c>
      <c r="E4403" s="10" t="s">
        <v>70</v>
      </c>
      <c r="F4403" s="10" t="s">
        <v>2660</v>
      </c>
      <c r="G4403" s="10" t="s">
        <v>23</v>
      </c>
      <c r="H4403" s="7" t="s">
        <v>24</v>
      </c>
      <c r="I4403" s="7" t="s">
        <v>25</v>
      </c>
      <c r="J4403" s="13" t="str">
        <f>HYPERLINK("https://www.airitibooks.com/Detail/Detail?PublicationID=P20150918081", "https://www.airitibooks.com/Detail/Detail?PublicationID=P20150918081")</f>
        <v>https://www.airitibooks.com/Detail/Detail?PublicationID=P20150918081</v>
      </c>
      <c r="K4403" s="13" t="str">
        <f>HYPERLINK("https://ntsu.idm.oclc.org/login?url=https://www.airitibooks.com/Detail/Detail?PublicationID=P20150918081", "https://ntsu.idm.oclc.org/login?url=https://www.airitibooks.com/Detail/Detail?PublicationID=P20150918081")</f>
        <v>https://ntsu.idm.oclc.org/login?url=https://www.airitibooks.com/Detail/Detail?PublicationID=P20150918081</v>
      </c>
    </row>
    <row r="4404" spans="1:11" ht="51" x14ac:dyDescent="0.4">
      <c r="A4404" s="10" t="s">
        <v>3701</v>
      </c>
      <c r="B4404" s="10" t="s">
        <v>3702</v>
      </c>
      <c r="C4404" s="10" t="s">
        <v>1160</v>
      </c>
      <c r="D4404" s="10" t="s">
        <v>1161</v>
      </c>
      <c r="E4404" s="10" t="s">
        <v>70</v>
      </c>
      <c r="F4404" s="10" t="s">
        <v>762</v>
      </c>
      <c r="G4404" s="10" t="s">
        <v>23</v>
      </c>
      <c r="H4404" s="7" t="s">
        <v>24</v>
      </c>
      <c r="I4404" s="7" t="s">
        <v>25</v>
      </c>
      <c r="J4404" s="13" t="str">
        <f>HYPERLINK("https://www.airitibooks.com/Detail/Detail?PublicationID=P20150924053", "https://www.airitibooks.com/Detail/Detail?PublicationID=P20150924053")</f>
        <v>https://www.airitibooks.com/Detail/Detail?PublicationID=P20150924053</v>
      </c>
      <c r="K4404" s="13" t="str">
        <f>HYPERLINK("https://ntsu.idm.oclc.org/login?url=https://www.airitibooks.com/Detail/Detail?PublicationID=P20150924053", "https://ntsu.idm.oclc.org/login?url=https://www.airitibooks.com/Detail/Detail?PublicationID=P20150924053")</f>
        <v>https://ntsu.idm.oclc.org/login?url=https://www.airitibooks.com/Detail/Detail?PublicationID=P20150924053</v>
      </c>
    </row>
    <row r="4405" spans="1:11" ht="51" x14ac:dyDescent="0.4">
      <c r="A4405" s="10" t="s">
        <v>3738</v>
      </c>
      <c r="B4405" s="10" t="s">
        <v>3739</v>
      </c>
      <c r="C4405" s="10" t="s">
        <v>3705</v>
      </c>
      <c r="D4405" s="10" t="s">
        <v>3740</v>
      </c>
      <c r="E4405" s="10" t="s">
        <v>70</v>
      </c>
      <c r="F4405" s="10" t="s">
        <v>3741</v>
      </c>
      <c r="G4405" s="10" t="s">
        <v>23</v>
      </c>
      <c r="H4405" s="7" t="s">
        <v>24</v>
      </c>
      <c r="I4405" s="7" t="s">
        <v>25</v>
      </c>
      <c r="J4405" s="13" t="str">
        <f>HYPERLINK("https://www.airitibooks.com/Detail/Detail?PublicationID=P20151020390", "https://www.airitibooks.com/Detail/Detail?PublicationID=P20151020390")</f>
        <v>https://www.airitibooks.com/Detail/Detail?PublicationID=P20151020390</v>
      </c>
      <c r="K4405" s="13" t="str">
        <f>HYPERLINK("https://ntsu.idm.oclc.org/login?url=https://www.airitibooks.com/Detail/Detail?PublicationID=P20151020390", "https://ntsu.idm.oclc.org/login?url=https://www.airitibooks.com/Detail/Detail?PublicationID=P20151020390")</f>
        <v>https://ntsu.idm.oclc.org/login?url=https://www.airitibooks.com/Detail/Detail?PublicationID=P20151020390</v>
      </c>
    </row>
    <row r="4406" spans="1:11" ht="51" x14ac:dyDescent="0.4">
      <c r="A4406" s="10" t="s">
        <v>3774</v>
      </c>
      <c r="B4406" s="10" t="s">
        <v>3775</v>
      </c>
      <c r="C4406" s="10" t="s">
        <v>357</v>
      </c>
      <c r="D4406" s="10" t="s">
        <v>3776</v>
      </c>
      <c r="E4406" s="10" t="s">
        <v>70</v>
      </c>
      <c r="F4406" s="10" t="s">
        <v>565</v>
      </c>
      <c r="G4406" s="10" t="s">
        <v>23</v>
      </c>
      <c r="H4406" s="7" t="s">
        <v>24</v>
      </c>
      <c r="I4406" s="7" t="s">
        <v>25</v>
      </c>
      <c r="J4406" s="13" t="str">
        <f>HYPERLINK("https://www.airitibooks.com/Detail/Detail?PublicationID=P20151021179", "https://www.airitibooks.com/Detail/Detail?PublicationID=P20151021179")</f>
        <v>https://www.airitibooks.com/Detail/Detail?PublicationID=P20151021179</v>
      </c>
      <c r="K4406" s="13" t="str">
        <f>HYPERLINK("https://ntsu.idm.oclc.org/login?url=https://www.airitibooks.com/Detail/Detail?PublicationID=P20151021179", "https://ntsu.idm.oclc.org/login?url=https://www.airitibooks.com/Detail/Detail?PublicationID=P20151021179")</f>
        <v>https://ntsu.idm.oclc.org/login?url=https://www.airitibooks.com/Detail/Detail?PublicationID=P20151021179</v>
      </c>
    </row>
    <row r="4407" spans="1:11" ht="51" x14ac:dyDescent="0.4">
      <c r="A4407" s="10" t="s">
        <v>3784</v>
      </c>
      <c r="B4407" s="10" t="s">
        <v>3785</v>
      </c>
      <c r="C4407" s="10" t="s">
        <v>357</v>
      </c>
      <c r="D4407" s="10" t="s">
        <v>3786</v>
      </c>
      <c r="E4407" s="10" t="s">
        <v>70</v>
      </c>
      <c r="F4407" s="10" t="s">
        <v>1164</v>
      </c>
      <c r="G4407" s="10" t="s">
        <v>23</v>
      </c>
      <c r="H4407" s="7" t="s">
        <v>24</v>
      </c>
      <c r="I4407" s="7" t="s">
        <v>25</v>
      </c>
      <c r="J4407" s="13" t="str">
        <f>HYPERLINK("https://www.airitibooks.com/Detail/Detail?PublicationID=P20151021185", "https://www.airitibooks.com/Detail/Detail?PublicationID=P20151021185")</f>
        <v>https://www.airitibooks.com/Detail/Detail?PublicationID=P20151021185</v>
      </c>
      <c r="K4407" s="13" t="str">
        <f>HYPERLINK("https://ntsu.idm.oclc.org/login?url=https://www.airitibooks.com/Detail/Detail?PublicationID=P20151021185", "https://ntsu.idm.oclc.org/login?url=https://www.airitibooks.com/Detail/Detail?PublicationID=P20151021185")</f>
        <v>https://ntsu.idm.oclc.org/login?url=https://www.airitibooks.com/Detail/Detail?PublicationID=P20151021185</v>
      </c>
    </row>
    <row r="4408" spans="1:11" ht="51" x14ac:dyDescent="0.4">
      <c r="A4408" s="10" t="s">
        <v>3787</v>
      </c>
      <c r="B4408" s="10" t="s">
        <v>3788</v>
      </c>
      <c r="C4408" s="10" t="s">
        <v>357</v>
      </c>
      <c r="D4408" s="10" t="s">
        <v>3776</v>
      </c>
      <c r="E4408" s="10" t="s">
        <v>70</v>
      </c>
      <c r="F4408" s="10" t="s">
        <v>3789</v>
      </c>
      <c r="G4408" s="10" t="s">
        <v>23</v>
      </c>
      <c r="H4408" s="7" t="s">
        <v>24</v>
      </c>
      <c r="I4408" s="7" t="s">
        <v>25</v>
      </c>
      <c r="J4408" s="13" t="str">
        <f>HYPERLINK("https://www.airitibooks.com/Detail/Detail?PublicationID=P20151021186", "https://www.airitibooks.com/Detail/Detail?PublicationID=P20151021186")</f>
        <v>https://www.airitibooks.com/Detail/Detail?PublicationID=P20151021186</v>
      </c>
      <c r="K4408" s="13" t="str">
        <f>HYPERLINK("https://ntsu.idm.oclc.org/login?url=https://www.airitibooks.com/Detail/Detail?PublicationID=P20151021186", "https://ntsu.idm.oclc.org/login?url=https://www.airitibooks.com/Detail/Detail?PublicationID=P20151021186")</f>
        <v>https://ntsu.idm.oclc.org/login?url=https://www.airitibooks.com/Detail/Detail?PublicationID=P20151021186</v>
      </c>
    </row>
    <row r="4409" spans="1:11" ht="51" x14ac:dyDescent="0.4">
      <c r="A4409" s="10" t="s">
        <v>3838</v>
      </c>
      <c r="B4409" s="10" t="s">
        <v>3839</v>
      </c>
      <c r="C4409" s="10" t="s">
        <v>3473</v>
      </c>
      <c r="D4409" s="10" t="s">
        <v>3840</v>
      </c>
      <c r="E4409" s="10" t="s">
        <v>70</v>
      </c>
      <c r="F4409" s="10" t="s">
        <v>3841</v>
      </c>
      <c r="G4409" s="10" t="s">
        <v>23</v>
      </c>
      <c r="H4409" s="7" t="s">
        <v>24</v>
      </c>
      <c r="I4409" s="7" t="s">
        <v>25</v>
      </c>
      <c r="J4409" s="13" t="str">
        <f>HYPERLINK("https://www.airitibooks.com/Detail/Detail?PublicationID=P20151030001", "https://www.airitibooks.com/Detail/Detail?PublicationID=P20151030001")</f>
        <v>https://www.airitibooks.com/Detail/Detail?PublicationID=P20151030001</v>
      </c>
      <c r="K4409" s="13" t="str">
        <f>HYPERLINK("https://ntsu.idm.oclc.org/login?url=https://www.airitibooks.com/Detail/Detail?PublicationID=P20151030001", "https://ntsu.idm.oclc.org/login?url=https://www.airitibooks.com/Detail/Detail?PublicationID=P20151030001")</f>
        <v>https://ntsu.idm.oclc.org/login?url=https://www.airitibooks.com/Detail/Detail?PublicationID=P20151030001</v>
      </c>
    </row>
    <row r="4410" spans="1:11" ht="51" x14ac:dyDescent="0.4">
      <c r="A4410" s="10" t="s">
        <v>3842</v>
      </c>
      <c r="B4410" s="10" t="s">
        <v>3843</v>
      </c>
      <c r="C4410" s="10" t="s">
        <v>3473</v>
      </c>
      <c r="D4410" s="10" t="s">
        <v>3844</v>
      </c>
      <c r="E4410" s="10" t="s">
        <v>70</v>
      </c>
      <c r="F4410" s="10" t="s">
        <v>3845</v>
      </c>
      <c r="G4410" s="10" t="s">
        <v>23</v>
      </c>
      <c r="H4410" s="7" t="s">
        <v>24</v>
      </c>
      <c r="I4410" s="7" t="s">
        <v>25</v>
      </c>
      <c r="J4410" s="13" t="str">
        <f>HYPERLINK("https://www.airitibooks.com/Detail/Detail?PublicationID=P20151030002", "https://www.airitibooks.com/Detail/Detail?PublicationID=P20151030002")</f>
        <v>https://www.airitibooks.com/Detail/Detail?PublicationID=P20151030002</v>
      </c>
      <c r="K4410" s="13" t="str">
        <f>HYPERLINK("https://ntsu.idm.oclc.org/login?url=https://www.airitibooks.com/Detail/Detail?PublicationID=P20151030002", "https://ntsu.idm.oclc.org/login?url=https://www.airitibooks.com/Detail/Detail?PublicationID=P20151030002")</f>
        <v>https://ntsu.idm.oclc.org/login?url=https://www.airitibooks.com/Detail/Detail?PublicationID=P20151030002</v>
      </c>
    </row>
    <row r="4411" spans="1:11" ht="68" x14ac:dyDescent="0.4">
      <c r="A4411" s="10" t="s">
        <v>3849</v>
      </c>
      <c r="B4411" s="10" t="s">
        <v>3850</v>
      </c>
      <c r="C4411" s="10" t="s">
        <v>3473</v>
      </c>
      <c r="D4411" s="10" t="s">
        <v>3851</v>
      </c>
      <c r="E4411" s="10" t="s">
        <v>70</v>
      </c>
      <c r="F4411" s="10" t="s">
        <v>3852</v>
      </c>
      <c r="G4411" s="10" t="s">
        <v>23</v>
      </c>
      <c r="H4411" s="7" t="s">
        <v>24</v>
      </c>
      <c r="I4411" s="7" t="s">
        <v>25</v>
      </c>
      <c r="J4411" s="13" t="str">
        <f>HYPERLINK("https://www.airitibooks.com/Detail/Detail?PublicationID=P20151030004", "https://www.airitibooks.com/Detail/Detail?PublicationID=P20151030004")</f>
        <v>https://www.airitibooks.com/Detail/Detail?PublicationID=P20151030004</v>
      </c>
      <c r="K4411" s="13" t="str">
        <f>HYPERLINK("https://ntsu.idm.oclc.org/login?url=https://www.airitibooks.com/Detail/Detail?PublicationID=P20151030004", "https://ntsu.idm.oclc.org/login?url=https://www.airitibooks.com/Detail/Detail?PublicationID=P20151030004")</f>
        <v>https://ntsu.idm.oclc.org/login?url=https://www.airitibooks.com/Detail/Detail?PublicationID=P20151030004</v>
      </c>
    </row>
    <row r="4412" spans="1:11" ht="51" x14ac:dyDescent="0.4">
      <c r="A4412" s="10" t="s">
        <v>3857</v>
      </c>
      <c r="B4412" s="10" t="s">
        <v>3858</v>
      </c>
      <c r="C4412" s="10" t="s">
        <v>3473</v>
      </c>
      <c r="D4412" s="10" t="s">
        <v>3859</v>
      </c>
      <c r="E4412" s="10" t="s">
        <v>70</v>
      </c>
      <c r="F4412" s="10" t="s">
        <v>3860</v>
      </c>
      <c r="G4412" s="10" t="s">
        <v>23</v>
      </c>
      <c r="H4412" s="7" t="s">
        <v>24</v>
      </c>
      <c r="I4412" s="7" t="s">
        <v>25</v>
      </c>
      <c r="J4412" s="13" t="str">
        <f>HYPERLINK("https://www.airitibooks.com/Detail/Detail?PublicationID=P20151109017", "https://www.airitibooks.com/Detail/Detail?PublicationID=P20151109017")</f>
        <v>https://www.airitibooks.com/Detail/Detail?PublicationID=P20151109017</v>
      </c>
      <c r="K4412" s="13" t="str">
        <f>HYPERLINK("https://ntsu.idm.oclc.org/login?url=https://www.airitibooks.com/Detail/Detail?PublicationID=P20151109017", "https://ntsu.idm.oclc.org/login?url=https://www.airitibooks.com/Detail/Detail?PublicationID=P20151109017")</f>
        <v>https://ntsu.idm.oclc.org/login?url=https://www.airitibooks.com/Detail/Detail?PublicationID=P20151109017</v>
      </c>
    </row>
    <row r="4413" spans="1:11" ht="51" x14ac:dyDescent="0.4">
      <c r="A4413" s="10" t="s">
        <v>3922</v>
      </c>
      <c r="B4413" s="10" t="s">
        <v>3923</v>
      </c>
      <c r="C4413" s="10" t="s">
        <v>3473</v>
      </c>
      <c r="D4413" s="10" t="s">
        <v>3924</v>
      </c>
      <c r="E4413" s="10" t="s">
        <v>70</v>
      </c>
      <c r="F4413" s="10" t="s">
        <v>1127</v>
      </c>
      <c r="G4413" s="10" t="s">
        <v>23</v>
      </c>
      <c r="H4413" s="7" t="s">
        <v>24</v>
      </c>
      <c r="I4413" s="7" t="s">
        <v>25</v>
      </c>
      <c r="J4413" s="13" t="str">
        <f>HYPERLINK("https://www.airitibooks.com/Detail/Detail?PublicationID=P20151111079", "https://www.airitibooks.com/Detail/Detail?PublicationID=P20151111079")</f>
        <v>https://www.airitibooks.com/Detail/Detail?PublicationID=P20151111079</v>
      </c>
      <c r="K4413" s="13" t="str">
        <f>HYPERLINK("https://ntsu.idm.oclc.org/login?url=https://www.airitibooks.com/Detail/Detail?PublicationID=P20151111079", "https://ntsu.idm.oclc.org/login?url=https://www.airitibooks.com/Detail/Detail?PublicationID=P20151111079")</f>
        <v>https://ntsu.idm.oclc.org/login?url=https://www.airitibooks.com/Detail/Detail?PublicationID=P20151111079</v>
      </c>
    </row>
    <row r="4414" spans="1:11" ht="51" x14ac:dyDescent="0.4">
      <c r="A4414" s="10" t="s">
        <v>4671</v>
      </c>
      <c r="B4414" s="10" t="s">
        <v>4672</v>
      </c>
      <c r="C4414" s="10" t="s">
        <v>791</v>
      </c>
      <c r="D4414" s="10" t="s">
        <v>1453</v>
      </c>
      <c r="E4414" s="10" t="s">
        <v>70</v>
      </c>
      <c r="F4414" s="10" t="s">
        <v>4653</v>
      </c>
      <c r="G4414" s="10" t="s">
        <v>23</v>
      </c>
      <c r="H4414" s="7" t="s">
        <v>24</v>
      </c>
      <c r="I4414" s="7" t="s">
        <v>25</v>
      </c>
      <c r="J4414" s="13" t="str">
        <f>HYPERLINK("https://www.airitibooks.com/Detail/Detail?PublicationID=P20160602082", "https://www.airitibooks.com/Detail/Detail?PublicationID=P20160602082")</f>
        <v>https://www.airitibooks.com/Detail/Detail?PublicationID=P20160602082</v>
      </c>
      <c r="K4414" s="13" t="str">
        <f>HYPERLINK("https://ntsu.idm.oclc.org/login?url=https://www.airitibooks.com/Detail/Detail?PublicationID=P20160602082", "https://ntsu.idm.oclc.org/login?url=https://www.airitibooks.com/Detail/Detail?PublicationID=P20160602082")</f>
        <v>https://ntsu.idm.oclc.org/login?url=https://www.airitibooks.com/Detail/Detail?PublicationID=P20160602082</v>
      </c>
    </row>
    <row r="4415" spans="1:11" ht="51" x14ac:dyDescent="0.4">
      <c r="A4415" s="10" t="s">
        <v>4673</v>
      </c>
      <c r="B4415" s="10" t="s">
        <v>4674</v>
      </c>
      <c r="C4415" s="10" t="s">
        <v>2515</v>
      </c>
      <c r="D4415" s="10" t="s">
        <v>4675</v>
      </c>
      <c r="E4415" s="10" t="s">
        <v>70</v>
      </c>
      <c r="F4415" s="10" t="s">
        <v>4676</v>
      </c>
      <c r="G4415" s="10" t="s">
        <v>23</v>
      </c>
      <c r="H4415" s="7" t="s">
        <v>24</v>
      </c>
      <c r="I4415" s="7" t="s">
        <v>25</v>
      </c>
      <c r="J4415" s="13" t="str">
        <f>HYPERLINK("https://www.airitibooks.com/Detail/Detail?PublicationID=P20160603008", "https://www.airitibooks.com/Detail/Detail?PublicationID=P20160603008")</f>
        <v>https://www.airitibooks.com/Detail/Detail?PublicationID=P20160603008</v>
      </c>
      <c r="K4415" s="13" t="str">
        <f>HYPERLINK("https://ntsu.idm.oclc.org/login?url=https://www.airitibooks.com/Detail/Detail?PublicationID=P20160603008", "https://ntsu.idm.oclc.org/login?url=https://www.airitibooks.com/Detail/Detail?PublicationID=P20160603008")</f>
        <v>https://ntsu.idm.oclc.org/login?url=https://www.airitibooks.com/Detail/Detail?PublicationID=P20160603008</v>
      </c>
    </row>
    <row r="4416" spans="1:11" ht="51" x14ac:dyDescent="0.4">
      <c r="A4416" s="10" t="s">
        <v>4696</v>
      </c>
      <c r="B4416" s="10" t="s">
        <v>4697</v>
      </c>
      <c r="C4416" s="10" t="s">
        <v>2515</v>
      </c>
      <c r="D4416" s="10" t="s">
        <v>4698</v>
      </c>
      <c r="E4416" s="10" t="s">
        <v>70</v>
      </c>
      <c r="F4416" s="10" t="s">
        <v>4699</v>
      </c>
      <c r="G4416" s="10" t="s">
        <v>23</v>
      </c>
      <c r="H4416" s="7" t="s">
        <v>24</v>
      </c>
      <c r="I4416" s="7" t="s">
        <v>25</v>
      </c>
      <c r="J4416" s="13" t="str">
        <f>HYPERLINK("https://www.airitibooks.com/Detail/Detail?PublicationID=P20160603017", "https://www.airitibooks.com/Detail/Detail?PublicationID=P20160603017")</f>
        <v>https://www.airitibooks.com/Detail/Detail?PublicationID=P20160603017</v>
      </c>
      <c r="K4416" s="13" t="str">
        <f>HYPERLINK("https://ntsu.idm.oclc.org/login?url=https://www.airitibooks.com/Detail/Detail?PublicationID=P20160603017", "https://ntsu.idm.oclc.org/login?url=https://www.airitibooks.com/Detail/Detail?PublicationID=P20160603017")</f>
        <v>https://ntsu.idm.oclc.org/login?url=https://www.airitibooks.com/Detail/Detail?PublicationID=P20160603017</v>
      </c>
    </row>
    <row r="4417" spans="1:11" ht="51" x14ac:dyDescent="0.4">
      <c r="A4417" s="10" t="s">
        <v>4974</v>
      </c>
      <c r="B4417" s="10" t="s">
        <v>4975</v>
      </c>
      <c r="C4417" s="10" t="s">
        <v>694</v>
      </c>
      <c r="D4417" s="10" t="s">
        <v>4976</v>
      </c>
      <c r="E4417" s="10" t="s">
        <v>70</v>
      </c>
      <c r="F4417" s="10" t="s">
        <v>394</v>
      </c>
      <c r="G4417" s="10" t="s">
        <v>23</v>
      </c>
      <c r="H4417" s="7" t="s">
        <v>24</v>
      </c>
      <c r="I4417" s="7" t="s">
        <v>25</v>
      </c>
      <c r="J4417" s="13" t="str">
        <f>HYPERLINK("https://www.airitibooks.com/Detail/Detail?PublicationID=P20160723037", "https://www.airitibooks.com/Detail/Detail?PublicationID=P20160723037")</f>
        <v>https://www.airitibooks.com/Detail/Detail?PublicationID=P20160723037</v>
      </c>
      <c r="K4417" s="13" t="str">
        <f>HYPERLINK("https://ntsu.idm.oclc.org/login?url=https://www.airitibooks.com/Detail/Detail?PublicationID=P20160723037", "https://ntsu.idm.oclc.org/login?url=https://www.airitibooks.com/Detail/Detail?PublicationID=P20160723037")</f>
        <v>https://ntsu.idm.oclc.org/login?url=https://www.airitibooks.com/Detail/Detail?PublicationID=P20160723037</v>
      </c>
    </row>
    <row r="4418" spans="1:11" ht="51" x14ac:dyDescent="0.4">
      <c r="A4418" s="10" t="s">
        <v>5580</v>
      </c>
      <c r="B4418" s="10" t="s">
        <v>5581</v>
      </c>
      <c r="C4418" s="10" t="s">
        <v>5582</v>
      </c>
      <c r="D4418" s="10" t="s">
        <v>5583</v>
      </c>
      <c r="E4418" s="10" t="s">
        <v>70</v>
      </c>
      <c r="F4418" s="10" t="s">
        <v>250</v>
      </c>
      <c r="G4418" s="10" t="s">
        <v>23</v>
      </c>
      <c r="H4418" s="7" t="s">
        <v>24</v>
      </c>
      <c r="I4418" s="7" t="s">
        <v>25</v>
      </c>
      <c r="J4418" s="13" t="str">
        <f>HYPERLINK("https://www.airitibooks.com/Detail/Detail?PublicationID=P20161004034", "https://www.airitibooks.com/Detail/Detail?PublicationID=P20161004034")</f>
        <v>https://www.airitibooks.com/Detail/Detail?PublicationID=P20161004034</v>
      </c>
      <c r="K4418" s="13" t="str">
        <f>HYPERLINK("https://ntsu.idm.oclc.org/login?url=https://www.airitibooks.com/Detail/Detail?PublicationID=P20161004034", "https://ntsu.idm.oclc.org/login?url=https://www.airitibooks.com/Detail/Detail?PublicationID=P20161004034")</f>
        <v>https://ntsu.idm.oclc.org/login?url=https://www.airitibooks.com/Detail/Detail?PublicationID=P20161004034</v>
      </c>
    </row>
    <row r="4419" spans="1:11" ht="51" x14ac:dyDescent="0.4">
      <c r="A4419" s="10" t="s">
        <v>6451</v>
      </c>
      <c r="B4419" s="10" t="s">
        <v>6452</v>
      </c>
      <c r="C4419" s="10" t="s">
        <v>510</v>
      </c>
      <c r="D4419" s="10" t="s">
        <v>1746</v>
      </c>
      <c r="E4419" s="10" t="s">
        <v>70</v>
      </c>
      <c r="F4419" s="10" t="s">
        <v>6453</v>
      </c>
      <c r="G4419" s="10" t="s">
        <v>23</v>
      </c>
      <c r="H4419" s="7" t="s">
        <v>24</v>
      </c>
      <c r="I4419" s="7" t="s">
        <v>25</v>
      </c>
      <c r="J4419" s="13" t="str">
        <f>HYPERLINK("https://www.airitibooks.com/Detail/Detail?PublicationID=P20170502009", "https://www.airitibooks.com/Detail/Detail?PublicationID=P20170502009")</f>
        <v>https://www.airitibooks.com/Detail/Detail?PublicationID=P20170502009</v>
      </c>
      <c r="K4419" s="13" t="str">
        <f>HYPERLINK("https://ntsu.idm.oclc.org/login?url=https://www.airitibooks.com/Detail/Detail?PublicationID=P20170502009", "https://ntsu.idm.oclc.org/login?url=https://www.airitibooks.com/Detail/Detail?PublicationID=P20170502009")</f>
        <v>https://ntsu.idm.oclc.org/login?url=https://www.airitibooks.com/Detail/Detail?PublicationID=P20170502009</v>
      </c>
    </row>
    <row r="4420" spans="1:11" ht="51" x14ac:dyDescent="0.4">
      <c r="A4420" s="10" t="s">
        <v>7893</v>
      </c>
      <c r="B4420" s="10" t="s">
        <v>7894</v>
      </c>
      <c r="C4420" s="10" t="s">
        <v>3473</v>
      </c>
      <c r="D4420" s="10" t="s">
        <v>7895</v>
      </c>
      <c r="E4420" s="10" t="s">
        <v>70</v>
      </c>
      <c r="F4420" s="10" t="s">
        <v>2492</v>
      </c>
      <c r="G4420" s="10" t="s">
        <v>23</v>
      </c>
      <c r="H4420" s="7" t="s">
        <v>24</v>
      </c>
      <c r="I4420" s="7" t="s">
        <v>25</v>
      </c>
      <c r="J4420" s="13" t="str">
        <f>HYPERLINK("https://www.airitibooks.com/Detail/Detail?PublicationID=P20171129036", "https://www.airitibooks.com/Detail/Detail?PublicationID=P20171129036")</f>
        <v>https://www.airitibooks.com/Detail/Detail?PublicationID=P20171129036</v>
      </c>
      <c r="K4420" s="13" t="str">
        <f>HYPERLINK("https://ntsu.idm.oclc.org/login?url=https://www.airitibooks.com/Detail/Detail?PublicationID=P20171129036", "https://ntsu.idm.oclc.org/login?url=https://www.airitibooks.com/Detail/Detail?PublicationID=P20171129036")</f>
        <v>https://ntsu.idm.oclc.org/login?url=https://www.airitibooks.com/Detail/Detail?PublicationID=P20171129036</v>
      </c>
    </row>
    <row r="4421" spans="1:11" ht="51" x14ac:dyDescent="0.4">
      <c r="A4421" s="10" t="s">
        <v>7896</v>
      </c>
      <c r="B4421" s="10" t="s">
        <v>7897</v>
      </c>
      <c r="C4421" s="10" t="s">
        <v>3473</v>
      </c>
      <c r="D4421" s="10" t="s">
        <v>7898</v>
      </c>
      <c r="E4421" s="10" t="s">
        <v>70</v>
      </c>
      <c r="F4421" s="10" t="s">
        <v>7899</v>
      </c>
      <c r="G4421" s="10" t="s">
        <v>23</v>
      </c>
      <c r="H4421" s="7" t="s">
        <v>24</v>
      </c>
      <c r="I4421" s="7" t="s">
        <v>25</v>
      </c>
      <c r="J4421" s="13" t="str">
        <f>HYPERLINK("https://www.airitibooks.com/Detail/Detail?PublicationID=P20171129040", "https://www.airitibooks.com/Detail/Detail?PublicationID=P20171129040")</f>
        <v>https://www.airitibooks.com/Detail/Detail?PublicationID=P20171129040</v>
      </c>
      <c r="K4421" s="13" t="str">
        <f>HYPERLINK("https://ntsu.idm.oclc.org/login?url=https://www.airitibooks.com/Detail/Detail?PublicationID=P20171129040", "https://ntsu.idm.oclc.org/login?url=https://www.airitibooks.com/Detail/Detail?PublicationID=P20171129040")</f>
        <v>https://ntsu.idm.oclc.org/login?url=https://www.airitibooks.com/Detail/Detail?PublicationID=P20171129040</v>
      </c>
    </row>
    <row r="4422" spans="1:11" ht="51" x14ac:dyDescent="0.4">
      <c r="A4422" s="10" t="s">
        <v>7900</v>
      </c>
      <c r="B4422" s="10" t="s">
        <v>7901</v>
      </c>
      <c r="C4422" s="10" t="s">
        <v>3473</v>
      </c>
      <c r="D4422" s="10" t="s">
        <v>7898</v>
      </c>
      <c r="E4422" s="10" t="s">
        <v>70</v>
      </c>
      <c r="F4422" s="10" t="s">
        <v>3856</v>
      </c>
      <c r="G4422" s="10" t="s">
        <v>23</v>
      </c>
      <c r="H4422" s="7" t="s">
        <v>24</v>
      </c>
      <c r="I4422" s="7" t="s">
        <v>25</v>
      </c>
      <c r="J4422" s="13" t="str">
        <f>HYPERLINK("https://www.airitibooks.com/Detail/Detail?PublicationID=P20171129041", "https://www.airitibooks.com/Detail/Detail?PublicationID=P20171129041")</f>
        <v>https://www.airitibooks.com/Detail/Detail?PublicationID=P20171129041</v>
      </c>
      <c r="K4422" s="13" t="str">
        <f>HYPERLINK("https://ntsu.idm.oclc.org/login?url=https://www.airitibooks.com/Detail/Detail?PublicationID=P20171129041", "https://ntsu.idm.oclc.org/login?url=https://www.airitibooks.com/Detail/Detail?PublicationID=P20171129041")</f>
        <v>https://ntsu.idm.oclc.org/login?url=https://www.airitibooks.com/Detail/Detail?PublicationID=P20171129041</v>
      </c>
    </row>
    <row r="4423" spans="1:11" ht="51" x14ac:dyDescent="0.4">
      <c r="A4423" s="10" t="s">
        <v>7902</v>
      </c>
      <c r="B4423" s="10" t="s">
        <v>7903</v>
      </c>
      <c r="C4423" s="10" t="s">
        <v>3473</v>
      </c>
      <c r="D4423" s="10" t="s">
        <v>7898</v>
      </c>
      <c r="E4423" s="10" t="s">
        <v>70</v>
      </c>
      <c r="F4423" s="10" t="s">
        <v>1131</v>
      </c>
      <c r="G4423" s="10" t="s">
        <v>23</v>
      </c>
      <c r="H4423" s="7" t="s">
        <v>24</v>
      </c>
      <c r="I4423" s="7" t="s">
        <v>25</v>
      </c>
      <c r="J4423" s="13" t="str">
        <f>HYPERLINK("https://www.airitibooks.com/Detail/Detail?PublicationID=P20171129042", "https://www.airitibooks.com/Detail/Detail?PublicationID=P20171129042")</f>
        <v>https://www.airitibooks.com/Detail/Detail?PublicationID=P20171129042</v>
      </c>
      <c r="K4423" s="13" t="str">
        <f>HYPERLINK("https://ntsu.idm.oclc.org/login?url=https://www.airitibooks.com/Detail/Detail?PublicationID=P20171129042", "https://ntsu.idm.oclc.org/login?url=https://www.airitibooks.com/Detail/Detail?PublicationID=P20171129042")</f>
        <v>https://ntsu.idm.oclc.org/login?url=https://www.airitibooks.com/Detail/Detail?PublicationID=P20171129042</v>
      </c>
    </row>
    <row r="4424" spans="1:11" ht="51" x14ac:dyDescent="0.4">
      <c r="A4424" s="10" t="s">
        <v>7904</v>
      </c>
      <c r="B4424" s="10" t="s">
        <v>7905</v>
      </c>
      <c r="C4424" s="10" t="s">
        <v>3473</v>
      </c>
      <c r="D4424" s="10" t="s">
        <v>7898</v>
      </c>
      <c r="E4424" s="10" t="s">
        <v>70</v>
      </c>
      <c r="F4424" s="10" t="s">
        <v>3848</v>
      </c>
      <c r="G4424" s="10" t="s">
        <v>23</v>
      </c>
      <c r="H4424" s="7" t="s">
        <v>24</v>
      </c>
      <c r="I4424" s="7" t="s">
        <v>25</v>
      </c>
      <c r="J4424" s="13" t="str">
        <f>HYPERLINK("https://www.airitibooks.com/Detail/Detail?PublicationID=P20171129045", "https://www.airitibooks.com/Detail/Detail?PublicationID=P20171129045")</f>
        <v>https://www.airitibooks.com/Detail/Detail?PublicationID=P20171129045</v>
      </c>
      <c r="K4424" s="13" t="str">
        <f>HYPERLINK("https://ntsu.idm.oclc.org/login?url=https://www.airitibooks.com/Detail/Detail?PublicationID=P20171129045", "https://ntsu.idm.oclc.org/login?url=https://www.airitibooks.com/Detail/Detail?PublicationID=P20171129045")</f>
        <v>https://ntsu.idm.oclc.org/login?url=https://www.airitibooks.com/Detail/Detail?PublicationID=P20171129045</v>
      </c>
    </row>
    <row r="4425" spans="1:11" ht="51" x14ac:dyDescent="0.4">
      <c r="A4425" s="10" t="s">
        <v>7906</v>
      </c>
      <c r="B4425" s="10" t="s">
        <v>7907</v>
      </c>
      <c r="C4425" s="10" t="s">
        <v>3473</v>
      </c>
      <c r="D4425" s="10" t="s">
        <v>7898</v>
      </c>
      <c r="E4425" s="10" t="s">
        <v>70</v>
      </c>
      <c r="F4425" s="10" t="s">
        <v>7880</v>
      </c>
      <c r="G4425" s="10" t="s">
        <v>23</v>
      </c>
      <c r="H4425" s="7" t="s">
        <v>24</v>
      </c>
      <c r="I4425" s="7" t="s">
        <v>25</v>
      </c>
      <c r="J4425" s="13" t="str">
        <f>HYPERLINK("https://www.airitibooks.com/Detail/Detail?PublicationID=P20171129046", "https://www.airitibooks.com/Detail/Detail?PublicationID=P20171129046")</f>
        <v>https://www.airitibooks.com/Detail/Detail?PublicationID=P20171129046</v>
      </c>
      <c r="K4425" s="13" t="str">
        <f>HYPERLINK("https://ntsu.idm.oclc.org/login?url=https://www.airitibooks.com/Detail/Detail?PublicationID=P20171129046", "https://ntsu.idm.oclc.org/login?url=https://www.airitibooks.com/Detail/Detail?PublicationID=P20171129046")</f>
        <v>https://ntsu.idm.oclc.org/login?url=https://www.airitibooks.com/Detail/Detail?PublicationID=P20171129046</v>
      </c>
    </row>
    <row r="4426" spans="1:11" ht="51" x14ac:dyDescent="0.4">
      <c r="A4426" s="10" t="s">
        <v>7945</v>
      </c>
      <c r="B4426" s="10" t="s">
        <v>7946</v>
      </c>
      <c r="C4426" s="10" t="s">
        <v>3473</v>
      </c>
      <c r="D4426" s="10" t="s">
        <v>3477</v>
      </c>
      <c r="E4426" s="10" t="s">
        <v>70</v>
      </c>
      <c r="F4426" s="10" t="s">
        <v>2660</v>
      </c>
      <c r="G4426" s="10" t="s">
        <v>23</v>
      </c>
      <c r="H4426" s="7" t="s">
        <v>24</v>
      </c>
      <c r="I4426" s="7" t="s">
        <v>25</v>
      </c>
      <c r="J4426" s="13" t="str">
        <f>HYPERLINK("https://www.airitibooks.com/Detail/Detail?PublicationID=P20171129118", "https://www.airitibooks.com/Detail/Detail?PublicationID=P20171129118")</f>
        <v>https://www.airitibooks.com/Detail/Detail?PublicationID=P20171129118</v>
      </c>
      <c r="K4426" s="13" t="str">
        <f>HYPERLINK("https://ntsu.idm.oclc.org/login?url=https://www.airitibooks.com/Detail/Detail?PublicationID=P20171129118", "https://ntsu.idm.oclc.org/login?url=https://www.airitibooks.com/Detail/Detail?PublicationID=P20171129118")</f>
        <v>https://ntsu.idm.oclc.org/login?url=https://www.airitibooks.com/Detail/Detail?PublicationID=P20171129118</v>
      </c>
    </row>
    <row r="4427" spans="1:11" ht="51" x14ac:dyDescent="0.4">
      <c r="A4427" s="10" t="s">
        <v>7947</v>
      </c>
      <c r="B4427" s="10" t="s">
        <v>7948</v>
      </c>
      <c r="C4427" s="10" t="s">
        <v>3473</v>
      </c>
      <c r="D4427" s="10" t="s">
        <v>7949</v>
      </c>
      <c r="E4427" s="10" t="s">
        <v>70</v>
      </c>
      <c r="F4427" s="10" t="s">
        <v>7869</v>
      </c>
      <c r="G4427" s="10" t="s">
        <v>23</v>
      </c>
      <c r="H4427" s="7" t="s">
        <v>24</v>
      </c>
      <c r="I4427" s="7" t="s">
        <v>25</v>
      </c>
      <c r="J4427" s="13" t="str">
        <f>HYPERLINK("https://www.airitibooks.com/Detail/Detail?PublicationID=P20171129119", "https://www.airitibooks.com/Detail/Detail?PublicationID=P20171129119")</f>
        <v>https://www.airitibooks.com/Detail/Detail?PublicationID=P20171129119</v>
      </c>
      <c r="K4427" s="13" t="str">
        <f>HYPERLINK("https://ntsu.idm.oclc.org/login?url=https://www.airitibooks.com/Detail/Detail?PublicationID=P20171129119", "https://ntsu.idm.oclc.org/login?url=https://www.airitibooks.com/Detail/Detail?PublicationID=P20171129119")</f>
        <v>https://ntsu.idm.oclc.org/login?url=https://www.airitibooks.com/Detail/Detail?PublicationID=P20171129119</v>
      </c>
    </row>
    <row r="4428" spans="1:11" ht="51" x14ac:dyDescent="0.4">
      <c r="A4428" s="10" t="s">
        <v>7950</v>
      </c>
      <c r="B4428" s="10" t="s">
        <v>7951</v>
      </c>
      <c r="C4428" s="10" t="s">
        <v>3473</v>
      </c>
      <c r="D4428" s="10" t="s">
        <v>7898</v>
      </c>
      <c r="E4428" s="10" t="s">
        <v>70</v>
      </c>
      <c r="F4428" s="10" t="s">
        <v>3848</v>
      </c>
      <c r="G4428" s="10" t="s">
        <v>23</v>
      </c>
      <c r="H4428" s="7" t="s">
        <v>24</v>
      </c>
      <c r="I4428" s="7" t="s">
        <v>25</v>
      </c>
      <c r="J4428" s="13" t="str">
        <f>HYPERLINK("https://www.airitibooks.com/Detail/Detail?PublicationID=P20171129120", "https://www.airitibooks.com/Detail/Detail?PublicationID=P20171129120")</f>
        <v>https://www.airitibooks.com/Detail/Detail?PublicationID=P20171129120</v>
      </c>
      <c r="K4428" s="13" t="str">
        <f>HYPERLINK("https://ntsu.idm.oclc.org/login?url=https://www.airitibooks.com/Detail/Detail?PublicationID=P20171129120", "https://ntsu.idm.oclc.org/login?url=https://www.airitibooks.com/Detail/Detail?PublicationID=P20171129120")</f>
        <v>https://ntsu.idm.oclc.org/login?url=https://www.airitibooks.com/Detail/Detail?PublicationID=P20171129120</v>
      </c>
    </row>
    <row r="4429" spans="1:11" ht="51" x14ac:dyDescent="0.4">
      <c r="A4429" s="10" t="s">
        <v>7952</v>
      </c>
      <c r="B4429" s="10" t="s">
        <v>7953</v>
      </c>
      <c r="C4429" s="10" t="s">
        <v>3473</v>
      </c>
      <c r="D4429" s="10" t="s">
        <v>7954</v>
      </c>
      <c r="E4429" s="10" t="s">
        <v>70</v>
      </c>
      <c r="F4429" s="10" t="s">
        <v>3181</v>
      </c>
      <c r="G4429" s="10" t="s">
        <v>23</v>
      </c>
      <c r="H4429" s="7" t="s">
        <v>24</v>
      </c>
      <c r="I4429" s="7" t="s">
        <v>25</v>
      </c>
      <c r="J4429" s="13" t="str">
        <f>HYPERLINK("https://www.airitibooks.com/Detail/Detail?PublicationID=P20171129124", "https://www.airitibooks.com/Detail/Detail?PublicationID=P20171129124")</f>
        <v>https://www.airitibooks.com/Detail/Detail?PublicationID=P20171129124</v>
      </c>
      <c r="K4429" s="13" t="str">
        <f>HYPERLINK("https://ntsu.idm.oclc.org/login?url=https://www.airitibooks.com/Detail/Detail?PublicationID=P20171129124", "https://ntsu.idm.oclc.org/login?url=https://www.airitibooks.com/Detail/Detail?PublicationID=P20171129124")</f>
        <v>https://ntsu.idm.oclc.org/login?url=https://www.airitibooks.com/Detail/Detail?PublicationID=P20171129124</v>
      </c>
    </row>
    <row r="4430" spans="1:11" ht="68" x14ac:dyDescent="0.4">
      <c r="A4430" s="10" t="s">
        <v>7955</v>
      </c>
      <c r="B4430" s="10" t="s">
        <v>7956</v>
      </c>
      <c r="C4430" s="10" t="s">
        <v>3473</v>
      </c>
      <c r="D4430" s="10" t="s">
        <v>7898</v>
      </c>
      <c r="E4430" s="10" t="s">
        <v>70</v>
      </c>
      <c r="F4430" s="10" t="s">
        <v>7298</v>
      </c>
      <c r="G4430" s="10" t="s">
        <v>23</v>
      </c>
      <c r="H4430" s="7" t="s">
        <v>24</v>
      </c>
      <c r="I4430" s="7" t="s">
        <v>25</v>
      </c>
      <c r="J4430" s="13" t="str">
        <f>HYPERLINK("https://www.airitibooks.com/Detail/Detail?PublicationID=P20171129125", "https://www.airitibooks.com/Detail/Detail?PublicationID=P20171129125")</f>
        <v>https://www.airitibooks.com/Detail/Detail?PublicationID=P20171129125</v>
      </c>
      <c r="K4430" s="13" t="str">
        <f>HYPERLINK("https://ntsu.idm.oclc.org/login?url=https://www.airitibooks.com/Detail/Detail?PublicationID=P20171129125", "https://ntsu.idm.oclc.org/login?url=https://www.airitibooks.com/Detail/Detail?PublicationID=P20171129125")</f>
        <v>https://ntsu.idm.oclc.org/login?url=https://www.airitibooks.com/Detail/Detail?PublicationID=P20171129125</v>
      </c>
    </row>
    <row r="4431" spans="1:11" ht="51" x14ac:dyDescent="0.4">
      <c r="A4431" s="10" t="s">
        <v>8003</v>
      </c>
      <c r="B4431" s="10" t="s">
        <v>8004</v>
      </c>
      <c r="C4431" s="10" t="s">
        <v>791</v>
      </c>
      <c r="D4431" s="10" t="s">
        <v>449</v>
      </c>
      <c r="E4431" s="10" t="s">
        <v>70</v>
      </c>
      <c r="F4431" s="10" t="s">
        <v>214</v>
      </c>
      <c r="G4431" s="10" t="s">
        <v>23</v>
      </c>
      <c r="H4431" s="7" t="s">
        <v>24</v>
      </c>
      <c r="I4431" s="7" t="s">
        <v>25</v>
      </c>
      <c r="J4431" s="13" t="str">
        <f>HYPERLINK("https://www.airitibooks.com/Detail/Detail?PublicationID=P20171130027", "https://www.airitibooks.com/Detail/Detail?PublicationID=P20171130027")</f>
        <v>https://www.airitibooks.com/Detail/Detail?PublicationID=P20171130027</v>
      </c>
      <c r="K4431" s="13" t="str">
        <f>HYPERLINK("https://ntsu.idm.oclc.org/login?url=https://www.airitibooks.com/Detail/Detail?PublicationID=P20171130027", "https://ntsu.idm.oclc.org/login?url=https://www.airitibooks.com/Detail/Detail?PublicationID=P20171130027")</f>
        <v>https://ntsu.idm.oclc.org/login?url=https://www.airitibooks.com/Detail/Detail?PublicationID=P20171130027</v>
      </c>
    </row>
    <row r="4432" spans="1:11" ht="85" x14ac:dyDescent="0.4">
      <c r="A4432" s="10" t="s">
        <v>8005</v>
      </c>
      <c r="B4432" s="10" t="s">
        <v>8006</v>
      </c>
      <c r="C4432" s="10" t="s">
        <v>791</v>
      </c>
      <c r="D4432" s="10" t="s">
        <v>1103</v>
      </c>
      <c r="E4432" s="10" t="s">
        <v>70</v>
      </c>
      <c r="F4432" s="10" t="s">
        <v>1454</v>
      </c>
      <c r="G4432" s="10" t="s">
        <v>23</v>
      </c>
      <c r="H4432" s="7" t="s">
        <v>24</v>
      </c>
      <c r="I4432" s="7" t="s">
        <v>25</v>
      </c>
      <c r="J4432" s="13" t="str">
        <f>HYPERLINK("https://www.airitibooks.com/Detail/Detail?PublicationID=P20171130028", "https://www.airitibooks.com/Detail/Detail?PublicationID=P20171130028")</f>
        <v>https://www.airitibooks.com/Detail/Detail?PublicationID=P20171130028</v>
      </c>
      <c r="K4432" s="13" t="str">
        <f>HYPERLINK("https://ntsu.idm.oclc.org/login?url=https://www.airitibooks.com/Detail/Detail?PublicationID=P20171130028", "https://ntsu.idm.oclc.org/login?url=https://www.airitibooks.com/Detail/Detail?PublicationID=P20171130028")</f>
        <v>https://ntsu.idm.oclc.org/login?url=https://www.airitibooks.com/Detail/Detail?PublicationID=P20171130028</v>
      </c>
    </row>
    <row r="4433" spans="1:11" ht="51" x14ac:dyDescent="0.4">
      <c r="A4433" s="10" t="s">
        <v>9555</v>
      </c>
      <c r="B4433" s="10" t="s">
        <v>9556</v>
      </c>
      <c r="C4433" s="10" t="s">
        <v>5050</v>
      </c>
      <c r="D4433" s="10" t="s">
        <v>9557</v>
      </c>
      <c r="E4433" s="10" t="s">
        <v>70</v>
      </c>
      <c r="F4433" s="10" t="s">
        <v>9558</v>
      </c>
      <c r="G4433" s="10" t="s">
        <v>23</v>
      </c>
      <c r="H4433" s="7" t="s">
        <v>24</v>
      </c>
      <c r="I4433" s="7" t="s">
        <v>25</v>
      </c>
      <c r="J4433" s="13" t="str">
        <f>HYPERLINK("https://www.airitibooks.com/Detail/Detail?PublicationID=P20180703017", "https://www.airitibooks.com/Detail/Detail?PublicationID=P20180703017")</f>
        <v>https://www.airitibooks.com/Detail/Detail?PublicationID=P20180703017</v>
      </c>
      <c r="K4433" s="13" t="str">
        <f>HYPERLINK("https://ntsu.idm.oclc.org/login?url=https://www.airitibooks.com/Detail/Detail?PublicationID=P20180703017", "https://ntsu.idm.oclc.org/login?url=https://www.airitibooks.com/Detail/Detail?PublicationID=P20180703017")</f>
        <v>https://ntsu.idm.oclc.org/login?url=https://www.airitibooks.com/Detail/Detail?PublicationID=P20180703017</v>
      </c>
    </row>
    <row r="4434" spans="1:11" ht="51" x14ac:dyDescent="0.4">
      <c r="A4434" s="10" t="s">
        <v>9647</v>
      </c>
      <c r="B4434" s="10" t="s">
        <v>9648</v>
      </c>
      <c r="C4434" s="10" t="s">
        <v>9644</v>
      </c>
      <c r="D4434" s="10" t="s">
        <v>9645</v>
      </c>
      <c r="E4434" s="10" t="s">
        <v>70</v>
      </c>
      <c r="F4434" s="10" t="s">
        <v>9646</v>
      </c>
      <c r="G4434" s="10" t="s">
        <v>23</v>
      </c>
      <c r="H4434" s="7" t="s">
        <v>24</v>
      </c>
      <c r="I4434" s="7" t="s">
        <v>25</v>
      </c>
      <c r="J4434" s="13" t="str">
        <f>HYPERLINK("https://www.airitibooks.com/Detail/Detail?PublicationID=P20180814010", "https://www.airitibooks.com/Detail/Detail?PublicationID=P20180814010")</f>
        <v>https://www.airitibooks.com/Detail/Detail?PublicationID=P20180814010</v>
      </c>
      <c r="K4434" s="13" t="str">
        <f>HYPERLINK("https://ntsu.idm.oclc.org/login?url=https://www.airitibooks.com/Detail/Detail?PublicationID=P20180814010", "https://ntsu.idm.oclc.org/login?url=https://www.airitibooks.com/Detail/Detail?PublicationID=P20180814010")</f>
        <v>https://ntsu.idm.oclc.org/login?url=https://www.airitibooks.com/Detail/Detail?PublicationID=P20180814010</v>
      </c>
    </row>
    <row r="4435" spans="1:11" ht="51" x14ac:dyDescent="0.4">
      <c r="A4435" s="10" t="s">
        <v>9851</v>
      </c>
      <c r="B4435" s="10" t="s">
        <v>9852</v>
      </c>
      <c r="C4435" s="10" t="s">
        <v>9853</v>
      </c>
      <c r="D4435" s="10" t="s">
        <v>9854</v>
      </c>
      <c r="E4435" s="10" t="s">
        <v>70</v>
      </c>
      <c r="F4435" s="10" t="s">
        <v>250</v>
      </c>
      <c r="G4435" s="10" t="s">
        <v>23</v>
      </c>
      <c r="H4435" s="7" t="s">
        <v>24</v>
      </c>
      <c r="I4435" s="7" t="s">
        <v>25</v>
      </c>
      <c r="J4435" s="13" t="str">
        <f>HYPERLINK("https://www.airitibooks.com/Detail/Detail?PublicationID=P20181003067", "https://www.airitibooks.com/Detail/Detail?PublicationID=P20181003067")</f>
        <v>https://www.airitibooks.com/Detail/Detail?PublicationID=P20181003067</v>
      </c>
      <c r="K4435" s="13" t="str">
        <f>HYPERLINK("https://ntsu.idm.oclc.org/login?url=https://www.airitibooks.com/Detail/Detail?PublicationID=P20181003067", "https://ntsu.idm.oclc.org/login?url=https://www.airitibooks.com/Detail/Detail?PublicationID=P20181003067")</f>
        <v>https://ntsu.idm.oclc.org/login?url=https://www.airitibooks.com/Detail/Detail?PublicationID=P20181003067</v>
      </c>
    </row>
    <row r="4436" spans="1:11" ht="51" x14ac:dyDescent="0.4">
      <c r="A4436" s="10" t="s">
        <v>9999</v>
      </c>
      <c r="B4436" s="10" t="s">
        <v>10000</v>
      </c>
      <c r="C4436" s="10" t="s">
        <v>9828</v>
      </c>
      <c r="D4436" s="10" t="s">
        <v>10001</v>
      </c>
      <c r="E4436" s="10" t="s">
        <v>70</v>
      </c>
      <c r="F4436" s="10" t="s">
        <v>7849</v>
      </c>
      <c r="G4436" s="10" t="s">
        <v>23</v>
      </c>
      <c r="H4436" s="7" t="s">
        <v>1031</v>
      </c>
      <c r="I4436" s="7" t="s">
        <v>25</v>
      </c>
      <c r="J4436" s="13" t="str">
        <f>HYPERLINK("https://www.airitibooks.com/Detail/Detail?PublicationID=P20181109011", "https://www.airitibooks.com/Detail/Detail?PublicationID=P20181109011")</f>
        <v>https://www.airitibooks.com/Detail/Detail?PublicationID=P20181109011</v>
      </c>
      <c r="K4436" s="13" t="str">
        <f>HYPERLINK("https://ntsu.idm.oclc.org/login?url=https://www.airitibooks.com/Detail/Detail?PublicationID=P20181109011", "https://ntsu.idm.oclc.org/login?url=https://www.airitibooks.com/Detail/Detail?PublicationID=P20181109011")</f>
        <v>https://ntsu.idm.oclc.org/login?url=https://www.airitibooks.com/Detail/Detail?PublicationID=P20181109011</v>
      </c>
    </row>
    <row r="4437" spans="1:11" ht="51" x14ac:dyDescent="0.4">
      <c r="A4437" s="10" t="s">
        <v>10360</v>
      </c>
      <c r="B4437" s="10" t="s">
        <v>10361</v>
      </c>
      <c r="C4437" s="10" t="s">
        <v>5901</v>
      </c>
      <c r="D4437" s="10" t="s">
        <v>10362</v>
      </c>
      <c r="E4437" s="10" t="s">
        <v>70</v>
      </c>
      <c r="F4437" s="10" t="s">
        <v>7409</v>
      </c>
      <c r="G4437" s="10" t="s">
        <v>23</v>
      </c>
      <c r="H4437" s="7" t="s">
        <v>7839</v>
      </c>
      <c r="I4437" s="7" t="s">
        <v>25</v>
      </c>
      <c r="J4437" s="13" t="str">
        <f>HYPERLINK("https://www.airitibooks.com/Detail/Detail?PublicationID=P20181214043", "https://www.airitibooks.com/Detail/Detail?PublicationID=P20181214043")</f>
        <v>https://www.airitibooks.com/Detail/Detail?PublicationID=P20181214043</v>
      </c>
      <c r="K4437" s="13" t="str">
        <f>HYPERLINK("https://ntsu.idm.oclc.org/login?url=https://www.airitibooks.com/Detail/Detail?PublicationID=P20181214043", "https://ntsu.idm.oclc.org/login?url=https://www.airitibooks.com/Detail/Detail?PublicationID=P20181214043")</f>
        <v>https://ntsu.idm.oclc.org/login?url=https://www.airitibooks.com/Detail/Detail?PublicationID=P20181214043</v>
      </c>
    </row>
    <row r="4438" spans="1:11" ht="51" x14ac:dyDescent="0.4">
      <c r="A4438" s="10" t="s">
        <v>67</v>
      </c>
      <c r="B4438" s="10" t="s">
        <v>68</v>
      </c>
      <c r="C4438" s="10" t="s">
        <v>28</v>
      </c>
      <c r="D4438" s="10" t="s">
        <v>69</v>
      </c>
      <c r="E4438" s="10" t="s">
        <v>70</v>
      </c>
      <c r="F4438" s="10" t="s">
        <v>71</v>
      </c>
      <c r="G4438" s="10" t="s">
        <v>32</v>
      </c>
      <c r="H4438" s="7" t="s">
        <v>24</v>
      </c>
      <c r="I4438" s="7" t="s">
        <v>25</v>
      </c>
      <c r="J4438" s="13" t="str">
        <f>HYPERLINK("https://www.airitibooks.com/Detail/Detail?PublicationID=P20090620396", "https://www.airitibooks.com/Detail/Detail?PublicationID=P20090620396")</f>
        <v>https://www.airitibooks.com/Detail/Detail?PublicationID=P20090620396</v>
      </c>
      <c r="K4438" s="13" t="str">
        <f>HYPERLINK("https://ntsu.idm.oclc.org/login?url=https://www.airitibooks.com/Detail/Detail?PublicationID=P20090620396", "https://ntsu.idm.oclc.org/login?url=https://www.airitibooks.com/Detail/Detail?PublicationID=P20090620396")</f>
        <v>https://ntsu.idm.oclc.org/login?url=https://www.airitibooks.com/Detail/Detail?PublicationID=P20090620396</v>
      </c>
    </row>
    <row r="4439" spans="1:11" ht="51" x14ac:dyDescent="0.4">
      <c r="A4439" s="10" t="s">
        <v>1144</v>
      </c>
      <c r="B4439" s="10" t="s">
        <v>1145</v>
      </c>
      <c r="C4439" s="10" t="s">
        <v>804</v>
      </c>
      <c r="D4439" s="10" t="s">
        <v>1146</v>
      </c>
      <c r="E4439" s="10" t="s">
        <v>70</v>
      </c>
      <c r="F4439" s="10" t="s">
        <v>1147</v>
      </c>
      <c r="G4439" s="10" t="s">
        <v>32</v>
      </c>
      <c r="H4439" s="7" t="s">
        <v>24</v>
      </c>
      <c r="I4439" s="7" t="s">
        <v>25</v>
      </c>
      <c r="J4439" s="13" t="str">
        <f>HYPERLINK("https://www.airitibooks.com/Detail/Detail?PublicationID=P20140124010", "https://www.airitibooks.com/Detail/Detail?PublicationID=P20140124010")</f>
        <v>https://www.airitibooks.com/Detail/Detail?PublicationID=P20140124010</v>
      </c>
      <c r="K4439" s="13" t="str">
        <f>HYPERLINK("https://ntsu.idm.oclc.org/login?url=https://www.airitibooks.com/Detail/Detail?PublicationID=P20140124010", "https://ntsu.idm.oclc.org/login?url=https://www.airitibooks.com/Detail/Detail?PublicationID=P20140124010")</f>
        <v>https://ntsu.idm.oclc.org/login?url=https://www.airitibooks.com/Detail/Detail?PublicationID=P20140124010</v>
      </c>
    </row>
    <row r="4440" spans="1:11" ht="51" x14ac:dyDescent="0.4">
      <c r="A4440" s="10" t="s">
        <v>1314</v>
      </c>
      <c r="B4440" s="10" t="s">
        <v>1315</v>
      </c>
      <c r="C4440" s="10" t="s">
        <v>1114</v>
      </c>
      <c r="D4440" s="10" t="s">
        <v>1316</v>
      </c>
      <c r="E4440" s="10" t="s">
        <v>70</v>
      </c>
      <c r="F4440" s="10" t="s">
        <v>1317</v>
      </c>
      <c r="G4440" s="10" t="s">
        <v>32</v>
      </c>
      <c r="H4440" s="7" t="s">
        <v>24</v>
      </c>
      <c r="I4440" s="7" t="s">
        <v>25</v>
      </c>
      <c r="J4440" s="13" t="str">
        <f>HYPERLINK("https://www.airitibooks.com/Detail/Detail?PublicationID=P20140814006", "https://www.airitibooks.com/Detail/Detail?PublicationID=P20140814006")</f>
        <v>https://www.airitibooks.com/Detail/Detail?PublicationID=P20140814006</v>
      </c>
      <c r="K4440" s="13" t="str">
        <f>HYPERLINK("https://ntsu.idm.oclc.org/login?url=https://www.airitibooks.com/Detail/Detail?PublicationID=P20140814006", "https://ntsu.idm.oclc.org/login?url=https://www.airitibooks.com/Detail/Detail?PublicationID=P20140814006")</f>
        <v>https://ntsu.idm.oclc.org/login?url=https://www.airitibooks.com/Detail/Detail?PublicationID=P20140814006</v>
      </c>
    </row>
    <row r="4441" spans="1:11" ht="51" x14ac:dyDescent="0.4">
      <c r="A4441" s="10" t="s">
        <v>1355</v>
      </c>
      <c r="B4441" s="10" t="s">
        <v>1356</v>
      </c>
      <c r="C4441" s="10" t="s">
        <v>1340</v>
      </c>
      <c r="D4441" s="10" t="s">
        <v>1341</v>
      </c>
      <c r="E4441" s="10" t="s">
        <v>70</v>
      </c>
      <c r="F4441" s="10" t="s">
        <v>1342</v>
      </c>
      <c r="G4441" s="10" t="s">
        <v>32</v>
      </c>
      <c r="H4441" s="7" t="s">
        <v>24</v>
      </c>
      <c r="I4441" s="7" t="s">
        <v>25</v>
      </c>
      <c r="J4441" s="13" t="str">
        <f>HYPERLINK("https://www.airitibooks.com/Detail/Detail?PublicationID=P20140819021", "https://www.airitibooks.com/Detail/Detail?PublicationID=P20140819021")</f>
        <v>https://www.airitibooks.com/Detail/Detail?PublicationID=P20140819021</v>
      </c>
      <c r="K4441" s="13" t="str">
        <f>HYPERLINK("https://ntsu.idm.oclc.org/login?url=https://www.airitibooks.com/Detail/Detail?PublicationID=P20140819021", "https://ntsu.idm.oclc.org/login?url=https://www.airitibooks.com/Detail/Detail?PublicationID=P20140819021")</f>
        <v>https://ntsu.idm.oclc.org/login?url=https://www.airitibooks.com/Detail/Detail?PublicationID=P20140819021</v>
      </c>
    </row>
    <row r="4442" spans="1:11" ht="51" x14ac:dyDescent="0.4">
      <c r="A4442" s="10" t="s">
        <v>1357</v>
      </c>
      <c r="B4442" s="10" t="s">
        <v>1358</v>
      </c>
      <c r="C4442" s="10" t="s">
        <v>1340</v>
      </c>
      <c r="D4442" s="10" t="s">
        <v>1341</v>
      </c>
      <c r="E4442" s="10" t="s">
        <v>70</v>
      </c>
      <c r="F4442" s="10" t="s">
        <v>1342</v>
      </c>
      <c r="G4442" s="10" t="s">
        <v>32</v>
      </c>
      <c r="H4442" s="7" t="s">
        <v>24</v>
      </c>
      <c r="I4442" s="7" t="s">
        <v>25</v>
      </c>
      <c r="J4442" s="13" t="str">
        <f>HYPERLINK("https://www.airitibooks.com/Detail/Detail?PublicationID=P20140819022", "https://www.airitibooks.com/Detail/Detail?PublicationID=P20140819022")</f>
        <v>https://www.airitibooks.com/Detail/Detail?PublicationID=P20140819022</v>
      </c>
      <c r="K4442" s="13" t="str">
        <f>HYPERLINK("https://ntsu.idm.oclc.org/login?url=https://www.airitibooks.com/Detail/Detail?PublicationID=P20140819022", "https://ntsu.idm.oclc.org/login?url=https://www.airitibooks.com/Detail/Detail?PublicationID=P20140819022")</f>
        <v>https://ntsu.idm.oclc.org/login?url=https://www.airitibooks.com/Detail/Detail?PublicationID=P20140819022</v>
      </c>
    </row>
    <row r="4443" spans="1:11" ht="51" x14ac:dyDescent="0.4">
      <c r="A4443" s="10" t="s">
        <v>1359</v>
      </c>
      <c r="B4443" s="10" t="s">
        <v>1360</v>
      </c>
      <c r="C4443" s="10" t="s">
        <v>1340</v>
      </c>
      <c r="D4443" s="10" t="s">
        <v>1341</v>
      </c>
      <c r="E4443" s="10" t="s">
        <v>70</v>
      </c>
      <c r="F4443" s="10" t="s">
        <v>1342</v>
      </c>
      <c r="G4443" s="10" t="s">
        <v>32</v>
      </c>
      <c r="H4443" s="7" t="s">
        <v>24</v>
      </c>
      <c r="I4443" s="7" t="s">
        <v>25</v>
      </c>
      <c r="J4443" s="13" t="str">
        <f>HYPERLINK("https://www.airitibooks.com/Detail/Detail?PublicationID=P20140819023", "https://www.airitibooks.com/Detail/Detail?PublicationID=P20140819023")</f>
        <v>https://www.airitibooks.com/Detail/Detail?PublicationID=P20140819023</v>
      </c>
      <c r="K4443" s="13" t="str">
        <f>HYPERLINK("https://ntsu.idm.oclc.org/login?url=https://www.airitibooks.com/Detail/Detail?PublicationID=P20140819023", "https://ntsu.idm.oclc.org/login?url=https://www.airitibooks.com/Detail/Detail?PublicationID=P20140819023")</f>
        <v>https://ntsu.idm.oclc.org/login?url=https://www.airitibooks.com/Detail/Detail?PublicationID=P20140819023</v>
      </c>
    </row>
    <row r="4444" spans="1:11" ht="51" x14ac:dyDescent="0.4">
      <c r="A4444" s="10" t="s">
        <v>1361</v>
      </c>
      <c r="B4444" s="10" t="s">
        <v>1362</v>
      </c>
      <c r="C4444" s="10" t="s">
        <v>1340</v>
      </c>
      <c r="D4444" s="10" t="s">
        <v>1341</v>
      </c>
      <c r="E4444" s="10" t="s">
        <v>70</v>
      </c>
      <c r="F4444" s="10" t="s">
        <v>1342</v>
      </c>
      <c r="G4444" s="10" t="s">
        <v>32</v>
      </c>
      <c r="H4444" s="7" t="s">
        <v>24</v>
      </c>
      <c r="I4444" s="7" t="s">
        <v>25</v>
      </c>
      <c r="J4444" s="13" t="str">
        <f>HYPERLINK("https://www.airitibooks.com/Detail/Detail?PublicationID=P20140819024", "https://www.airitibooks.com/Detail/Detail?PublicationID=P20140819024")</f>
        <v>https://www.airitibooks.com/Detail/Detail?PublicationID=P20140819024</v>
      </c>
      <c r="K4444" s="13" t="str">
        <f>HYPERLINK("https://ntsu.idm.oclc.org/login?url=https://www.airitibooks.com/Detail/Detail?PublicationID=P20140819024", "https://ntsu.idm.oclc.org/login?url=https://www.airitibooks.com/Detail/Detail?PublicationID=P20140819024")</f>
        <v>https://ntsu.idm.oclc.org/login?url=https://www.airitibooks.com/Detail/Detail?PublicationID=P20140819024</v>
      </c>
    </row>
    <row r="4445" spans="1:11" ht="51" x14ac:dyDescent="0.4">
      <c r="A4445" s="10" t="s">
        <v>1363</v>
      </c>
      <c r="B4445" s="10" t="s">
        <v>1364</v>
      </c>
      <c r="C4445" s="10" t="s">
        <v>1340</v>
      </c>
      <c r="D4445" s="10" t="s">
        <v>1341</v>
      </c>
      <c r="E4445" s="10" t="s">
        <v>70</v>
      </c>
      <c r="F4445" s="10" t="s">
        <v>1342</v>
      </c>
      <c r="G4445" s="10" t="s">
        <v>32</v>
      </c>
      <c r="H4445" s="7" t="s">
        <v>24</v>
      </c>
      <c r="I4445" s="7" t="s">
        <v>25</v>
      </c>
      <c r="J4445" s="13" t="str">
        <f>HYPERLINK("https://www.airitibooks.com/Detail/Detail?PublicationID=P20140819025", "https://www.airitibooks.com/Detail/Detail?PublicationID=P20140819025")</f>
        <v>https://www.airitibooks.com/Detail/Detail?PublicationID=P20140819025</v>
      </c>
      <c r="K4445" s="13" t="str">
        <f>HYPERLINK("https://ntsu.idm.oclc.org/login?url=https://www.airitibooks.com/Detail/Detail?PublicationID=P20140819025", "https://ntsu.idm.oclc.org/login?url=https://www.airitibooks.com/Detail/Detail?PublicationID=P20140819025")</f>
        <v>https://ntsu.idm.oclc.org/login?url=https://www.airitibooks.com/Detail/Detail?PublicationID=P20140819025</v>
      </c>
    </row>
    <row r="4446" spans="1:11" ht="51" x14ac:dyDescent="0.4">
      <c r="A4446" s="10" t="s">
        <v>1365</v>
      </c>
      <c r="B4446" s="10" t="s">
        <v>1366</v>
      </c>
      <c r="C4446" s="10" t="s">
        <v>1340</v>
      </c>
      <c r="D4446" s="10" t="s">
        <v>1341</v>
      </c>
      <c r="E4446" s="10" t="s">
        <v>70</v>
      </c>
      <c r="F4446" s="10" t="s">
        <v>1342</v>
      </c>
      <c r="G4446" s="10" t="s">
        <v>32</v>
      </c>
      <c r="H4446" s="7" t="s">
        <v>24</v>
      </c>
      <c r="I4446" s="7" t="s">
        <v>25</v>
      </c>
      <c r="J4446" s="13" t="str">
        <f>HYPERLINK("https://www.airitibooks.com/Detail/Detail?PublicationID=P20140819026", "https://www.airitibooks.com/Detail/Detail?PublicationID=P20140819026")</f>
        <v>https://www.airitibooks.com/Detail/Detail?PublicationID=P20140819026</v>
      </c>
      <c r="K4446" s="13" t="str">
        <f>HYPERLINK("https://ntsu.idm.oclc.org/login?url=https://www.airitibooks.com/Detail/Detail?PublicationID=P20140819026", "https://ntsu.idm.oclc.org/login?url=https://www.airitibooks.com/Detail/Detail?PublicationID=P20140819026")</f>
        <v>https://ntsu.idm.oclc.org/login?url=https://www.airitibooks.com/Detail/Detail?PublicationID=P20140819026</v>
      </c>
    </row>
    <row r="4447" spans="1:11" ht="51" x14ac:dyDescent="0.4">
      <c r="A4447" s="10" t="s">
        <v>1367</v>
      </c>
      <c r="B4447" s="10" t="s">
        <v>1368</v>
      </c>
      <c r="C4447" s="10" t="s">
        <v>1340</v>
      </c>
      <c r="D4447" s="10" t="s">
        <v>1341</v>
      </c>
      <c r="E4447" s="10" t="s">
        <v>70</v>
      </c>
      <c r="F4447" s="10" t="s">
        <v>1342</v>
      </c>
      <c r="G4447" s="10" t="s">
        <v>32</v>
      </c>
      <c r="H4447" s="7" t="s">
        <v>24</v>
      </c>
      <c r="I4447" s="7" t="s">
        <v>25</v>
      </c>
      <c r="J4447" s="13" t="str">
        <f>HYPERLINK("https://www.airitibooks.com/Detail/Detail?PublicationID=P20140819027", "https://www.airitibooks.com/Detail/Detail?PublicationID=P20140819027")</f>
        <v>https://www.airitibooks.com/Detail/Detail?PublicationID=P20140819027</v>
      </c>
      <c r="K4447" s="13" t="str">
        <f>HYPERLINK("https://ntsu.idm.oclc.org/login?url=https://www.airitibooks.com/Detail/Detail?PublicationID=P20140819027", "https://ntsu.idm.oclc.org/login?url=https://www.airitibooks.com/Detail/Detail?PublicationID=P20140819027")</f>
        <v>https://ntsu.idm.oclc.org/login?url=https://www.airitibooks.com/Detail/Detail?PublicationID=P20140819027</v>
      </c>
    </row>
    <row r="4448" spans="1:11" ht="51" x14ac:dyDescent="0.4">
      <c r="A4448" s="10" t="s">
        <v>1369</v>
      </c>
      <c r="B4448" s="10" t="s">
        <v>1370</v>
      </c>
      <c r="C4448" s="10" t="s">
        <v>1340</v>
      </c>
      <c r="D4448" s="10" t="s">
        <v>1341</v>
      </c>
      <c r="E4448" s="10" t="s">
        <v>70</v>
      </c>
      <c r="F4448" s="10" t="s">
        <v>1342</v>
      </c>
      <c r="G4448" s="10" t="s">
        <v>32</v>
      </c>
      <c r="H4448" s="7" t="s">
        <v>24</v>
      </c>
      <c r="I4448" s="7" t="s">
        <v>25</v>
      </c>
      <c r="J4448" s="13" t="str">
        <f>HYPERLINK("https://www.airitibooks.com/Detail/Detail?PublicationID=P20140819028", "https://www.airitibooks.com/Detail/Detail?PublicationID=P20140819028")</f>
        <v>https://www.airitibooks.com/Detail/Detail?PublicationID=P20140819028</v>
      </c>
      <c r="K4448" s="13" t="str">
        <f>HYPERLINK("https://ntsu.idm.oclc.org/login?url=https://www.airitibooks.com/Detail/Detail?PublicationID=P20140819028", "https://ntsu.idm.oclc.org/login?url=https://www.airitibooks.com/Detail/Detail?PublicationID=P20140819028")</f>
        <v>https://ntsu.idm.oclc.org/login?url=https://www.airitibooks.com/Detail/Detail?PublicationID=P20140819028</v>
      </c>
    </row>
    <row r="4449" spans="1:11" ht="51" x14ac:dyDescent="0.4">
      <c r="A4449" s="10" t="s">
        <v>1371</v>
      </c>
      <c r="B4449" s="10" t="s">
        <v>1372</v>
      </c>
      <c r="C4449" s="10" t="s">
        <v>1340</v>
      </c>
      <c r="D4449" s="10" t="s">
        <v>1341</v>
      </c>
      <c r="E4449" s="10" t="s">
        <v>70</v>
      </c>
      <c r="F4449" s="10" t="s">
        <v>1342</v>
      </c>
      <c r="G4449" s="10" t="s">
        <v>32</v>
      </c>
      <c r="H4449" s="7" t="s">
        <v>24</v>
      </c>
      <c r="I4449" s="7" t="s">
        <v>25</v>
      </c>
      <c r="J4449" s="13" t="str">
        <f>HYPERLINK("https://www.airitibooks.com/Detail/Detail?PublicationID=P20140819029", "https://www.airitibooks.com/Detail/Detail?PublicationID=P20140819029")</f>
        <v>https://www.airitibooks.com/Detail/Detail?PublicationID=P20140819029</v>
      </c>
      <c r="K4449" s="13" t="str">
        <f>HYPERLINK("https://ntsu.idm.oclc.org/login?url=https://www.airitibooks.com/Detail/Detail?PublicationID=P20140819029", "https://ntsu.idm.oclc.org/login?url=https://www.airitibooks.com/Detail/Detail?PublicationID=P20140819029")</f>
        <v>https://ntsu.idm.oclc.org/login?url=https://www.airitibooks.com/Detail/Detail?PublicationID=P20140819029</v>
      </c>
    </row>
    <row r="4450" spans="1:11" ht="85" x14ac:dyDescent="0.4">
      <c r="A4450" s="10" t="s">
        <v>1373</v>
      </c>
      <c r="B4450" s="10" t="s">
        <v>1374</v>
      </c>
      <c r="C4450" s="10" t="s">
        <v>1375</v>
      </c>
      <c r="D4450" s="10" t="s">
        <v>1376</v>
      </c>
      <c r="E4450" s="10" t="s">
        <v>70</v>
      </c>
      <c r="F4450" s="10" t="s">
        <v>1377</v>
      </c>
      <c r="G4450" s="10" t="s">
        <v>32</v>
      </c>
      <c r="H4450" s="7" t="s">
        <v>24</v>
      </c>
      <c r="I4450" s="7" t="s">
        <v>25</v>
      </c>
      <c r="J4450" s="13" t="str">
        <f>HYPERLINK("https://www.airitibooks.com/Detail/Detail?PublicationID=P20140821001", "https://www.airitibooks.com/Detail/Detail?PublicationID=P20140821001")</f>
        <v>https://www.airitibooks.com/Detail/Detail?PublicationID=P20140821001</v>
      </c>
      <c r="K4450" s="13" t="str">
        <f>HYPERLINK("https://ntsu.idm.oclc.org/login?url=https://www.airitibooks.com/Detail/Detail?PublicationID=P20140821001", "https://ntsu.idm.oclc.org/login?url=https://www.airitibooks.com/Detail/Detail?PublicationID=P20140821001")</f>
        <v>https://ntsu.idm.oclc.org/login?url=https://www.airitibooks.com/Detail/Detail?PublicationID=P20140821001</v>
      </c>
    </row>
    <row r="4451" spans="1:11" ht="51" x14ac:dyDescent="0.4">
      <c r="A4451" s="10" t="s">
        <v>1395</v>
      </c>
      <c r="B4451" s="10" t="s">
        <v>1396</v>
      </c>
      <c r="C4451" s="10" t="s">
        <v>297</v>
      </c>
      <c r="D4451" s="10" t="s">
        <v>1397</v>
      </c>
      <c r="E4451" s="10" t="s">
        <v>70</v>
      </c>
      <c r="F4451" s="10" t="s">
        <v>158</v>
      </c>
      <c r="G4451" s="10" t="s">
        <v>32</v>
      </c>
      <c r="H4451" s="7" t="s">
        <v>24</v>
      </c>
      <c r="I4451" s="7" t="s">
        <v>25</v>
      </c>
      <c r="J4451" s="13" t="str">
        <f>HYPERLINK("https://www.airitibooks.com/Detail/Detail?PublicationID=P20140821023", "https://www.airitibooks.com/Detail/Detail?PublicationID=P20140821023")</f>
        <v>https://www.airitibooks.com/Detail/Detail?PublicationID=P20140821023</v>
      </c>
      <c r="K4451" s="13" t="str">
        <f>HYPERLINK("https://ntsu.idm.oclc.org/login?url=https://www.airitibooks.com/Detail/Detail?PublicationID=P20140821023", "https://ntsu.idm.oclc.org/login?url=https://www.airitibooks.com/Detail/Detail?PublicationID=P20140821023")</f>
        <v>https://ntsu.idm.oclc.org/login?url=https://www.airitibooks.com/Detail/Detail?PublicationID=P20140821023</v>
      </c>
    </row>
    <row r="4452" spans="1:11" ht="51" x14ac:dyDescent="0.4">
      <c r="A4452" s="10" t="s">
        <v>1401</v>
      </c>
      <c r="B4452" s="10" t="s">
        <v>1402</v>
      </c>
      <c r="C4452" s="10" t="s">
        <v>297</v>
      </c>
      <c r="D4452" s="10" t="s">
        <v>1403</v>
      </c>
      <c r="E4452" s="10" t="s">
        <v>70</v>
      </c>
      <c r="F4452" s="10" t="s">
        <v>274</v>
      </c>
      <c r="G4452" s="10" t="s">
        <v>32</v>
      </c>
      <c r="H4452" s="7" t="s">
        <v>24</v>
      </c>
      <c r="I4452" s="7" t="s">
        <v>25</v>
      </c>
      <c r="J4452" s="13" t="str">
        <f>HYPERLINK("https://www.airitibooks.com/Detail/Detail?PublicationID=P20140821026", "https://www.airitibooks.com/Detail/Detail?PublicationID=P20140821026")</f>
        <v>https://www.airitibooks.com/Detail/Detail?PublicationID=P20140821026</v>
      </c>
      <c r="K4452" s="13" t="str">
        <f>HYPERLINK("https://ntsu.idm.oclc.org/login?url=https://www.airitibooks.com/Detail/Detail?PublicationID=P20140821026", "https://ntsu.idm.oclc.org/login?url=https://www.airitibooks.com/Detail/Detail?PublicationID=P20140821026")</f>
        <v>https://ntsu.idm.oclc.org/login?url=https://www.airitibooks.com/Detail/Detail?PublicationID=P20140821026</v>
      </c>
    </row>
    <row r="4453" spans="1:11" ht="51" x14ac:dyDescent="0.4">
      <c r="A4453" s="10" t="s">
        <v>1487</v>
      </c>
      <c r="B4453" s="10" t="s">
        <v>1488</v>
      </c>
      <c r="C4453" s="10" t="s">
        <v>152</v>
      </c>
      <c r="D4453" s="10" t="s">
        <v>1489</v>
      </c>
      <c r="E4453" s="10" t="s">
        <v>70</v>
      </c>
      <c r="F4453" s="10" t="s">
        <v>181</v>
      </c>
      <c r="G4453" s="10" t="s">
        <v>32</v>
      </c>
      <c r="H4453" s="7" t="s">
        <v>24</v>
      </c>
      <c r="I4453" s="7" t="s">
        <v>25</v>
      </c>
      <c r="J4453" s="13" t="str">
        <f>HYPERLINK("https://www.airitibooks.com/Detail/Detail?PublicationID=P20141003013", "https://www.airitibooks.com/Detail/Detail?PublicationID=P20141003013")</f>
        <v>https://www.airitibooks.com/Detail/Detail?PublicationID=P20141003013</v>
      </c>
      <c r="K4453" s="13" t="str">
        <f>HYPERLINK("https://ntsu.idm.oclc.org/login?url=https://www.airitibooks.com/Detail/Detail?PublicationID=P20141003013", "https://ntsu.idm.oclc.org/login?url=https://www.airitibooks.com/Detail/Detail?PublicationID=P20141003013")</f>
        <v>https://ntsu.idm.oclc.org/login?url=https://www.airitibooks.com/Detail/Detail?PublicationID=P20141003013</v>
      </c>
    </row>
    <row r="4454" spans="1:11" ht="51" x14ac:dyDescent="0.4">
      <c r="A4454" s="10" t="s">
        <v>1490</v>
      </c>
      <c r="B4454" s="10" t="s">
        <v>1491</v>
      </c>
      <c r="C4454" s="10" t="s">
        <v>152</v>
      </c>
      <c r="D4454" s="10" t="s">
        <v>1492</v>
      </c>
      <c r="E4454" s="10" t="s">
        <v>70</v>
      </c>
      <c r="F4454" s="10" t="s">
        <v>181</v>
      </c>
      <c r="G4454" s="10" t="s">
        <v>32</v>
      </c>
      <c r="H4454" s="7" t="s">
        <v>24</v>
      </c>
      <c r="I4454" s="7" t="s">
        <v>25</v>
      </c>
      <c r="J4454" s="13" t="str">
        <f>HYPERLINK("https://www.airitibooks.com/Detail/Detail?PublicationID=P20141003015", "https://www.airitibooks.com/Detail/Detail?PublicationID=P20141003015")</f>
        <v>https://www.airitibooks.com/Detail/Detail?PublicationID=P20141003015</v>
      </c>
      <c r="K4454" s="13" t="str">
        <f>HYPERLINK("https://ntsu.idm.oclc.org/login?url=https://www.airitibooks.com/Detail/Detail?PublicationID=P20141003015", "https://ntsu.idm.oclc.org/login?url=https://www.airitibooks.com/Detail/Detail?PublicationID=P20141003015")</f>
        <v>https://ntsu.idm.oclc.org/login?url=https://www.airitibooks.com/Detail/Detail?PublicationID=P20141003015</v>
      </c>
    </row>
    <row r="4455" spans="1:11" ht="51" x14ac:dyDescent="0.4">
      <c r="A4455" s="10" t="s">
        <v>1493</v>
      </c>
      <c r="B4455" s="10" t="s">
        <v>1494</v>
      </c>
      <c r="C4455" s="10" t="s">
        <v>152</v>
      </c>
      <c r="D4455" s="10" t="s">
        <v>1495</v>
      </c>
      <c r="E4455" s="10" t="s">
        <v>70</v>
      </c>
      <c r="F4455" s="10" t="s">
        <v>181</v>
      </c>
      <c r="G4455" s="10" t="s">
        <v>32</v>
      </c>
      <c r="H4455" s="7" t="s">
        <v>24</v>
      </c>
      <c r="I4455" s="7" t="s">
        <v>25</v>
      </c>
      <c r="J4455" s="13" t="str">
        <f>HYPERLINK("https://www.airitibooks.com/Detail/Detail?PublicationID=P20141003017", "https://www.airitibooks.com/Detail/Detail?PublicationID=P20141003017")</f>
        <v>https://www.airitibooks.com/Detail/Detail?PublicationID=P20141003017</v>
      </c>
      <c r="K4455" s="13" t="str">
        <f>HYPERLINK("https://ntsu.idm.oclc.org/login?url=https://www.airitibooks.com/Detail/Detail?PublicationID=P20141003017", "https://ntsu.idm.oclc.org/login?url=https://www.airitibooks.com/Detail/Detail?PublicationID=P20141003017")</f>
        <v>https://ntsu.idm.oclc.org/login?url=https://www.airitibooks.com/Detail/Detail?PublicationID=P20141003017</v>
      </c>
    </row>
    <row r="4456" spans="1:11" ht="51" x14ac:dyDescent="0.4">
      <c r="A4456" s="10" t="s">
        <v>1496</v>
      </c>
      <c r="B4456" s="10" t="s">
        <v>1497</v>
      </c>
      <c r="C4456" s="10" t="s">
        <v>152</v>
      </c>
      <c r="D4456" s="10" t="s">
        <v>1498</v>
      </c>
      <c r="E4456" s="10" t="s">
        <v>70</v>
      </c>
      <c r="F4456" s="10" t="s">
        <v>181</v>
      </c>
      <c r="G4456" s="10" t="s">
        <v>32</v>
      </c>
      <c r="H4456" s="7" t="s">
        <v>24</v>
      </c>
      <c r="I4456" s="7" t="s">
        <v>25</v>
      </c>
      <c r="J4456" s="13" t="str">
        <f>HYPERLINK("https://www.airitibooks.com/Detail/Detail?PublicationID=P20141003018", "https://www.airitibooks.com/Detail/Detail?PublicationID=P20141003018")</f>
        <v>https://www.airitibooks.com/Detail/Detail?PublicationID=P20141003018</v>
      </c>
      <c r="K4456" s="13" t="str">
        <f>HYPERLINK("https://ntsu.idm.oclc.org/login?url=https://www.airitibooks.com/Detail/Detail?PublicationID=P20141003018", "https://ntsu.idm.oclc.org/login?url=https://www.airitibooks.com/Detail/Detail?PublicationID=P20141003018")</f>
        <v>https://ntsu.idm.oclc.org/login?url=https://www.airitibooks.com/Detail/Detail?PublicationID=P20141003018</v>
      </c>
    </row>
    <row r="4457" spans="1:11" ht="51" x14ac:dyDescent="0.4">
      <c r="A4457" s="10" t="s">
        <v>1514</v>
      </c>
      <c r="B4457" s="10" t="s">
        <v>1515</v>
      </c>
      <c r="C4457" s="10" t="s">
        <v>1504</v>
      </c>
      <c r="D4457" s="10" t="s">
        <v>1516</v>
      </c>
      <c r="E4457" s="10" t="s">
        <v>70</v>
      </c>
      <c r="F4457" s="10" t="s">
        <v>1517</v>
      </c>
      <c r="G4457" s="10" t="s">
        <v>32</v>
      </c>
      <c r="H4457" s="7" t="s">
        <v>24</v>
      </c>
      <c r="I4457" s="7" t="s">
        <v>25</v>
      </c>
      <c r="J4457" s="13" t="str">
        <f>HYPERLINK("https://www.airitibooks.com/Detail/Detail?PublicationID=P20141017058", "https://www.airitibooks.com/Detail/Detail?PublicationID=P20141017058")</f>
        <v>https://www.airitibooks.com/Detail/Detail?PublicationID=P20141017058</v>
      </c>
      <c r="K4457" s="13" t="str">
        <f>HYPERLINK("https://ntsu.idm.oclc.org/login?url=https://www.airitibooks.com/Detail/Detail?PublicationID=P20141017058", "https://ntsu.idm.oclc.org/login?url=https://www.airitibooks.com/Detail/Detail?PublicationID=P20141017058")</f>
        <v>https://ntsu.idm.oclc.org/login?url=https://www.airitibooks.com/Detail/Detail?PublicationID=P20141017058</v>
      </c>
    </row>
    <row r="4458" spans="1:11" ht="102" x14ac:dyDescent="0.4">
      <c r="A4458" s="10" t="s">
        <v>1521</v>
      </c>
      <c r="B4458" s="10" t="s">
        <v>1522</v>
      </c>
      <c r="C4458" s="10" t="s">
        <v>1504</v>
      </c>
      <c r="D4458" s="10" t="s">
        <v>1523</v>
      </c>
      <c r="E4458" s="10" t="s">
        <v>70</v>
      </c>
      <c r="F4458" s="10" t="s">
        <v>1524</v>
      </c>
      <c r="G4458" s="10" t="s">
        <v>32</v>
      </c>
      <c r="H4458" s="7" t="s">
        <v>24</v>
      </c>
      <c r="I4458" s="7" t="s">
        <v>25</v>
      </c>
      <c r="J4458" s="13" t="str">
        <f>HYPERLINK("https://www.airitibooks.com/Detail/Detail?PublicationID=P20141017060", "https://www.airitibooks.com/Detail/Detail?PublicationID=P20141017060")</f>
        <v>https://www.airitibooks.com/Detail/Detail?PublicationID=P20141017060</v>
      </c>
      <c r="K4458" s="13" t="str">
        <f>HYPERLINK("https://ntsu.idm.oclc.org/login?url=https://www.airitibooks.com/Detail/Detail?PublicationID=P20141017060", "https://ntsu.idm.oclc.org/login?url=https://www.airitibooks.com/Detail/Detail?PublicationID=P20141017060")</f>
        <v>https://ntsu.idm.oclc.org/login?url=https://www.airitibooks.com/Detail/Detail?PublicationID=P20141017060</v>
      </c>
    </row>
    <row r="4459" spans="1:11" ht="51" x14ac:dyDescent="0.4">
      <c r="A4459" s="10" t="s">
        <v>1525</v>
      </c>
      <c r="B4459" s="10" t="s">
        <v>1526</v>
      </c>
      <c r="C4459" s="10" t="s">
        <v>1504</v>
      </c>
      <c r="D4459" s="10" t="s">
        <v>1527</v>
      </c>
      <c r="E4459" s="10" t="s">
        <v>70</v>
      </c>
      <c r="F4459" s="10" t="s">
        <v>172</v>
      </c>
      <c r="G4459" s="10" t="s">
        <v>32</v>
      </c>
      <c r="H4459" s="7" t="s">
        <v>24</v>
      </c>
      <c r="I4459" s="7" t="s">
        <v>25</v>
      </c>
      <c r="J4459" s="13" t="str">
        <f>HYPERLINK("https://www.airitibooks.com/Detail/Detail?PublicationID=P20141017061", "https://www.airitibooks.com/Detail/Detail?PublicationID=P20141017061")</f>
        <v>https://www.airitibooks.com/Detail/Detail?PublicationID=P20141017061</v>
      </c>
      <c r="K4459" s="13" t="str">
        <f>HYPERLINK("https://ntsu.idm.oclc.org/login?url=https://www.airitibooks.com/Detail/Detail?PublicationID=P20141017061", "https://ntsu.idm.oclc.org/login?url=https://www.airitibooks.com/Detail/Detail?PublicationID=P20141017061")</f>
        <v>https://ntsu.idm.oclc.org/login?url=https://www.airitibooks.com/Detail/Detail?PublicationID=P20141017061</v>
      </c>
    </row>
    <row r="4460" spans="1:11" ht="68" x14ac:dyDescent="0.4">
      <c r="A4460" s="10" t="s">
        <v>1532</v>
      </c>
      <c r="B4460" s="10" t="s">
        <v>1533</v>
      </c>
      <c r="C4460" s="10" t="s">
        <v>1484</v>
      </c>
      <c r="D4460" s="10" t="s">
        <v>1534</v>
      </c>
      <c r="E4460" s="10" t="s">
        <v>70</v>
      </c>
      <c r="F4460" s="10" t="s">
        <v>1535</v>
      </c>
      <c r="G4460" s="10" t="s">
        <v>32</v>
      </c>
      <c r="H4460" s="7" t="s">
        <v>24</v>
      </c>
      <c r="I4460" s="7" t="s">
        <v>25</v>
      </c>
      <c r="J4460" s="13" t="str">
        <f>HYPERLINK("https://www.airitibooks.com/Detail/Detail?PublicationID=P20141020032", "https://www.airitibooks.com/Detail/Detail?PublicationID=P20141020032")</f>
        <v>https://www.airitibooks.com/Detail/Detail?PublicationID=P20141020032</v>
      </c>
      <c r="K4460" s="13" t="str">
        <f>HYPERLINK("https://ntsu.idm.oclc.org/login?url=https://www.airitibooks.com/Detail/Detail?PublicationID=P20141020032", "https://ntsu.idm.oclc.org/login?url=https://www.airitibooks.com/Detail/Detail?PublicationID=P20141020032")</f>
        <v>https://ntsu.idm.oclc.org/login?url=https://www.airitibooks.com/Detail/Detail?PublicationID=P20141020032</v>
      </c>
    </row>
    <row r="4461" spans="1:11" ht="51" x14ac:dyDescent="0.4">
      <c r="A4461" s="10" t="s">
        <v>1585</v>
      </c>
      <c r="B4461" s="10" t="s">
        <v>1586</v>
      </c>
      <c r="C4461" s="10" t="s">
        <v>212</v>
      </c>
      <c r="D4461" s="10" t="s">
        <v>1587</v>
      </c>
      <c r="E4461" s="10" t="s">
        <v>70</v>
      </c>
      <c r="F4461" s="10" t="s">
        <v>1588</v>
      </c>
      <c r="G4461" s="10" t="s">
        <v>32</v>
      </c>
      <c r="H4461" s="7" t="s">
        <v>24</v>
      </c>
      <c r="I4461" s="7" t="s">
        <v>25</v>
      </c>
      <c r="J4461" s="13" t="str">
        <f>HYPERLINK("https://www.airitibooks.com/Detail/Detail?PublicationID=P20141027168", "https://www.airitibooks.com/Detail/Detail?PublicationID=P20141027168")</f>
        <v>https://www.airitibooks.com/Detail/Detail?PublicationID=P20141027168</v>
      </c>
      <c r="K4461" s="13" t="str">
        <f>HYPERLINK("https://ntsu.idm.oclc.org/login?url=https://www.airitibooks.com/Detail/Detail?PublicationID=P20141027168", "https://ntsu.idm.oclc.org/login?url=https://www.airitibooks.com/Detail/Detail?PublicationID=P20141027168")</f>
        <v>https://ntsu.idm.oclc.org/login?url=https://www.airitibooks.com/Detail/Detail?PublicationID=P20141027168</v>
      </c>
    </row>
    <row r="4462" spans="1:11" ht="68" x14ac:dyDescent="0.4">
      <c r="A4462" s="10" t="s">
        <v>1606</v>
      </c>
      <c r="B4462" s="10" t="s">
        <v>1607</v>
      </c>
      <c r="C4462" s="10" t="s">
        <v>297</v>
      </c>
      <c r="D4462" s="10" t="s">
        <v>1608</v>
      </c>
      <c r="E4462" s="10" t="s">
        <v>70</v>
      </c>
      <c r="F4462" s="10" t="s">
        <v>1135</v>
      </c>
      <c r="G4462" s="10" t="s">
        <v>32</v>
      </c>
      <c r="H4462" s="7" t="s">
        <v>24</v>
      </c>
      <c r="I4462" s="7" t="s">
        <v>25</v>
      </c>
      <c r="J4462" s="13" t="str">
        <f>HYPERLINK("https://www.airitibooks.com/Detail/Detail?PublicationID=P20141027189", "https://www.airitibooks.com/Detail/Detail?PublicationID=P20141027189")</f>
        <v>https://www.airitibooks.com/Detail/Detail?PublicationID=P20141027189</v>
      </c>
      <c r="K4462" s="13" t="str">
        <f>HYPERLINK("https://ntsu.idm.oclc.org/login?url=https://www.airitibooks.com/Detail/Detail?PublicationID=P20141027189", "https://ntsu.idm.oclc.org/login?url=https://www.airitibooks.com/Detail/Detail?PublicationID=P20141027189")</f>
        <v>https://ntsu.idm.oclc.org/login?url=https://www.airitibooks.com/Detail/Detail?PublicationID=P20141027189</v>
      </c>
    </row>
    <row r="4463" spans="1:11" ht="51" x14ac:dyDescent="0.4">
      <c r="A4463" s="10" t="s">
        <v>1639</v>
      </c>
      <c r="B4463" s="10" t="s">
        <v>1640</v>
      </c>
      <c r="C4463" s="10" t="s">
        <v>428</v>
      </c>
      <c r="D4463" s="10" t="s">
        <v>1641</v>
      </c>
      <c r="E4463" s="10" t="s">
        <v>70</v>
      </c>
      <c r="F4463" s="10" t="s">
        <v>1642</v>
      </c>
      <c r="G4463" s="10" t="s">
        <v>32</v>
      </c>
      <c r="H4463" s="7" t="s">
        <v>24</v>
      </c>
      <c r="I4463" s="7" t="s">
        <v>25</v>
      </c>
      <c r="J4463" s="13" t="str">
        <f>HYPERLINK("https://www.airitibooks.com/Detail/Detail?PublicationID=P20141027213", "https://www.airitibooks.com/Detail/Detail?PublicationID=P20141027213")</f>
        <v>https://www.airitibooks.com/Detail/Detail?PublicationID=P20141027213</v>
      </c>
      <c r="K4463" s="13" t="str">
        <f>HYPERLINK("https://ntsu.idm.oclc.org/login?url=https://www.airitibooks.com/Detail/Detail?PublicationID=P20141027213", "https://ntsu.idm.oclc.org/login?url=https://www.airitibooks.com/Detail/Detail?PublicationID=P20141027213")</f>
        <v>https://ntsu.idm.oclc.org/login?url=https://www.airitibooks.com/Detail/Detail?PublicationID=P20141027213</v>
      </c>
    </row>
    <row r="4464" spans="1:11" ht="51" x14ac:dyDescent="0.4">
      <c r="A4464" s="10" t="s">
        <v>1650</v>
      </c>
      <c r="B4464" s="10" t="s">
        <v>1651</v>
      </c>
      <c r="C4464" s="10" t="s">
        <v>804</v>
      </c>
      <c r="D4464" s="10" t="s">
        <v>1652</v>
      </c>
      <c r="E4464" s="10" t="s">
        <v>70</v>
      </c>
      <c r="F4464" s="10" t="s">
        <v>1653</v>
      </c>
      <c r="G4464" s="10" t="s">
        <v>32</v>
      </c>
      <c r="H4464" s="7" t="s">
        <v>24</v>
      </c>
      <c r="I4464" s="7" t="s">
        <v>25</v>
      </c>
      <c r="J4464" s="13" t="str">
        <f>HYPERLINK("https://www.airitibooks.com/Detail/Detail?PublicationID=P20141029006", "https://www.airitibooks.com/Detail/Detail?PublicationID=P20141029006")</f>
        <v>https://www.airitibooks.com/Detail/Detail?PublicationID=P20141029006</v>
      </c>
      <c r="K4464" s="13" t="str">
        <f>HYPERLINK("https://ntsu.idm.oclc.org/login?url=https://www.airitibooks.com/Detail/Detail?PublicationID=P20141029006", "https://ntsu.idm.oclc.org/login?url=https://www.airitibooks.com/Detail/Detail?PublicationID=P20141029006")</f>
        <v>https://ntsu.idm.oclc.org/login?url=https://www.airitibooks.com/Detail/Detail?PublicationID=P20141029006</v>
      </c>
    </row>
    <row r="4465" spans="1:11" ht="51" x14ac:dyDescent="0.4">
      <c r="A4465" s="10" t="s">
        <v>1654</v>
      </c>
      <c r="B4465" s="10" t="s">
        <v>1655</v>
      </c>
      <c r="C4465" s="10" t="s">
        <v>804</v>
      </c>
      <c r="D4465" s="10" t="s">
        <v>1656</v>
      </c>
      <c r="E4465" s="10" t="s">
        <v>70</v>
      </c>
      <c r="F4465" s="10" t="s">
        <v>1657</v>
      </c>
      <c r="G4465" s="10" t="s">
        <v>32</v>
      </c>
      <c r="H4465" s="7" t="s">
        <v>24</v>
      </c>
      <c r="I4465" s="7" t="s">
        <v>25</v>
      </c>
      <c r="J4465" s="13" t="str">
        <f>HYPERLINK("https://www.airitibooks.com/Detail/Detail?PublicationID=P20141105003", "https://www.airitibooks.com/Detail/Detail?PublicationID=P20141105003")</f>
        <v>https://www.airitibooks.com/Detail/Detail?PublicationID=P20141105003</v>
      </c>
      <c r="K4465" s="13" t="str">
        <f>HYPERLINK("https://ntsu.idm.oclc.org/login?url=https://www.airitibooks.com/Detail/Detail?PublicationID=P20141105003", "https://ntsu.idm.oclc.org/login?url=https://www.airitibooks.com/Detail/Detail?PublicationID=P20141105003")</f>
        <v>https://ntsu.idm.oclc.org/login?url=https://www.airitibooks.com/Detail/Detail?PublicationID=P20141105003</v>
      </c>
    </row>
    <row r="4466" spans="1:11" ht="85" x14ac:dyDescent="0.4">
      <c r="A4466" s="10" t="s">
        <v>1691</v>
      </c>
      <c r="B4466" s="10" t="s">
        <v>1692</v>
      </c>
      <c r="C4466" s="10" t="s">
        <v>731</v>
      </c>
      <c r="D4466" s="10" t="s">
        <v>1693</v>
      </c>
      <c r="E4466" s="10" t="s">
        <v>70</v>
      </c>
      <c r="F4466" s="10" t="s">
        <v>274</v>
      </c>
      <c r="G4466" s="10" t="s">
        <v>32</v>
      </c>
      <c r="H4466" s="7" t="s">
        <v>24</v>
      </c>
      <c r="I4466" s="7" t="s">
        <v>25</v>
      </c>
      <c r="J4466" s="13" t="str">
        <f>HYPERLINK("https://www.airitibooks.com/Detail/Detail?PublicationID=P20141117077", "https://www.airitibooks.com/Detail/Detail?PublicationID=P20141117077")</f>
        <v>https://www.airitibooks.com/Detail/Detail?PublicationID=P20141117077</v>
      </c>
      <c r="K4466" s="13" t="str">
        <f>HYPERLINK("https://ntsu.idm.oclc.org/login?url=https://www.airitibooks.com/Detail/Detail?PublicationID=P20141117077", "https://ntsu.idm.oclc.org/login?url=https://www.airitibooks.com/Detail/Detail?PublicationID=P20141117077")</f>
        <v>https://ntsu.idm.oclc.org/login?url=https://www.airitibooks.com/Detail/Detail?PublicationID=P20141117077</v>
      </c>
    </row>
    <row r="4467" spans="1:11" ht="51" x14ac:dyDescent="0.4">
      <c r="A4467" s="10" t="s">
        <v>1712</v>
      </c>
      <c r="B4467" s="10" t="s">
        <v>1713</v>
      </c>
      <c r="C4467" s="10" t="s">
        <v>838</v>
      </c>
      <c r="D4467" s="10" t="s">
        <v>1714</v>
      </c>
      <c r="E4467" s="10" t="s">
        <v>70</v>
      </c>
      <c r="F4467" s="10" t="s">
        <v>1715</v>
      </c>
      <c r="G4467" s="10" t="s">
        <v>32</v>
      </c>
      <c r="H4467" s="7" t="s">
        <v>24</v>
      </c>
      <c r="I4467" s="7" t="s">
        <v>25</v>
      </c>
      <c r="J4467" s="13" t="str">
        <f>HYPERLINK("https://www.airitibooks.com/Detail/Detail?PublicationID=P20141205081", "https://www.airitibooks.com/Detail/Detail?PublicationID=P20141205081")</f>
        <v>https://www.airitibooks.com/Detail/Detail?PublicationID=P20141205081</v>
      </c>
      <c r="K4467" s="13" t="str">
        <f>HYPERLINK("https://ntsu.idm.oclc.org/login?url=https://www.airitibooks.com/Detail/Detail?PublicationID=P20141205081", "https://ntsu.idm.oclc.org/login?url=https://www.airitibooks.com/Detail/Detail?PublicationID=P20141205081")</f>
        <v>https://ntsu.idm.oclc.org/login?url=https://www.airitibooks.com/Detail/Detail?PublicationID=P20141205081</v>
      </c>
    </row>
    <row r="4468" spans="1:11" ht="51" x14ac:dyDescent="0.4">
      <c r="A4468" s="10" t="s">
        <v>1736</v>
      </c>
      <c r="B4468" s="10" t="s">
        <v>1737</v>
      </c>
      <c r="C4468" s="10" t="s">
        <v>746</v>
      </c>
      <c r="D4468" s="10" t="s">
        <v>1738</v>
      </c>
      <c r="E4468" s="10" t="s">
        <v>70</v>
      </c>
      <c r="F4468" s="10" t="s">
        <v>1739</v>
      </c>
      <c r="G4468" s="10" t="s">
        <v>32</v>
      </c>
      <c r="H4468" s="7" t="s">
        <v>24</v>
      </c>
      <c r="I4468" s="7" t="s">
        <v>25</v>
      </c>
      <c r="J4468" s="13" t="str">
        <f>HYPERLINK("https://www.airitibooks.com/Detail/Detail?PublicationID=P20141208103", "https://www.airitibooks.com/Detail/Detail?PublicationID=P20141208103")</f>
        <v>https://www.airitibooks.com/Detail/Detail?PublicationID=P20141208103</v>
      </c>
      <c r="K4468" s="13" t="str">
        <f>HYPERLINK("https://ntsu.idm.oclc.org/login?url=https://www.airitibooks.com/Detail/Detail?PublicationID=P20141208103", "https://ntsu.idm.oclc.org/login?url=https://www.airitibooks.com/Detail/Detail?PublicationID=P20141208103")</f>
        <v>https://ntsu.idm.oclc.org/login?url=https://www.airitibooks.com/Detail/Detail?PublicationID=P20141208103</v>
      </c>
    </row>
    <row r="4469" spans="1:11" ht="51" x14ac:dyDescent="0.4">
      <c r="A4469" s="10" t="s">
        <v>1766</v>
      </c>
      <c r="B4469" s="10" t="s">
        <v>1767</v>
      </c>
      <c r="C4469" s="10" t="s">
        <v>1763</v>
      </c>
      <c r="D4469" s="10" t="s">
        <v>1768</v>
      </c>
      <c r="E4469" s="10" t="s">
        <v>70</v>
      </c>
      <c r="F4469" s="10" t="s">
        <v>1770</v>
      </c>
      <c r="G4469" s="10" t="s">
        <v>32</v>
      </c>
      <c r="H4469" s="7" t="s">
        <v>24</v>
      </c>
      <c r="I4469" s="7" t="s">
        <v>25</v>
      </c>
      <c r="J4469" s="13" t="str">
        <f>HYPERLINK("https://www.airitibooks.com/Detail/Detail?PublicationID=P20141211103", "https://www.airitibooks.com/Detail/Detail?PublicationID=P20141211103")</f>
        <v>https://www.airitibooks.com/Detail/Detail?PublicationID=P20141211103</v>
      </c>
      <c r="K4469" s="13" t="str">
        <f>HYPERLINK("https://ntsu.idm.oclc.org/login?url=https://www.airitibooks.com/Detail/Detail?PublicationID=P20141211103", "https://ntsu.idm.oclc.org/login?url=https://www.airitibooks.com/Detail/Detail?PublicationID=P20141211103")</f>
        <v>https://ntsu.idm.oclc.org/login?url=https://www.airitibooks.com/Detail/Detail?PublicationID=P20141211103</v>
      </c>
    </row>
    <row r="4470" spans="1:11" ht="51" x14ac:dyDescent="0.4">
      <c r="A4470" s="10" t="s">
        <v>1771</v>
      </c>
      <c r="B4470" s="10" t="s">
        <v>1772</v>
      </c>
      <c r="C4470" s="10" t="s">
        <v>1763</v>
      </c>
      <c r="D4470" s="10" t="s">
        <v>1773</v>
      </c>
      <c r="E4470" s="10" t="s">
        <v>70</v>
      </c>
      <c r="F4470" s="10" t="s">
        <v>1775</v>
      </c>
      <c r="G4470" s="10" t="s">
        <v>32</v>
      </c>
      <c r="H4470" s="7" t="s">
        <v>24</v>
      </c>
      <c r="I4470" s="7" t="s">
        <v>25</v>
      </c>
      <c r="J4470" s="13" t="str">
        <f>HYPERLINK("https://www.airitibooks.com/Detail/Detail?PublicationID=P20141211107", "https://www.airitibooks.com/Detail/Detail?PublicationID=P20141211107")</f>
        <v>https://www.airitibooks.com/Detail/Detail?PublicationID=P20141211107</v>
      </c>
      <c r="K4470" s="13" t="str">
        <f>HYPERLINK("https://ntsu.idm.oclc.org/login?url=https://www.airitibooks.com/Detail/Detail?PublicationID=P20141211107", "https://ntsu.idm.oclc.org/login?url=https://www.airitibooks.com/Detail/Detail?PublicationID=P20141211107")</f>
        <v>https://ntsu.idm.oclc.org/login?url=https://www.airitibooks.com/Detail/Detail?PublicationID=P20141211107</v>
      </c>
    </row>
    <row r="4471" spans="1:11" ht="68" x14ac:dyDescent="0.4">
      <c r="A4471" s="10" t="s">
        <v>1784</v>
      </c>
      <c r="B4471" s="10" t="s">
        <v>1785</v>
      </c>
      <c r="C4471" s="10" t="s">
        <v>1763</v>
      </c>
      <c r="D4471" s="10" t="s">
        <v>1783</v>
      </c>
      <c r="E4471" s="10" t="s">
        <v>70</v>
      </c>
      <c r="F4471" s="10" t="s">
        <v>1556</v>
      </c>
      <c r="G4471" s="10" t="s">
        <v>32</v>
      </c>
      <c r="H4471" s="7" t="s">
        <v>24</v>
      </c>
      <c r="I4471" s="7" t="s">
        <v>25</v>
      </c>
      <c r="J4471" s="13" t="str">
        <f>HYPERLINK("https://www.airitibooks.com/Detail/Detail?PublicationID=P20141211116", "https://www.airitibooks.com/Detail/Detail?PublicationID=P20141211116")</f>
        <v>https://www.airitibooks.com/Detail/Detail?PublicationID=P20141211116</v>
      </c>
      <c r="K4471" s="13" t="str">
        <f>HYPERLINK("https://ntsu.idm.oclc.org/login?url=https://www.airitibooks.com/Detail/Detail?PublicationID=P20141211116", "https://ntsu.idm.oclc.org/login?url=https://www.airitibooks.com/Detail/Detail?PublicationID=P20141211116")</f>
        <v>https://ntsu.idm.oclc.org/login?url=https://www.airitibooks.com/Detail/Detail?PublicationID=P20141211116</v>
      </c>
    </row>
    <row r="4472" spans="1:11" ht="51" x14ac:dyDescent="0.4">
      <c r="A4472" s="10" t="s">
        <v>1786</v>
      </c>
      <c r="B4472" s="10" t="s">
        <v>1787</v>
      </c>
      <c r="C4472" s="10" t="s">
        <v>1763</v>
      </c>
      <c r="D4472" s="10" t="s">
        <v>1788</v>
      </c>
      <c r="E4472" s="10" t="s">
        <v>70</v>
      </c>
      <c r="F4472" s="10" t="s">
        <v>1789</v>
      </c>
      <c r="G4472" s="10" t="s">
        <v>32</v>
      </c>
      <c r="H4472" s="7" t="s">
        <v>24</v>
      </c>
      <c r="I4472" s="7" t="s">
        <v>25</v>
      </c>
      <c r="J4472" s="13" t="str">
        <f>HYPERLINK("https://www.airitibooks.com/Detail/Detail?PublicationID=P20141211119", "https://www.airitibooks.com/Detail/Detail?PublicationID=P20141211119")</f>
        <v>https://www.airitibooks.com/Detail/Detail?PublicationID=P20141211119</v>
      </c>
      <c r="K4472" s="13" t="str">
        <f>HYPERLINK("https://ntsu.idm.oclc.org/login?url=https://www.airitibooks.com/Detail/Detail?PublicationID=P20141211119", "https://ntsu.idm.oclc.org/login?url=https://www.airitibooks.com/Detail/Detail?PublicationID=P20141211119")</f>
        <v>https://ntsu.idm.oclc.org/login?url=https://www.airitibooks.com/Detail/Detail?PublicationID=P20141211119</v>
      </c>
    </row>
    <row r="4473" spans="1:11" ht="51" x14ac:dyDescent="0.4">
      <c r="A4473" s="10" t="s">
        <v>1790</v>
      </c>
      <c r="B4473" s="10" t="s">
        <v>1791</v>
      </c>
      <c r="C4473" s="10" t="s">
        <v>1763</v>
      </c>
      <c r="D4473" s="10" t="s">
        <v>1792</v>
      </c>
      <c r="E4473" s="10" t="s">
        <v>70</v>
      </c>
      <c r="F4473" s="10" t="s">
        <v>1789</v>
      </c>
      <c r="G4473" s="10" t="s">
        <v>32</v>
      </c>
      <c r="H4473" s="7" t="s">
        <v>24</v>
      </c>
      <c r="I4473" s="7" t="s">
        <v>25</v>
      </c>
      <c r="J4473" s="13" t="str">
        <f>HYPERLINK("https://www.airitibooks.com/Detail/Detail?PublicationID=P20141211120", "https://www.airitibooks.com/Detail/Detail?PublicationID=P20141211120")</f>
        <v>https://www.airitibooks.com/Detail/Detail?PublicationID=P20141211120</v>
      </c>
      <c r="K4473" s="13" t="str">
        <f>HYPERLINK("https://ntsu.idm.oclc.org/login?url=https://www.airitibooks.com/Detail/Detail?PublicationID=P20141211120", "https://ntsu.idm.oclc.org/login?url=https://www.airitibooks.com/Detail/Detail?PublicationID=P20141211120")</f>
        <v>https://ntsu.idm.oclc.org/login?url=https://www.airitibooks.com/Detail/Detail?PublicationID=P20141211120</v>
      </c>
    </row>
    <row r="4474" spans="1:11" ht="51" x14ac:dyDescent="0.4">
      <c r="A4474" s="10" t="s">
        <v>1813</v>
      </c>
      <c r="B4474" s="10" t="s">
        <v>1814</v>
      </c>
      <c r="C4474" s="10" t="s">
        <v>297</v>
      </c>
      <c r="D4474" s="10" t="s">
        <v>1815</v>
      </c>
      <c r="E4474" s="10" t="s">
        <v>70</v>
      </c>
      <c r="F4474" s="10" t="s">
        <v>274</v>
      </c>
      <c r="G4474" s="10" t="s">
        <v>32</v>
      </c>
      <c r="H4474" s="7" t="s">
        <v>24</v>
      </c>
      <c r="I4474" s="7" t="s">
        <v>25</v>
      </c>
      <c r="J4474" s="13" t="str">
        <f>HYPERLINK("https://www.airitibooks.com/Detail/Detail?PublicationID=P201501152163", "https://www.airitibooks.com/Detail/Detail?PublicationID=P201501152163")</f>
        <v>https://www.airitibooks.com/Detail/Detail?PublicationID=P201501152163</v>
      </c>
      <c r="K4474" s="13" t="str">
        <f>HYPERLINK("https://ntsu.idm.oclc.org/login?url=https://www.airitibooks.com/Detail/Detail?PublicationID=P201501152163", "https://ntsu.idm.oclc.org/login?url=https://www.airitibooks.com/Detail/Detail?PublicationID=P201501152163")</f>
        <v>https://ntsu.idm.oclc.org/login?url=https://www.airitibooks.com/Detail/Detail?PublicationID=P201501152163</v>
      </c>
    </row>
    <row r="4475" spans="1:11" ht="51" x14ac:dyDescent="0.4">
      <c r="A4475" s="10" t="s">
        <v>1816</v>
      </c>
      <c r="B4475" s="10" t="s">
        <v>1817</v>
      </c>
      <c r="C4475" s="10" t="s">
        <v>297</v>
      </c>
      <c r="D4475" s="10" t="s">
        <v>1818</v>
      </c>
      <c r="E4475" s="10" t="s">
        <v>70</v>
      </c>
      <c r="F4475" s="10" t="s">
        <v>274</v>
      </c>
      <c r="G4475" s="10" t="s">
        <v>32</v>
      </c>
      <c r="H4475" s="7" t="s">
        <v>24</v>
      </c>
      <c r="I4475" s="7" t="s">
        <v>25</v>
      </c>
      <c r="J4475" s="13" t="str">
        <f>HYPERLINK("https://www.airitibooks.com/Detail/Detail?PublicationID=P201501152164", "https://www.airitibooks.com/Detail/Detail?PublicationID=P201501152164")</f>
        <v>https://www.airitibooks.com/Detail/Detail?PublicationID=P201501152164</v>
      </c>
      <c r="K4475" s="13" t="str">
        <f>HYPERLINK("https://ntsu.idm.oclc.org/login?url=https://www.airitibooks.com/Detail/Detail?PublicationID=P201501152164", "https://ntsu.idm.oclc.org/login?url=https://www.airitibooks.com/Detail/Detail?PublicationID=P201501152164")</f>
        <v>https://ntsu.idm.oclc.org/login?url=https://www.airitibooks.com/Detail/Detail?PublicationID=P201501152164</v>
      </c>
    </row>
    <row r="4476" spans="1:11" ht="68" x14ac:dyDescent="0.4">
      <c r="A4476" s="10" t="s">
        <v>1900</v>
      </c>
      <c r="B4476" s="10" t="s">
        <v>1901</v>
      </c>
      <c r="C4476" s="10" t="s">
        <v>108</v>
      </c>
      <c r="D4476" s="10" t="s">
        <v>1902</v>
      </c>
      <c r="E4476" s="10" t="s">
        <v>70</v>
      </c>
      <c r="F4476" s="10" t="s">
        <v>1903</v>
      </c>
      <c r="G4476" s="10" t="s">
        <v>32</v>
      </c>
      <c r="H4476" s="7" t="s">
        <v>24</v>
      </c>
      <c r="I4476" s="7" t="s">
        <v>25</v>
      </c>
      <c r="J4476" s="13" t="str">
        <f>HYPERLINK("https://www.airitibooks.com/Detail/Detail?PublicationID=P20150205006", "https://www.airitibooks.com/Detail/Detail?PublicationID=P20150205006")</f>
        <v>https://www.airitibooks.com/Detail/Detail?PublicationID=P20150205006</v>
      </c>
      <c r="K4476" s="13" t="str">
        <f>HYPERLINK("https://ntsu.idm.oclc.org/login?url=https://www.airitibooks.com/Detail/Detail?PublicationID=P20150205006", "https://ntsu.idm.oclc.org/login?url=https://www.airitibooks.com/Detail/Detail?PublicationID=P20150205006")</f>
        <v>https://ntsu.idm.oclc.org/login?url=https://www.airitibooks.com/Detail/Detail?PublicationID=P20150205006</v>
      </c>
    </row>
    <row r="4477" spans="1:11" ht="51" x14ac:dyDescent="0.4">
      <c r="A4477" s="10" t="s">
        <v>1907</v>
      </c>
      <c r="B4477" s="10" t="s">
        <v>1908</v>
      </c>
      <c r="C4477" s="10" t="s">
        <v>108</v>
      </c>
      <c r="D4477" s="10" t="s">
        <v>1909</v>
      </c>
      <c r="E4477" s="10" t="s">
        <v>70</v>
      </c>
      <c r="F4477" s="10" t="s">
        <v>185</v>
      </c>
      <c r="G4477" s="10" t="s">
        <v>32</v>
      </c>
      <c r="H4477" s="7" t="s">
        <v>24</v>
      </c>
      <c r="I4477" s="7" t="s">
        <v>25</v>
      </c>
      <c r="J4477" s="13" t="str">
        <f>HYPERLINK("https://www.airitibooks.com/Detail/Detail?PublicationID=P20150205009", "https://www.airitibooks.com/Detail/Detail?PublicationID=P20150205009")</f>
        <v>https://www.airitibooks.com/Detail/Detail?PublicationID=P20150205009</v>
      </c>
      <c r="K4477" s="13" t="str">
        <f>HYPERLINK("https://ntsu.idm.oclc.org/login?url=https://www.airitibooks.com/Detail/Detail?PublicationID=P20150205009", "https://ntsu.idm.oclc.org/login?url=https://www.airitibooks.com/Detail/Detail?PublicationID=P20150205009")</f>
        <v>https://ntsu.idm.oclc.org/login?url=https://www.airitibooks.com/Detail/Detail?PublicationID=P20150205009</v>
      </c>
    </row>
    <row r="4478" spans="1:11" ht="51" x14ac:dyDescent="0.4">
      <c r="A4478" s="10" t="s">
        <v>1910</v>
      </c>
      <c r="B4478" s="10" t="s">
        <v>1911</v>
      </c>
      <c r="C4478" s="10" t="s">
        <v>108</v>
      </c>
      <c r="D4478" s="10" t="s">
        <v>1912</v>
      </c>
      <c r="E4478" s="10" t="s">
        <v>70</v>
      </c>
      <c r="F4478" s="10" t="s">
        <v>1913</v>
      </c>
      <c r="G4478" s="10" t="s">
        <v>32</v>
      </c>
      <c r="H4478" s="7" t="s">
        <v>24</v>
      </c>
      <c r="I4478" s="7" t="s">
        <v>25</v>
      </c>
      <c r="J4478" s="13" t="str">
        <f>HYPERLINK("https://www.airitibooks.com/Detail/Detail?PublicationID=P20150205010", "https://www.airitibooks.com/Detail/Detail?PublicationID=P20150205010")</f>
        <v>https://www.airitibooks.com/Detail/Detail?PublicationID=P20150205010</v>
      </c>
      <c r="K4478" s="13" t="str">
        <f>HYPERLINK("https://ntsu.idm.oclc.org/login?url=https://www.airitibooks.com/Detail/Detail?PublicationID=P20150205010", "https://ntsu.idm.oclc.org/login?url=https://www.airitibooks.com/Detail/Detail?PublicationID=P20150205010")</f>
        <v>https://ntsu.idm.oclc.org/login?url=https://www.airitibooks.com/Detail/Detail?PublicationID=P20150205010</v>
      </c>
    </row>
    <row r="4479" spans="1:11" ht="51" x14ac:dyDescent="0.4">
      <c r="A4479" s="10" t="s">
        <v>1922</v>
      </c>
      <c r="B4479" s="10" t="s">
        <v>1923</v>
      </c>
      <c r="C4479" s="10" t="s">
        <v>1340</v>
      </c>
      <c r="D4479" s="10" t="s">
        <v>1924</v>
      </c>
      <c r="E4479" s="10" t="s">
        <v>70</v>
      </c>
      <c r="F4479" s="10" t="s">
        <v>1925</v>
      </c>
      <c r="G4479" s="10" t="s">
        <v>32</v>
      </c>
      <c r="H4479" s="7" t="s">
        <v>24</v>
      </c>
      <c r="I4479" s="7" t="s">
        <v>25</v>
      </c>
      <c r="J4479" s="13" t="str">
        <f>HYPERLINK("https://www.airitibooks.com/Detail/Detail?PublicationID=P20150205050", "https://www.airitibooks.com/Detail/Detail?PublicationID=P20150205050")</f>
        <v>https://www.airitibooks.com/Detail/Detail?PublicationID=P20150205050</v>
      </c>
      <c r="K4479" s="13" t="str">
        <f>HYPERLINK("https://ntsu.idm.oclc.org/login?url=https://www.airitibooks.com/Detail/Detail?PublicationID=P20150205050", "https://ntsu.idm.oclc.org/login?url=https://www.airitibooks.com/Detail/Detail?PublicationID=P20150205050")</f>
        <v>https://ntsu.idm.oclc.org/login?url=https://www.airitibooks.com/Detail/Detail?PublicationID=P20150205050</v>
      </c>
    </row>
    <row r="4480" spans="1:11" ht="51" x14ac:dyDescent="0.4">
      <c r="A4480" s="10" t="s">
        <v>1926</v>
      </c>
      <c r="B4480" s="10" t="s">
        <v>1927</v>
      </c>
      <c r="C4480" s="10" t="s">
        <v>1340</v>
      </c>
      <c r="D4480" s="10" t="s">
        <v>1924</v>
      </c>
      <c r="E4480" s="10" t="s">
        <v>70</v>
      </c>
      <c r="F4480" s="10" t="s">
        <v>1925</v>
      </c>
      <c r="G4480" s="10" t="s">
        <v>32</v>
      </c>
      <c r="H4480" s="7" t="s">
        <v>24</v>
      </c>
      <c r="I4480" s="7" t="s">
        <v>25</v>
      </c>
      <c r="J4480" s="13" t="str">
        <f>HYPERLINK("https://www.airitibooks.com/Detail/Detail?PublicationID=P20150205051", "https://www.airitibooks.com/Detail/Detail?PublicationID=P20150205051")</f>
        <v>https://www.airitibooks.com/Detail/Detail?PublicationID=P20150205051</v>
      </c>
      <c r="K4480" s="13" t="str">
        <f>HYPERLINK("https://ntsu.idm.oclc.org/login?url=https://www.airitibooks.com/Detail/Detail?PublicationID=P20150205051", "https://ntsu.idm.oclc.org/login?url=https://www.airitibooks.com/Detail/Detail?PublicationID=P20150205051")</f>
        <v>https://ntsu.idm.oclc.org/login?url=https://www.airitibooks.com/Detail/Detail?PublicationID=P20150205051</v>
      </c>
    </row>
    <row r="4481" spans="1:11" ht="51" x14ac:dyDescent="0.4">
      <c r="A4481" s="10" t="s">
        <v>1928</v>
      </c>
      <c r="B4481" s="10" t="s">
        <v>1929</v>
      </c>
      <c r="C4481" s="10" t="s">
        <v>1340</v>
      </c>
      <c r="D4481" s="10" t="s">
        <v>1924</v>
      </c>
      <c r="E4481" s="10" t="s">
        <v>70</v>
      </c>
      <c r="F4481" s="10" t="s">
        <v>1925</v>
      </c>
      <c r="G4481" s="10" t="s">
        <v>32</v>
      </c>
      <c r="H4481" s="7" t="s">
        <v>24</v>
      </c>
      <c r="I4481" s="7" t="s">
        <v>25</v>
      </c>
      <c r="J4481" s="13" t="str">
        <f>HYPERLINK("https://www.airitibooks.com/Detail/Detail?PublicationID=P20150205052", "https://www.airitibooks.com/Detail/Detail?PublicationID=P20150205052")</f>
        <v>https://www.airitibooks.com/Detail/Detail?PublicationID=P20150205052</v>
      </c>
      <c r="K4481" s="13" t="str">
        <f>HYPERLINK("https://ntsu.idm.oclc.org/login?url=https://www.airitibooks.com/Detail/Detail?PublicationID=P20150205052", "https://ntsu.idm.oclc.org/login?url=https://www.airitibooks.com/Detail/Detail?PublicationID=P20150205052")</f>
        <v>https://ntsu.idm.oclc.org/login?url=https://www.airitibooks.com/Detail/Detail?PublicationID=P20150205052</v>
      </c>
    </row>
    <row r="4482" spans="1:11" ht="51" x14ac:dyDescent="0.4">
      <c r="A4482" s="10" t="s">
        <v>1930</v>
      </c>
      <c r="B4482" s="10" t="s">
        <v>1931</v>
      </c>
      <c r="C4482" s="10" t="s">
        <v>1340</v>
      </c>
      <c r="D4482" s="10" t="s">
        <v>1924</v>
      </c>
      <c r="E4482" s="10" t="s">
        <v>70</v>
      </c>
      <c r="F4482" s="10" t="s">
        <v>1925</v>
      </c>
      <c r="G4482" s="10" t="s">
        <v>32</v>
      </c>
      <c r="H4482" s="7" t="s">
        <v>24</v>
      </c>
      <c r="I4482" s="7" t="s">
        <v>25</v>
      </c>
      <c r="J4482" s="13" t="str">
        <f>HYPERLINK("https://www.airitibooks.com/Detail/Detail?PublicationID=P20150205053", "https://www.airitibooks.com/Detail/Detail?PublicationID=P20150205053")</f>
        <v>https://www.airitibooks.com/Detail/Detail?PublicationID=P20150205053</v>
      </c>
      <c r="K4482" s="13" t="str">
        <f>HYPERLINK("https://ntsu.idm.oclc.org/login?url=https://www.airitibooks.com/Detail/Detail?PublicationID=P20150205053", "https://ntsu.idm.oclc.org/login?url=https://www.airitibooks.com/Detail/Detail?PublicationID=P20150205053")</f>
        <v>https://ntsu.idm.oclc.org/login?url=https://www.airitibooks.com/Detail/Detail?PublicationID=P20150205053</v>
      </c>
    </row>
    <row r="4483" spans="1:11" ht="51" x14ac:dyDescent="0.4">
      <c r="A4483" s="10" t="s">
        <v>1932</v>
      </c>
      <c r="B4483" s="10" t="s">
        <v>1933</v>
      </c>
      <c r="C4483" s="10" t="s">
        <v>1340</v>
      </c>
      <c r="D4483" s="10" t="s">
        <v>1924</v>
      </c>
      <c r="E4483" s="10" t="s">
        <v>70</v>
      </c>
      <c r="F4483" s="10" t="s">
        <v>1925</v>
      </c>
      <c r="G4483" s="10" t="s">
        <v>32</v>
      </c>
      <c r="H4483" s="7" t="s">
        <v>24</v>
      </c>
      <c r="I4483" s="7" t="s">
        <v>25</v>
      </c>
      <c r="J4483" s="13" t="str">
        <f>HYPERLINK("https://www.airitibooks.com/Detail/Detail?PublicationID=P20150205054", "https://www.airitibooks.com/Detail/Detail?PublicationID=P20150205054")</f>
        <v>https://www.airitibooks.com/Detail/Detail?PublicationID=P20150205054</v>
      </c>
      <c r="K4483" s="13" t="str">
        <f>HYPERLINK("https://ntsu.idm.oclc.org/login?url=https://www.airitibooks.com/Detail/Detail?PublicationID=P20150205054", "https://ntsu.idm.oclc.org/login?url=https://www.airitibooks.com/Detail/Detail?PublicationID=P20150205054")</f>
        <v>https://ntsu.idm.oclc.org/login?url=https://www.airitibooks.com/Detail/Detail?PublicationID=P20150205054</v>
      </c>
    </row>
    <row r="4484" spans="1:11" ht="68" x14ac:dyDescent="0.4">
      <c r="A4484" s="10" t="s">
        <v>2031</v>
      </c>
      <c r="B4484" s="10" t="s">
        <v>2032</v>
      </c>
      <c r="C4484" s="10" t="s">
        <v>467</v>
      </c>
      <c r="D4484" s="10" t="s">
        <v>2033</v>
      </c>
      <c r="E4484" s="10" t="s">
        <v>70</v>
      </c>
      <c r="F4484" s="10" t="s">
        <v>2034</v>
      </c>
      <c r="G4484" s="10" t="s">
        <v>32</v>
      </c>
      <c r="H4484" s="7" t="s">
        <v>24</v>
      </c>
      <c r="I4484" s="7" t="s">
        <v>25</v>
      </c>
      <c r="J4484" s="13" t="str">
        <f>HYPERLINK("https://www.airitibooks.com/Detail/Detail?PublicationID=P20150304002", "https://www.airitibooks.com/Detail/Detail?PublicationID=P20150304002")</f>
        <v>https://www.airitibooks.com/Detail/Detail?PublicationID=P20150304002</v>
      </c>
      <c r="K4484" s="13" t="str">
        <f>HYPERLINK("https://ntsu.idm.oclc.org/login?url=https://www.airitibooks.com/Detail/Detail?PublicationID=P20150304002", "https://ntsu.idm.oclc.org/login?url=https://www.airitibooks.com/Detail/Detail?PublicationID=P20150304002")</f>
        <v>https://ntsu.idm.oclc.org/login?url=https://www.airitibooks.com/Detail/Detail?PublicationID=P20150304002</v>
      </c>
    </row>
    <row r="4485" spans="1:11" ht="51" x14ac:dyDescent="0.4">
      <c r="A4485" s="10" t="s">
        <v>2114</v>
      </c>
      <c r="B4485" s="10" t="s">
        <v>2115</v>
      </c>
      <c r="C4485" s="10" t="s">
        <v>135</v>
      </c>
      <c r="D4485" s="10" t="s">
        <v>2116</v>
      </c>
      <c r="E4485" s="10" t="s">
        <v>70</v>
      </c>
      <c r="F4485" s="10" t="s">
        <v>2117</v>
      </c>
      <c r="G4485" s="10" t="s">
        <v>32</v>
      </c>
      <c r="H4485" s="7" t="s">
        <v>24</v>
      </c>
      <c r="I4485" s="7" t="s">
        <v>25</v>
      </c>
      <c r="J4485" s="13" t="str">
        <f>HYPERLINK("https://www.airitibooks.com/Detail/Detail?PublicationID=P20150310002", "https://www.airitibooks.com/Detail/Detail?PublicationID=P20150310002")</f>
        <v>https://www.airitibooks.com/Detail/Detail?PublicationID=P20150310002</v>
      </c>
      <c r="K4485" s="13" t="str">
        <f>HYPERLINK("https://ntsu.idm.oclc.org/login?url=https://www.airitibooks.com/Detail/Detail?PublicationID=P20150310002", "https://ntsu.idm.oclc.org/login?url=https://www.airitibooks.com/Detail/Detail?PublicationID=P20150310002")</f>
        <v>https://ntsu.idm.oclc.org/login?url=https://www.airitibooks.com/Detail/Detail?PublicationID=P20150310002</v>
      </c>
    </row>
    <row r="4486" spans="1:11" ht="51" x14ac:dyDescent="0.4">
      <c r="A4486" s="10" t="s">
        <v>2118</v>
      </c>
      <c r="B4486" s="10" t="s">
        <v>2119</v>
      </c>
      <c r="C4486" s="10" t="s">
        <v>135</v>
      </c>
      <c r="D4486" s="10" t="s">
        <v>2120</v>
      </c>
      <c r="E4486" s="10" t="s">
        <v>70</v>
      </c>
      <c r="F4486" s="10" t="s">
        <v>2121</v>
      </c>
      <c r="G4486" s="10" t="s">
        <v>32</v>
      </c>
      <c r="H4486" s="7" t="s">
        <v>24</v>
      </c>
      <c r="I4486" s="7" t="s">
        <v>25</v>
      </c>
      <c r="J4486" s="13" t="str">
        <f>HYPERLINK("https://www.airitibooks.com/Detail/Detail?PublicationID=P20150310005", "https://www.airitibooks.com/Detail/Detail?PublicationID=P20150310005")</f>
        <v>https://www.airitibooks.com/Detail/Detail?PublicationID=P20150310005</v>
      </c>
      <c r="K4486" s="13" t="str">
        <f>HYPERLINK("https://ntsu.idm.oclc.org/login?url=https://www.airitibooks.com/Detail/Detail?PublicationID=P20150310005", "https://ntsu.idm.oclc.org/login?url=https://www.airitibooks.com/Detail/Detail?PublicationID=P20150310005")</f>
        <v>https://ntsu.idm.oclc.org/login?url=https://www.airitibooks.com/Detail/Detail?PublicationID=P20150310005</v>
      </c>
    </row>
    <row r="4487" spans="1:11" ht="51" x14ac:dyDescent="0.4">
      <c r="A4487" s="10" t="s">
        <v>2132</v>
      </c>
      <c r="B4487" s="10" t="s">
        <v>2133</v>
      </c>
      <c r="C4487" s="10" t="s">
        <v>135</v>
      </c>
      <c r="D4487" s="10" t="s">
        <v>136</v>
      </c>
      <c r="E4487" s="10" t="s">
        <v>70</v>
      </c>
      <c r="F4487" s="10" t="s">
        <v>274</v>
      </c>
      <c r="G4487" s="10" t="s">
        <v>32</v>
      </c>
      <c r="H4487" s="7" t="s">
        <v>24</v>
      </c>
      <c r="I4487" s="7" t="s">
        <v>25</v>
      </c>
      <c r="J4487" s="13" t="str">
        <f>HYPERLINK("https://www.airitibooks.com/Detail/Detail?PublicationID=P20150310012", "https://www.airitibooks.com/Detail/Detail?PublicationID=P20150310012")</f>
        <v>https://www.airitibooks.com/Detail/Detail?PublicationID=P20150310012</v>
      </c>
      <c r="K4487" s="13" t="str">
        <f>HYPERLINK("https://ntsu.idm.oclc.org/login?url=https://www.airitibooks.com/Detail/Detail?PublicationID=P20150310012", "https://ntsu.idm.oclc.org/login?url=https://www.airitibooks.com/Detail/Detail?PublicationID=P20150310012")</f>
        <v>https://ntsu.idm.oclc.org/login?url=https://www.airitibooks.com/Detail/Detail?PublicationID=P20150310012</v>
      </c>
    </row>
    <row r="4488" spans="1:11" ht="51" x14ac:dyDescent="0.4">
      <c r="A4488" s="10" t="s">
        <v>2153</v>
      </c>
      <c r="B4488" s="10" t="s">
        <v>2154</v>
      </c>
      <c r="C4488" s="10" t="s">
        <v>2146</v>
      </c>
      <c r="D4488" s="10" t="s">
        <v>2155</v>
      </c>
      <c r="E4488" s="10" t="s">
        <v>70</v>
      </c>
      <c r="F4488" s="10" t="s">
        <v>2156</v>
      </c>
      <c r="G4488" s="10" t="s">
        <v>32</v>
      </c>
      <c r="H4488" s="7" t="s">
        <v>24</v>
      </c>
      <c r="I4488" s="7" t="s">
        <v>25</v>
      </c>
      <c r="J4488" s="13" t="str">
        <f>HYPERLINK("https://www.airitibooks.com/Detail/Detail?PublicationID=P20150310065", "https://www.airitibooks.com/Detail/Detail?PublicationID=P20150310065")</f>
        <v>https://www.airitibooks.com/Detail/Detail?PublicationID=P20150310065</v>
      </c>
      <c r="K4488" s="13" t="str">
        <f>HYPERLINK("https://ntsu.idm.oclc.org/login?url=https://www.airitibooks.com/Detail/Detail?PublicationID=P20150310065", "https://ntsu.idm.oclc.org/login?url=https://www.airitibooks.com/Detail/Detail?PublicationID=P20150310065")</f>
        <v>https://ntsu.idm.oclc.org/login?url=https://www.airitibooks.com/Detail/Detail?PublicationID=P20150310065</v>
      </c>
    </row>
    <row r="4489" spans="1:11" ht="51" x14ac:dyDescent="0.4">
      <c r="A4489" s="10" t="s">
        <v>2157</v>
      </c>
      <c r="B4489" s="10" t="s">
        <v>2158</v>
      </c>
      <c r="C4489" s="10" t="s">
        <v>2159</v>
      </c>
      <c r="D4489" s="10" t="s">
        <v>2160</v>
      </c>
      <c r="E4489" s="10" t="s">
        <v>70</v>
      </c>
      <c r="F4489" s="10" t="s">
        <v>2161</v>
      </c>
      <c r="G4489" s="10" t="s">
        <v>32</v>
      </c>
      <c r="H4489" s="7" t="s">
        <v>24</v>
      </c>
      <c r="I4489" s="7" t="s">
        <v>25</v>
      </c>
      <c r="J4489" s="13" t="str">
        <f>HYPERLINK("https://www.airitibooks.com/Detail/Detail?PublicationID=P20150316001", "https://www.airitibooks.com/Detail/Detail?PublicationID=P20150316001")</f>
        <v>https://www.airitibooks.com/Detail/Detail?PublicationID=P20150316001</v>
      </c>
      <c r="K4489" s="13" t="str">
        <f>HYPERLINK("https://ntsu.idm.oclc.org/login?url=https://www.airitibooks.com/Detail/Detail?PublicationID=P20150316001", "https://ntsu.idm.oclc.org/login?url=https://www.airitibooks.com/Detail/Detail?PublicationID=P20150316001")</f>
        <v>https://ntsu.idm.oclc.org/login?url=https://www.airitibooks.com/Detail/Detail?PublicationID=P20150316001</v>
      </c>
    </row>
    <row r="4490" spans="1:11" ht="68" x14ac:dyDescent="0.4">
      <c r="A4490" s="10" t="s">
        <v>2215</v>
      </c>
      <c r="B4490" s="10" t="s">
        <v>2216</v>
      </c>
      <c r="C4490" s="10" t="s">
        <v>1504</v>
      </c>
      <c r="D4490" s="10" t="s">
        <v>2217</v>
      </c>
      <c r="E4490" s="10" t="s">
        <v>70</v>
      </c>
      <c r="F4490" s="10" t="s">
        <v>2218</v>
      </c>
      <c r="G4490" s="10" t="s">
        <v>32</v>
      </c>
      <c r="H4490" s="7" t="s">
        <v>24</v>
      </c>
      <c r="I4490" s="7" t="s">
        <v>25</v>
      </c>
      <c r="J4490" s="13" t="str">
        <f>HYPERLINK("https://www.airitibooks.com/Detail/Detail?PublicationID=P20150318048", "https://www.airitibooks.com/Detail/Detail?PublicationID=P20150318048")</f>
        <v>https://www.airitibooks.com/Detail/Detail?PublicationID=P20150318048</v>
      </c>
      <c r="K4490" s="13" t="str">
        <f>HYPERLINK("https://ntsu.idm.oclc.org/login?url=https://www.airitibooks.com/Detail/Detail?PublicationID=P20150318048", "https://ntsu.idm.oclc.org/login?url=https://www.airitibooks.com/Detail/Detail?PublicationID=P20150318048")</f>
        <v>https://ntsu.idm.oclc.org/login?url=https://www.airitibooks.com/Detail/Detail?PublicationID=P20150318048</v>
      </c>
    </row>
    <row r="4491" spans="1:11" ht="51" x14ac:dyDescent="0.4">
      <c r="A4491" s="10" t="s">
        <v>2225</v>
      </c>
      <c r="B4491" s="10" t="s">
        <v>2226</v>
      </c>
      <c r="C4491" s="10" t="s">
        <v>1504</v>
      </c>
      <c r="D4491" s="10" t="s">
        <v>2227</v>
      </c>
      <c r="E4491" s="10" t="s">
        <v>70</v>
      </c>
      <c r="F4491" s="10" t="s">
        <v>2228</v>
      </c>
      <c r="G4491" s="10" t="s">
        <v>32</v>
      </c>
      <c r="H4491" s="7" t="s">
        <v>24</v>
      </c>
      <c r="I4491" s="7" t="s">
        <v>25</v>
      </c>
      <c r="J4491" s="13" t="str">
        <f>HYPERLINK("https://www.airitibooks.com/Detail/Detail?PublicationID=P20150318055", "https://www.airitibooks.com/Detail/Detail?PublicationID=P20150318055")</f>
        <v>https://www.airitibooks.com/Detail/Detail?PublicationID=P20150318055</v>
      </c>
      <c r="K4491" s="13" t="str">
        <f>HYPERLINK("https://ntsu.idm.oclc.org/login?url=https://www.airitibooks.com/Detail/Detail?PublicationID=P20150318055", "https://ntsu.idm.oclc.org/login?url=https://www.airitibooks.com/Detail/Detail?PublicationID=P20150318055")</f>
        <v>https://ntsu.idm.oclc.org/login?url=https://www.airitibooks.com/Detail/Detail?PublicationID=P20150318055</v>
      </c>
    </row>
    <row r="4492" spans="1:11" ht="51" x14ac:dyDescent="0.4">
      <c r="A4492" s="10" t="s">
        <v>2257</v>
      </c>
      <c r="B4492" s="10" t="s">
        <v>2258</v>
      </c>
      <c r="C4492" s="10" t="s">
        <v>108</v>
      </c>
      <c r="D4492" s="10" t="s">
        <v>2259</v>
      </c>
      <c r="E4492" s="10" t="s">
        <v>70</v>
      </c>
      <c r="F4492" s="10" t="s">
        <v>2260</v>
      </c>
      <c r="G4492" s="10" t="s">
        <v>32</v>
      </c>
      <c r="H4492" s="7" t="s">
        <v>24</v>
      </c>
      <c r="I4492" s="7" t="s">
        <v>25</v>
      </c>
      <c r="J4492" s="13" t="str">
        <f>HYPERLINK("https://www.airitibooks.com/Detail/Detail?PublicationID=P20150319012", "https://www.airitibooks.com/Detail/Detail?PublicationID=P20150319012")</f>
        <v>https://www.airitibooks.com/Detail/Detail?PublicationID=P20150319012</v>
      </c>
      <c r="K4492" s="13" t="str">
        <f>HYPERLINK("https://ntsu.idm.oclc.org/login?url=https://www.airitibooks.com/Detail/Detail?PublicationID=P20150319012", "https://ntsu.idm.oclc.org/login?url=https://www.airitibooks.com/Detail/Detail?PublicationID=P20150319012")</f>
        <v>https://ntsu.idm.oclc.org/login?url=https://www.airitibooks.com/Detail/Detail?PublicationID=P20150319012</v>
      </c>
    </row>
    <row r="4493" spans="1:11" ht="51" x14ac:dyDescent="0.4">
      <c r="A4493" s="10" t="s">
        <v>2357</v>
      </c>
      <c r="B4493" s="10" t="s">
        <v>2358</v>
      </c>
      <c r="C4493" s="10" t="s">
        <v>1067</v>
      </c>
      <c r="D4493" s="10" t="s">
        <v>2359</v>
      </c>
      <c r="E4493" s="10" t="s">
        <v>70</v>
      </c>
      <c r="F4493" s="10" t="s">
        <v>2360</v>
      </c>
      <c r="G4493" s="10" t="s">
        <v>32</v>
      </c>
      <c r="H4493" s="7" t="s">
        <v>24</v>
      </c>
      <c r="I4493" s="7" t="s">
        <v>25</v>
      </c>
      <c r="J4493" s="13" t="str">
        <f>HYPERLINK("https://www.airitibooks.com/Detail/Detail?PublicationID=P20150414171", "https://www.airitibooks.com/Detail/Detail?PublicationID=P20150414171")</f>
        <v>https://www.airitibooks.com/Detail/Detail?PublicationID=P20150414171</v>
      </c>
      <c r="K4493" s="13" t="str">
        <f>HYPERLINK("https://ntsu.idm.oclc.org/login?url=https://www.airitibooks.com/Detail/Detail?PublicationID=P20150414171", "https://ntsu.idm.oclc.org/login?url=https://www.airitibooks.com/Detail/Detail?PublicationID=P20150414171")</f>
        <v>https://ntsu.idm.oclc.org/login?url=https://www.airitibooks.com/Detail/Detail?PublicationID=P20150414171</v>
      </c>
    </row>
    <row r="4494" spans="1:11" ht="68" x14ac:dyDescent="0.4">
      <c r="A4494" s="10" t="s">
        <v>2361</v>
      </c>
      <c r="B4494" s="10" t="s">
        <v>2362</v>
      </c>
      <c r="C4494" s="10" t="s">
        <v>1067</v>
      </c>
      <c r="D4494" s="10" t="s">
        <v>2363</v>
      </c>
      <c r="E4494" s="10" t="s">
        <v>70</v>
      </c>
      <c r="F4494" s="10" t="s">
        <v>2364</v>
      </c>
      <c r="G4494" s="10" t="s">
        <v>32</v>
      </c>
      <c r="H4494" s="7" t="s">
        <v>24</v>
      </c>
      <c r="I4494" s="7" t="s">
        <v>25</v>
      </c>
      <c r="J4494" s="13" t="str">
        <f>HYPERLINK("https://www.airitibooks.com/Detail/Detail?PublicationID=P20150414172", "https://www.airitibooks.com/Detail/Detail?PublicationID=P20150414172")</f>
        <v>https://www.airitibooks.com/Detail/Detail?PublicationID=P20150414172</v>
      </c>
      <c r="K4494" s="13" t="str">
        <f>HYPERLINK("https://ntsu.idm.oclc.org/login?url=https://www.airitibooks.com/Detail/Detail?PublicationID=P20150414172", "https://ntsu.idm.oclc.org/login?url=https://www.airitibooks.com/Detail/Detail?PublicationID=P20150414172")</f>
        <v>https://ntsu.idm.oclc.org/login?url=https://www.airitibooks.com/Detail/Detail?PublicationID=P20150414172</v>
      </c>
    </row>
    <row r="4495" spans="1:11" ht="51" x14ac:dyDescent="0.4">
      <c r="A4495" s="10" t="s">
        <v>2569</v>
      </c>
      <c r="B4495" s="10" t="s">
        <v>2570</v>
      </c>
      <c r="C4495" s="10" t="s">
        <v>549</v>
      </c>
      <c r="D4495" s="10" t="s">
        <v>2571</v>
      </c>
      <c r="E4495" s="10" t="s">
        <v>70</v>
      </c>
      <c r="F4495" s="10" t="s">
        <v>1588</v>
      </c>
      <c r="G4495" s="10" t="s">
        <v>32</v>
      </c>
      <c r="H4495" s="7" t="s">
        <v>24</v>
      </c>
      <c r="I4495" s="7" t="s">
        <v>25</v>
      </c>
      <c r="J4495" s="13" t="str">
        <f>HYPERLINK("https://www.airitibooks.com/Detail/Detail?PublicationID=P20150513076", "https://www.airitibooks.com/Detail/Detail?PublicationID=P20150513076")</f>
        <v>https://www.airitibooks.com/Detail/Detail?PublicationID=P20150513076</v>
      </c>
      <c r="K4495" s="13" t="str">
        <f>HYPERLINK("https://ntsu.idm.oclc.org/login?url=https://www.airitibooks.com/Detail/Detail?PublicationID=P20150513076", "https://ntsu.idm.oclc.org/login?url=https://www.airitibooks.com/Detail/Detail?PublicationID=P20150513076")</f>
        <v>https://ntsu.idm.oclc.org/login?url=https://www.airitibooks.com/Detail/Detail?PublicationID=P20150513076</v>
      </c>
    </row>
    <row r="4496" spans="1:11" ht="51" x14ac:dyDescent="0.4">
      <c r="A4496" s="10" t="s">
        <v>2577</v>
      </c>
      <c r="B4496" s="10" t="s">
        <v>2578</v>
      </c>
      <c r="C4496" s="10" t="s">
        <v>499</v>
      </c>
      <c r="D4496" s="10" t="s">
        <v>2579</v>
      </c>
      <c r="E4496" s="10" t="s">
        <v>70</v>
      </c>
      <c r="F4496" s="10" t="s">
        <v>2580</v>
      </c>
      <c r="G4496" s="10" t="s">
        <v>32</v>
      </c>
      <c r="H4496" s="7" t="s">
        <v>24</v>
      </c>
      <c r="I4496" s="7" t="s">
        <v>25</v>
      </c>
      <c r="J4496" s="13" t="str">
        <f>HYPERLINK("https://www.airitibooks.com/Detail/Detail?PublicationID=P20150513086", "https://www.airitibooks.com/Detail/Detail?PublicationID=P20150513086")</f>
        <v>https://www.airitibooks.com/Detail/Detail?PublicationID=P20150513086</v>
      </c>
      <c r="K4496" s="13" t="str">
        <f>HYPERLINK("https://ntsu.idm.oclc.org/login?url=https://www.airitibooks.com/Detail/Detail?PublicationID=P20150513086", "https://ntsu.idm.oclc.org/login?url=https://www.airitibooks.com/Detail/Detail?PublicationID=P20150513086")</f>
        <v>https://ntsu.idm.oclc.org/login?url=https://www.airitibooks.com/Detail/Detail?PublicationID=P20150513086</v>
      </c>
    </row>
    <row r="4497" spans="1:11" ht="51" x14ac:dyDescent="0.4">
      <c r="A4497" s="10" t="s">
        <v>2587</v>
      </c>
      <c r="B4497" s="10" t="s">
        <v>2588</v>
      </c>
      <c r="C4497" s="10" t="s">
        <v>627</v>
      </c>
      <c r="D4497" s="10" t="s">
        <v>2589</v>
      </c>
      <c r="E4497" s="10" t="s">
        <v>70</v>
      </c>
      <c r="F4497" s="10" t="s">
        <v>2580</v>
      </c>
      <c r="G4497" s="10" t="s">
        <v>32</v>
      </c>
      <c r="H4497" s="7" t="s">
        <v>24</v>
      </c>
      <c r="I4497" s="7" t="s">
        <v>25</v>
      </c>
      <c r="J4497" s="13" t="str">
        <f>HYPERLINK("https://www.airitibooks.com/Detail/Detail?PublicationID=P20150515001", "https://www.airitibooks.com/Detail/Detail?PublicationID=P20150515001")</f>
        <v>https://www.airitibooks.com/Detail/Detail?PublicationID=P20150515001</v>
      </c>
      <c r="K4497" s="13" t="str">
        <f>HYPERLINK("https://ntsu.idm.oclc.org/login?url=https://www.airitibooks.com/Detail/Detail?PublicationID=P20150515001", "https://ntsu.idm.oclc.org/login?url=https://www.airitibooks.com/Detail/Detail?PublicationID=P20150515001")</f>
        <v>https://ntsu.idm.oclc.org/login?url=https://www.airitibooks.com/Detail/Detail?PublicationID=P20150515001</v>
      </c>
    </row>
    <row r="4498" spans="1:11" ht="51" x14ac:dyDescent="0.4">
      <c r="A4498" s="10" t="s">
        <v>2590</v>
      </c>
      <c r="B4498" s="10" t="s">
        <v>2591</v>
      </c>
      <c r="C4498" s="10" t="s">
        <v>627</v>
      </c>
      <c r="D4498" s="10" t="s">
        <v>2592</v>
      </c>
      <c r="E4498" s="10" t="s">
        <v>70</v>
      </c>
      <c r="F4498" s="10" t="s">
        <v>1913</v>
      </c>
      <c r="G4498" s="10" t="s">
        <v>32</v>
      </c>
      <c r="H4498" s="7" t="s">
        <v>2593</v>
      </c>
      <c r="I4498" s="7" t="s">
        <v>25</v>
      </c>
      <c r="J4498" s="13" t="str">
        <f>HYPERLINK("https://www.airitibooks.com/Detail/Detail?PublicationID=P20150515002", "https://www.airitibooks.com/Detail/Detail?PublicationID=P20150515002")</f>
        <v>https://www.airitibooks.com/Detail/Detail?PublicationID=P20150515002</v>
      </c>
      <c r="K4498" s="13" t="str">
        <f>HYPERLINK("https://ntsu.idm.oclc.org/login?url=https://www.airitibooks.com/Detail/Detail?PublicationID=P20150515002", "https://ntsu.idm.oclc.org/login?url=https://www.airitibooks.com/Detail/Detail?PublicationID=P20150515002")</f>
        <v>https://ntsu.idm.oclc.org/login?url=https://www.airitibooks.com/Detail/Detail?PublicationID=P20150515002</v>
      </c>
    </row>
    <row r="4499" spans="1:11" ht="51" x14ac:dyDescent="0.4">
      <c r="A4499" s="10" t="s">
        <v>2776</v>
      </c>
      <c r="B4499" s="10" t="s">
        <v>2777</v>
      </c>
      <c r="C4499" s="10" t="s">
        <v>130</v>
      </c>
      <c r="D4499" s="10" t="s">
        <v>2778</v>
      </c>
      <c r="E4499" s="10" t="s">
        <v>70</v>
      </c>
      <c r="F4499" s="10" t="s">
        <v>1941</v>
      </c>
      <c r="G4499" s="10" t="s">
        <v>32</v>
      </c>
      <c r="H4499" s="7" t="s">
        <v>24</v>
      </c>
      <c r="I4499" s="7" t="s">
        <v>25</v>
      </c>
      <c r="J4499" s="13" t="str">
        <f>HYPERLINK("https://www.airitibooks.com/Detail/Detail?PublicationID=P20150624256", "https://www.airitibooks.com/Detail/Detail?PublicationID=P20150624256")</f>
        <v>https://www.airitibooks.com/Detail/Detail?PublicationID=P20150624256</v>
      </c>
      <c r="K4499" s="13" t="str">
        <f>HYPERLINK("https://ntsu.idm.oclc.org/login?url=https://www.airitibooks.com/Detail/Detail?PublicationID=P20150624256", "https://ntsu.idm.oclc.org/login?url=https://www.airitibooks.com/Detail/Detail?PublicationID=P20150624256")</f>
        <v>https://ntsu.idm.oclc.org/login?url=https://www.airitibooks.com/Detail/Detail?PublicationID=P20150624256</v>
      </c>
    </row>
    <row r="4500" spans="1:11" ht="51" x14ac:dyDescent="0.4">
      <c r="A4500" s="10" t="s">
        <v>3028</v>
      </c>
      <c r="B4500" s="10" t="s">
        <v>3029</v>
      </c>
      <c r="C4500" s="10" t="s">
        <v>3025</v>
      </c>
      <c r="D4500" s="10" t="s">
        <v>3026</v>
      </c>
      <c r="E4500" s="10" t="s">
        <v>70</v>
      </c>
      <c r="F4500" s="10" t="s">
        <v>266</v>
      </c>
      <c r="G4500" s="10" t="s">
        <v>32</v>
      </c>
      <c r="H4500" s="7" t="s">
        <v>24</v>
      </c>
      <c r="I4500" s="7" t="s">
        <v>25</v>
      </c>
      <c r="J4500" s="13" t="str">
        <f>HYPERLINK("https://www.airitibooks.com/Detail/Detail?PublicationID=P20150812003", "https://www.airitibooks.com/Detail/Detail?PublicationID=P20150812003")</f>
        <v>https://www.airitibooks.com/Detail/Detail?PublicationID=P20150812003</v>
      </c>
      <c r="K4500" s="13" t="str">
        <f>HYPERLINK("https://ntsu.idm.oclc.org/login?url=https://www.airitibooks.com/Detail/Detail?PublicationID=P20150812003", "https://ntsu.idm.oclc.org/login?url=https://www.airitibooks.com/Detail/Detail?PublicationID=P20150812003")</f>
        <v>https://ntsu.idm.oclc.org/login?url=https://www.airitibooks.com/Detail/Detail?PublicationID=P20150812003</v>
      </c>
    </row>
    <row r="4501" spans="1:11" ht="51" x14ac:dyDescent="0.4">
      <c r="A4501" s="10" t="s">
        <v>3030</v>
      </c>
      <c r="B4501" s="10" t="s">
        <v>3031</v>
      </c>
      <c r="C4501" s="10" t="s">
        <v>3025</v>
      </c>
      <c r="D4501" s="10" t="s">
        <v>3026</v>
      </c>
      <c r="E4501" s="10" t="s">
        <v>70</v>
      </c>
      <c r="F4501" s="10" t="s">
        <v>691</v>
      </c>
      <c r="G4501" s="10" t="s">
        <v>32</v>
      </c>
      <c r="H4501" s="7" t="s">
        <v>24</v>
      </c>
      <c r="I4501" s="7" t="s">
        <v>25</v>
      </c>
      <c r="J4501" s="13" t="str">
        <f>HYPERLINK("https://www.airitibooks.com/Detail/Detail?PublicationID=P20150812004", "https://www.airitibooks.com/Detail/Detail?PublicationID=P20150812004")</f>
        <v>https://www.airitibooks.com/Detail/Detail?PublicationID=P20150812004</v>
      </c>
      <c r="K4501" s="13" t="str">
        <f>HYPERLINK("https://ntsu.idm.oclc.org/login?url=https://www.airitibooks.com/Detail/Detail?PublicationID=P20150812004", "https://ntsu.idm.oclc.org/login?url=https://www.airitibooks.com/Detail/Detail?PublicationID=P20150812004")</f>
        <v>https://ntsu.idm.oclc.org/login?url=https://www.airitibooks.com/Detail/Detail?PublicationID=P20150812004</v>
      </c>
    </row>
    <row r="4502" spans="1:11" ht="51" x14ac:dyDescent="0.4">
      <c r="A4502" s="10" t="s">
        <v>3049</v>
      </c>
      <c r="B4502" s="10" t="s">
        <v>3050</v>
      </c>
      <c r="C4502" s="10" t="s">
        <v>3034</v>
      </c>
      <c r="D4502" s="10" t="s">
        <v>3035</v>
      </c>
      <c r="E4502" s="10" t="s">
        <v>70</v>
      </c>
      <c r="F4502" s="10" t="s">
        <v>2959</v>
      </c>
      <c r="G4502" s="10" t="s">
        <v>32</v>
      </c>
      <c r="H4502" s="7" t="s">
        <v>24</v>
      </c>
      <c r="I4502" s="7" t="s">
        <v>25</v>
      </c>
      <c r="J4502" s="13" t="str">
        <f>HYPERLINK("https://www.airitibooks.com/Detail/Detail?PublicationID=P20150820014", "https://www.airitibooks.com/Detail/Detail?PublicationID=P20150820014")</f>
        <v>https://www.airitibooks.com/Detail/Detail?PublicationID=P20150820014</v>
      </c>
      <c r="K4502" s="13" t="str">
        <f>HYPERLINK("https://ntsu.idm.oclc.org/login?url=https://www.airitibooks.com/Detail/Detail?PublicationID=P20150820014", "https://ntsu.idm.oclc.org/login?url=https://www.airitibooks.com/Detail/Detail?PublicationID=P20150820014")</f>
        <v>https://ntsu.idm.oclc.org/login?url=https://www.airitibooks.com/Detail/Detail?PublicationID=P20150820014</v>
      </c>
    </row>
    <row r="4503" spans="1:11" ht="51" x14ac:dyDescent="0.4">
      <c r="A4503" s="10" t="s">
        <v>3072</v>
      </c>
      <c r="B4503" s="10" t="s">
        <v>3073</v>
      </c>
      <c r="C4503" s="10" t="s">
        <v>3034</v>
      </c>
      <c r="D4503" s="10" t="s">
        <v>3035</v>
      </c>
      <c r="E4503" s="10" t="s">
        <v>70</v>
      </c>
      <c r="F4503" s="10" t="s">
        <v>185</v>
      </c>
      <c r="G4503" s="10" t="s">
        <v>32</v>
      </c>
      <c r="H4503" s="7" t="s">
        <v>24</v>
      </c>
      <c r="I4503" s="7" t="s">
        <v>25</v>
      </c>
      <c r="J4503" s="13" t="str">
        <f>HYPERLINK("https://www.airitibooks.com/Detail/Detail?PublicationID=P20150820069", "https://www.airitibooks.com/Detail/Detail?PublicationID=P20150820069")</f>
        <v>https://www.airitibooks.com/Detail/Detail?PublicationID=P20150820069</v>
      </c>
      <c r="K4503" s="13" t="str">
        <f>HYPERLINK("https://ntsu.idm.oclc.org/login?url=https://www.airitibooks.com/Detail/Detail?PublicationID=P20150820069", "https://ntsu.idm.oclc.org/login?url=https://www.airitibooks.com/Detail/Detail?PublicationID=P20150820069")</f>
        <v>https://ntsu.idm.oclc.org/login?url=https://www.airitibooks.com/Detail/Detail?PublicationID=P20150820069</v>
      </c>
    </row>
    <row r="4504" spans="1:11" ht="51" x14ac:dyDescent="0.4">
      <c r="A4504" s="10" t="s">
        <v>3074</v>
      </c>
      <c r="B4504" s="10" t="s">
        <v>3075</v>
      </c>
      <c r="C4504" s="10" t="s">
        <v>3034</v>
      </c>
      <c r="D4504" s="10" t="s">
        <v>3035</v>
      </c>
      <c r="E4504" s="10" t="s">
        <v>70</v>
      </c>
      <c r="F4504" s="10" t="s">
        <v>1005</v>
      </c>
      <c r="G4504" s="10" t="s">
        <v>32</v>
      </c>
      <c r="H4504" s="7" t="s">
        <v>24</v>
      </c>
      <c r="I4504" s="7" t="s">
        <v>25</v>
      </c>
      <c r="J4504" s="13" t="str">
        <f>HYPERLINK("https://www.airitibooks.com/Detail/Detail?PublicationID=P20150820070", "https://www.airitibooks.com/Detail/Detail?PublicationID=P20150820070")</f>
        <v>https://www.airitibooks.com/Detail/Detail?PublicationID=P20150820070</v>
      </c>
      <c r="K4504" s="13" t="str">
        <f>HYPERLINK("https://ntsu.idm.oclc.org/login?url=https://www.airitibooks.com/Detail/Detail?PublicationID=P20150820070", "https://ntsu.idm.oclc.org/login?url=https://www.airitibooks.com/Detail/Detail?PublicationID=P20150820070")</f>
        <v>https://ntsu.idm.oclc.org/login?url=https://www.airitibooks.com/Detail/Detail?PublicationID=P20150820070</v>
      </c>
    </row>
    <row r="4505" spans="1:11" ht="51" x14ac:dyDescent="0.4">
      <c r="A4505" s="10" t="s">
        <v>3078</v>
      </c>
      <c r="B4505" s="10" t="s">
        <v>3079</v>
      </c>
      <c r="C4505" s="10" t="s">
        <v>3034</v>
      </c>
      <c r="D4505" s="10" t="s">
        <v>3035</v>
      </c>
      <c r="E4505" s="10" t="s">
        <v>70</v>
      </c>
      <c r="F4505" s="10" t="s">
        <v>274</v>
      </c>
      <c r="G4505" s="10" t="s">
        <v>32</v>
      </c>
      <c r="H4505" s="7" t="s">
        <v>24</v>
      </c>
      <c r="I4505" s="7" t="s">
        <v>25</v>
      </c>
      <c r="J4505" s="13" t="str">
        <f>HYPERLINK("https://www.airitibooks.com/Detail/Detail?PublicationID=P20150820074", "https://www.airitibooks.com/Detail/Detail?PublicationID=P20150820074")</f>
        <v>https://www.airitibooks.com/Detail/Detail?PublicationID=P20150820074</v>
      </c>
      <c r="K4505" s="13" t="str">
        <f>HYPERLINK("https://ntsu.idm.oclc.org/login?url=https://www.airitibooks.com/Detail/Detail?PublicationID=P20150820074", "https://ntsu.idm.oclc.org/login?url=https://www.airitibooks.com/Detail/Detail?PublicationID=P20150820074")</f>
        <v>https://ntsu.idm.oclc.org/login?url=https://www.airitibooks.com/Detail/Detail?PublicationID=P20150820074</v>
      </c>
    </row>
    <row r="4506" spans="1:11" ht="51" x14ac:dyDescent="0.4">
      <c r="A4506" s="10" t="s">
        <v>3185</v>
      </c>
      <c r="B4506" s="10" t="s">
        <v>3186</v>
      </c>
      <c r="C4506" s="10" t="s">
        <v>791</v>
      </c>
      <c r="D4506" s="10" t="s">
        <v>3187</v>
      </c>
      <c r="E4506" s="10" t="s">
        <v>70</v>
      </c>
      <c r="F4506" s="10" t="s">
        <v>3188</v>
      </c>
      <c r="G4506" s="10" t="s">
        <v>32</v>
      </c>
      <c r="H4506" s="7" t="s">
        <v>24</v>
      </c>
      <c r="I4506" s="7" t="s">
        <v>25</v>
      </c>
      <c r="J4506" s="13" t="str">
        <f>HYPERLINK("https://www.airitibooks.com/Detail/Detail?PublicationID=P20150820180", "https://www.airitibooks.com/Detail/Detail?PublicationID=P20150820180")</f>
        <v>https://www.airitibooks.com/Detail/Detail?PublicationID=P20150820180</v>
      </c>
      <c r="K4506" s="13" t="str">
        <f>HYPERLINK("https://ntsu.idm.oclc.org/login?url=https://www.airitibooks.com/Detail/Detail?PublicationID=P20150820180", "https://ntsu.idm.oclc.org/login?url=https://www.airitibooks.com/Detail/Detail?PublicationID=P20150820180")</f>
        <v>https://ntsu.idm.oclc.org/login?url=https://www.airitibooks.com/Detail/Detail?PublicationID=P20150820180</v>
      </c>
    </row>
    <row r="4507" spans="1:11" ht="51" x14ac:dyDescent="0.4">
      <c r="A4507" s="10" t="s">
        <v>3361</v>
      </c>
      <c r="B4507" s="10" t="s">
        <v>3362</v>
      </c>
      <c r="C4507" s="10" t="s">
        <v>661</v>
      </c>
      <c r="D4507" s="10" t="s">
        <v>3363</v>
      </c>
      <c r="E4507" s="10" t="s">
        <v>70</v>
      </c>
      <c r="F4507" s="10" t="s">
        <v>3364</v>
      </c>
      <c r="G4507" s="10" t="s">
        <v>32</v>
      </c>
      <c r="H4507" s="7" t="s">
        <v>24</v>
      </c>
      <c r="I4507" s="7" t="s">
        <v>25</v>
      </c>
      <c r="J4507" s="13" t="str">
        <f>HYPERLINK("https://www.airitibooks.com/Detail/Detail?PublicationID=P20150911001", "https://www.airitibooks.com/Detail/Detail?PublicationID=P20150911001")</f>
        <v>https://www.airitibooks.com/Detail/Detail?PublicationID=P20150911001</v>
      </c>
      <c r="K4507" s="13" t="str">
        <f>HYPERLINK("https://ntsu.idm.oclc.org/login?url=https://www.airitibooks.com/Detail/Detail?PublicationID=P20150911001", "https://ntsu.idm.oclc.org/login?url=https://www.airitibooks.com/Detail/Detail?PublicationID=P20150911001")</f>
        <v>https://ntsu.idm.oclc.org/login?url=https://www.airitibooks.com/Detail/Detail?PublicationID=P20150911001</v>
      </c>
    </row>
    <row r="4508" spans="1:11" ht="85" x14ac:dyDescent="0.4">
      <c r="A4508" s="10" t="s">
        <v>3460</v>
      </c>
      <c r="B4508" s="10" t="s">
        <v>3461</v>
      </c>
      <c r="C4508" s="10" t="s">
        <v>3426</v>
      </c>
      <c r="D4508" s="10" t="s">
        <v>3462</v>
      </c>
      <c r="E4508" s="10" t="s">
        <v>70</v>
      </c>
      <c r="F4508" s="10" t="s">
        <v>3463</v>
      </c>
      <c r="G4508" s="10" t="s">
        <v>32</v>
      </c>
      <c r="H4508" s="7" t="s">
        <v>24</v>
      </c>
      <c r="I4508" s="7" t="s">
        <v>25</v>
      </c>
      <c r="J4508" s="13" t="str">
        <f>HYPERLINK("https://www.airitibooks.com/Detail/Detail?PublicationID=P20150918072", "https://www.airitibooks.com/Detail/Detail?PublicationID=P20150918072")</f>
        <v>https://www.airitibooks.com/Detail/Detail?PublicationID=P20150918072</v>
      </c>
      <c r="K4508" s="13" t="str">
        <f>HYPERLINK("https://ntsu.idm.oclc.org/login?url=https://www.airitibooks.com/Detail/Detail?PublicationID=P20150918072", "https://ntsu.idm.oclc.org/login?url=https://www.airitibooks.com/Detail/Detail?PublicationID=P20150918072")</f>
        <v>https://ntsu.idm.oclc.org/login?url=https://www.airitibooks.com/Detail/Detail?PublicationID=P20150918072</v>
      </c>
    </row>
    <row r="4509" spans="1:11" ht="85" x14ac:dyDescent="0.4">
      <c r="A4509" s="10" t="s">
        <v>3464</v>
      </c>
      <c r="B4509" s="10" t="s">
        <v>3465</v>
      </c>
      <c r="C4509" s="10" t="s">
        <v>3426</v>
      </c>
      <c r="D4509" s="10" t="s">
        <v>3466</v>
      </c>
      <c r="E4509" s="10" t="s">
        <v>70</v>
      </c>
      <c r="F4509" s="10" t="s">
        <v>3467</v>
      </c>
      <c r="G4509" s="10" t="s">
        <v>32</v>
      </c>
      <c r="H4509" s="7" t="s">
        <v>24</v>
      </c>
      <c r="I4509" s="7" t="s">
        <v>25</v>
      </c>
      <c r="J4509" s="13" t="str">
        <f>HYPERLINK("https://www.airitibooks.com/Detail/Detail?PublicationID=P20150918073", "https://www.airitibooks.com/Detail/Detail?PublicationID=P20150918073")</f>
        <v>https://www.airitibooks.com/Detail/Detail?PublicationID=P20150918073</v>
      </c>
      <c r="K4509" s="13" t="str">
        <f>HYPERLINK("https://ntsu.idm.oclc.org/login?url=https://www.airitibooks.com/Detail/Detail?PublicationID=P20150918073", "https://ntsu.idm.oclc.org/login?url=https://www.airitibooks.com/Detail/Detail?PublicationID=P20150918073")</f>
        <v>https://ntsu.idm.oclc.org/login?url=https://www.airitibooks.com/Detail/Detail?PublicationID=P20150918073</v>
      </c>
    </row>
    <row r="4510" spans="1:11" ht="51" x14ac:dyDescent="0.4">
      <c r="A4510" s="10" t="s">
        <v>3742</v>
      </c>
      <c r="B4510" s="10" t="s">
        <v>3743</v>
      </c>
      <c r="C4510" s="10" t="s">
        <v>3705</v>
      </c>
      <c r="D4510" s="10" t="s">
        <v>3744</v>
      </c>
      <c r="E4510" s="10" t="s">
        <v>70</v>
      </c>
      <c r="F4510" s="10" t="s">
        <v>3745</v>
      </c>
      <c r="G4510" s="10" t="s">
        <v>32</v>
      </c>
      <c r="H4510" s="7" t="s">
        <v>24</v>
      </c>
      <c r="I4510" s="7" t="s">
        <v>25</v>
      </c>
      <c r="J4510" s="13" t="str">
        <f>HYPERLINK("https://www.airitibooks.com/Detail/Detail?PublicationID=P20151020391", "https://www.airitibooks.com/Detail/Detail?PublicationID=P20151020391")</f>
        <v>https://www.airitibooks.com/Detail/Detail?PublicationID=P20151020391</v>
      </c>
      <c r="K4510" s="13" t="str">
        <f>HYPERLINK("https://ntsu.idm.oclc.org/login?url=https://www.airitibooks.com/Detail/Detail?PublicationID=P20151020391", "https://ntsu.idm.oclc.org/login?url=https://www.airitibooks.com/Detail/Detail?PublicationID=P20151020391")</f>
        <v>https://ntsu.idm.oclc.org/login?url=https://www.airitibooks.com/Detail/Detail?PublicationID=P20151020391</v>
      </c>
    </row>
    <row r="4511" spans="1:11" ht="51" x14ac:dyDescent="0.4">
      <c r="A4511" s="10" t="s">
        <v>3764</v>
      </c>
      <c r="B4511" s="10" t="s">
        <v>3765</v>
      </c>
      <c r="C4511" s="10" t="s">
        <v>3762</v>
      </c>
      <c r="D4511" s="10" t="s">
        <v>3763</v>
      </c>
      <c r="E4511" s="10" t="s">
        <v>70</v>
      </c>
      <c r="F4511" s="10" t="s">
        <v>3766</v>
      </c>
      <c r="G4511" s="10" t="s">
        <v>32</v>
      </c>
      <c r="H4511" s="7" t="s">
        <v>24</v>
      </c>
      <c r="I4511" s="7" t="s">
        <v>25</v>
      </c>
      <c r="J4511" s="13" t="str">
        <f>HYPERLINK("https://www.airitibooks.com/Detail/Detail?PublicationID=P20151021097", "https://www.airitibooks.com/Detail/Detail?PublicationID=P20151021097")</f>
        <v>https://www.airitibooks.com/Detail/Detail?PublicationID=P20151021097</v>
      </c>
      <c r="K4511" s="13" t="str">
        <f>HYPERLINK("https://ntsu.idm.oclc.org/login?url=https://www.airitibooks.com/Detail/Detail?PublicationID=P20151021097", "https://ntsu.idm.oclc.org/login?url=https://www.airitibooks.com/Detail/Detail?PublicationID=P20151021097")</f>
        <v>https://ntsu.idm.oclc.org/login?url=https://www.airitibooks.com/Detail/Detail?PublicationID=P20151021097</v>
      </c>
    </row>
    <row r="4512" spans="1:11" ht="51" x14ac:dyDescent="0.4">
      <c r="A4512" s="10" t="s">
        <v>3767</v>
      </c>
      <c r="B4512" s="10" t="s">
        <v>3768</v>
      </c>
      <c r="C4512" s="10" t="s">
        <v>3762</v>
      </c>
      <c r="D4512" s="10" t="s">
        <v>3763</v>
      </c>
      <c r="E4512" s="10" t="s">
        <v>70</v>
      </c>
      <c r="F4512" s="10" t="s">
        <v>3769</v>
      </c>
      <c r="G4512" s="10" t="s">
        <v>32</v>
      </c>
      <c r="H4512" s="7" t="s">
        <v>24</v>
      </c>
      <c r="I4512" s="7" t="s">
        <v>25</v>
      </c>
      <c r="J4512" s="13" t="str">
        <f>HYPERLINK("https://www.airitibooks.com/Detail/Detail?PublicationID=P20151021099", "https://www.airitibooks.com/Detail/Detail?PublicationID=P20151021099")</f>
        <v>https://www.airitibooks.com/Detail/Detail?PublicationID=P20151021099</v>
      </c>
      <c r="K4512" s="13" t="str">
        <f>HYPERLINK("https://ntsu.idm.oclc.org/login?url=https://www.airitibooks.com/Detail/Detail?PublicationID=P20151021099", "https://ntsu.idm.oclc.org/login?url=https://www.airitibooks.com/Detail/Detail?PublicationID=P20151021099")</f>
        <v>https://ntsu.idm.oclc.org/login?url=https://www.airitibooks.com/Detail/Detail?PublicationID=P20151021099</v>
      </c>
    </row>
    <row r="4513" spans="1:11" ht="51" x14ac:dyDescent="0.4">
      <c r="A4513" s="10" t="s">
        <v>3770</v>
      </c>
      <c r="B4513" s="10" t="s">
        <v>3771</v>
      </c>
      <c r="C4513" s="10" t="s">
        <v>3762</v>
      </c>
      <c r="D4513" s="10" t="s">
        <v>3763</v>
      </c>
      <c r="E4513" s="10" t="s">
        <v>70</v>
      </c>
      <c r="F4513" s="10" t="s">
        <v>575</v>
      </c>
      <c r="G4513" s="10" t="s">
        <v>32</v>
      </c>
      <c r="H4513" s="7" t="s">
        <v>24</v>
      </c>
      <c r="I4513" s="7" t="s">
        <v>25</v>
      </c>
      <c r="J4513" s="13" t="str">
        <f>HYPERLINK("https://www.airitibooks.com/Detail/Detail?PublicationID=P20151021100", "https://www.airitibooks.com/Detail/Detail?PublicationID=P20151021100")</f>
        <v>https://www.airitibooks.com/Detail/Detail?PublicationID=P20151021100</v>
      </c>
      <c r="K4513" s="13" t="str">
        <f>HYPERLINK("https://ntsu.idm.oclc.org/login?url=https://www.airitibooks.com/Detail/Detail?PublicationID=P20151021100", "https://ntsu.idm.oclc.org/login?url=https://www.airitibooks.com/Detail/Detail?PublicationID=P20151021100")</f>
        <v>https://ntsu.idm.oclc.org/login?url=https://www.airitibooks.com/Detail/Detail?PublicationID=P20151021100</v>
      </c>
    </row>
    <row r="4514" spans="1:11" ht="51" x14ac:dyDescent="0.4">
      <c r="A4514" s="10" t="s">
        <v>3772</v>
      </c>
      <c r="B4514" s="10" t="s">
        <v>3773</v>
      </c>
      <c r="C4514" s="10" t="s">
        <v>3762</v>
      </c>
      <c r="D4514" s="10" t="s">
        <v>3763</v>
      </c>
      <c r="E4514" s="10" t="s">
        <v>70</v>
      </c>
      <c r="F4514" s="10" t="s">
        <v>1941</v>
      </c>
      <c r="G4514" s="10" t="s">
        <v>32</v>
      </c>
      <c r="H4514" s="7" t="s">
        <v>24</v>
      </c>
      <c r="I4514" s="7" t="s">
        <v>25</v>
      </c>
      <c r="J4514" s="13" t="str">
        <f>HYPERLINK("https://www.airitibooks.com/Detail/Detail?PublicationID=P20151021101", "https://www.airitibooks.com/Detail/Detail?PublicationID=P20151021101")</f>
        <v>https://www.airitibooks.com/Detail/Detail?PublicationID=P20151021101</v>
      </c>
      <c r="K4514" s="13" t="str">
        <f>HYPERLINK("https://ntsu.idm.oclc.org/login?url=https://www.airitibooks.com/Detail/Detail?PublicationID=P20151021101", "https://ntsu.idm.oclc.org/login?url=https://www.airitibooks.com/Detail/Detail?PublicationID=P20151021101")</f>
        <v>https://ntsu.idm.oclc.org/login?url=https://www.airitibooks.com/Detail/Detail?PublicationID=P20151021101</v>
      </c>
    </row>
    <row r="4515" spans="1:11" ht="51" x14ac:dyDescent="0.4">
      <c r="A4515" s="10" t="s">
        <v>3796</v>
      </c>
      <c r="B4515" s="10" t="s">
        <v>3797</v>
      </c>
      <c r="C4515" s="10" t="s">
        <v>3798</v>
      </c>
      <c r="D4515" s="10" t="s">
        <v>3799</v>
      </c>
      <c r="E4515" s="10" t="s">
        <v>70</v>
      </c>
      <c r="F4515" s="10" t="s">
        <v>3534</v>
      </c>
      <c r="G4515" s="10" t="s">
        <v>32</v>
      </c>
      <c r="H4515" s="7" t="s">
        <v>24</v>
      </c>
      <c r="I4515" s="7" t="s">
        <v>25</v>
      </c>
      <c r="J4515" s="13" t="str">
        <f>HYPERLINK("https://www.airitibooks.com/Detail/Detail?PublicationID=P20151021227", "https://www.airitibooks.com/Detail/Detail?PublicationID=P20151021227")</f>
        <v>https://www.airitibooks.com/Detail/Detail?PublicationID=P20151021227</v>
      </c>
      <c r="K4515" s="13" t="str">
        <f>HYPERLINK("https://ntsu.idm.oclc.org/login?url=https://www.airitibooks.com/Detail/Detail?PublicationID=P20151021227", "https://ntsu.idm.oclc.org/login?url=https://www.airitibooks.com/Detail/Detail?PublicationID=P20151021227")</f>
        <v>https://ntsu.idm.oclc.org/login?url=https://www.airitibooks.com/Detail/Detail?PublicationID=P20151021227</v>
      </c>
    </row>
    <row r="4516" spans="1:11" ht="51" x14ac:dyDescent="0.4">
      <c r="A4516" s="10" t="s">
        <v>3800</v>
      </c>
      <c r="B4516" s="10" t="s">
        <v>3801</v>
      </c>
      <c r="C4516" s="10" t="s">
        <v>1067</v>
      </c>
      <c r="D4516" s="10" t="s">
        <v>3802</v>
      </c>
      <c r="E4516" s="10" t="s">
        <v>70</v>
      </c>
      <c r="F4516" s="10" t="s">
        <v>3803</v>
      </c>
      <c r="G4516" s="10" t="s">
        <v>32</v>
      </c>
      <c r="H4516" s="7" t="s">
        <v>24</v>
      </c>
      <c r="I4516" s="7" t="s">
        <v>25</v>
      </c>
      <c r="J4516" s="13" t="str">
        <f>HYPERLINK("https://www.airitibooks.com/Detail/Detail?PublicationID=P20151021228", "https://www.airitibooks.com/Detail/Detail?PublicationID=P20151021228")</f>
        <v>https://www.airitibooks.com/Detail/Detail?PublicationID=P20151021228</v>
      </c>
      <c r="K4516" s="13" t="str">
        <f>HYPERLINK("https://ntsu.idm.oclc.org/login?url=https://www.airitibooks.com/Detail/Detail?PublicationID=P20151021228", "https://ntsu.idm.oclc.org/login?url=https://www.airitibooks.com/Detail/Detail?PublicationID=P20151021228")</f>
        <v>https://ntsu.idm.oclc.org/login?url=https://www.airitibooks.com/Detail/Detail?PublicationID=P20151021228</v>
      </c>
    </row>
    <row r="4517" spans="1:11" ht="51" x14ac:dyDescent="0.4">
      <c r="A4517" s="10" t="s">
        <v>3804</v>
      </c>
      <c r="B4517" s="10" t="s">
        <v>3805</v>
      </c>
      <c r="C4517" s="10" t="s">
        <v>1067</v>
      </c>
      <c r="D4517" s="10" t="s">
        <v>3806</v>
      </c>
      <c r="E4517" s="10" t="s">
        <v>70</v>
      </c>
      <c r="F4517" s="10" t="s">
        <v>42</v>
      </c>
      <c r="G4517" s="10" t="s">
        <v>32</v>
      </c>
      <c r="H4517" s="7" t="s">
        <v>24</v>
      </c>
      <c r="I4517" s="7" t="s">
        <v>25</v>
      </c>
      <c r="J4517" s="13" t="str">
        <f>HYPERLINK("https://www.airitibooks.com/Detail/Detail?PublicationID=P20151021229", "https://www.airitibooks.com/Detail/Detail?PublicationID=P20151021229")</f>
        <v>https://www.airitibooks.com/Detail/Detail?PublicationID=P20151021229</v>
      </c>
      <c r="K4517" s="13" t="str">
        <f>HYPERLINK("https://ntsu.idm.oclc.org/login?url=https://www.airitibooks.com/Detail/Detail?PublicationID=P20151021229", "https://ntsu.idm.oclc.org/login?url=https://www.airitibooks.com/Detail/Detail?PublicationID=P20151021229")</f>
        <v>https://ntsu.idm.oclc.org/login?url=https://www.airitibooks.com/Detail/Detail?PublicationID=P20151021229</v>
      </c>
    </row>
    <row r="4518" spans="1:11" ht="51" x14ac:dyDescent="0.4">
      <c r="A4518" s="10" t="s">
        <v>4106</v>
      </c>
      <c r="B4518" s="10" t="s">
        <v>4107</v>
      </c>
      <c r="C4518" s="10" t="s">
        <v>28</v>
      </c>
      <c r="D4518" s="10" t="s">
        <v>4108</v>
      </c>
      <c r="E4518" s="10" t="s">
        <v>70</v>
      </c>
      <c r="F4518" s="10" t="s">
        <v>4109</v>
      </c>
      <c r="G4518" s="10" t="s">
        <v>32</v>
      </c>
      <c r="H4518" s="7" t="s">
        <v>24</v>
      </c>
      <c r="I4518" s="7" t="s">
        <v>25</v>
      </c>
      <c r="J4518" s="13" t="str">
        <f>HYPERLINK("https://www.airitibooks.com/Detail/Detail?PublicationID=P20151204084", "https://www.airitibooks.com/Detail/Detail?PublicationID=P20151204084")</f>
        <v>https://www.airitibooks.com/Detail/Detail?PublicationID=P20151204084</v>
      </c>
      <c r="K4518" s="13" t="str">
        <f>HYPERLINK("https://ntsu.idm.oclc.org/login?url=https://www.airitibooks.com/Detail/Detail?PublicationID=P20151204084", "https://ntsu.idm.oclc.org/login?url=https://www.airitibooks.com/Detail/Detail?PublicationID=P20151204084")</f>
        <v>https://ntsu.idm.oclc.org/login?url=https://www.airitibooks.com/Detail/Detail?PublicationID=P20151204084</v>
      </c>
    </row>
    <row r="4519" spans="1:11" ht="51" x14ac:dyDescent="0.4">
      <c r="A4519" s="10" t="s">
        <v>4750</v>
      </c>
      <c r="B4519" s="10" t="s">
        <v>4751</v>
      </c>
      <c r="C4519" s="10" t="s">
        <v>4609</v>
      </c>
      <c r="D4519" s="10" t="s">
        <v>4752</v>
      </c>
      <c r="E4519" s="10" t="s">
        <v>70</v>
      </c>
      <c r="F4519" s="10" t="s">
        <v>185</v>
      </c>
      <c r="G4519" s="10" t="s">
        <v>32</v>
      </c>
      <c r="H4519" s="7" t="s">
        <v>24</v>
      </c>
      <c r="I4519" s="7" t="s">
        <v>25</v>
      </c>
      <c r="J4519" s="13" t="str">
        <f>HYPERLINK("https://www.airitibooks.com/Detail/Detail?PublicationID=P20160614004", "https://www.airitibooks.com/Detail/Detail?PublicationID=P20160614004")</f>
        <v>https://www.airitibooks.com/Detail/Detail?PublicationID=P20160614004</v>
      </c>
      <c r="K4519" s="13" t="str">
        <f>HYPERLINK("https://ntsu.idm.oclc.org/login?url=https://www.airitibooks.com/Detail/Detail?PublicationID=P20160614004", "https://ntsu.idm.oclc.org/login?url=https://www.airitibooks.com/Detail/Detail?PublicationID=P20160614004")</f>
        <v>https://ntsu.idm.oclc.org/login?url=https://www.airitibooks.com/Detail/Detail?PublicationID=P20160614004</v>
      </c>
    </row>
    <row r="4520" spans="1:11" ht="51" x14ac:dyDescent="0.4">
      <c r="A4520" s="10" t="s">
        <v>4753</v>
      </c>
      <c r="B4520" s="10" t="s">
        <v>4754</v>
      </c>
      <c r="C4520" s="10" t="s">
        <v>4609</v>
      </c>
      <c r="D4520" s="10" t="s">
        <v>4752</v>
      </c>
      <c r="E4520" s="10" t="s">
        <v>70</v>
      </c>
      <c r="F4520" s="10" t="s">
        <v>185</v>
      </c>
      <c r="G4520" s="10" t="s">
        <v>32</v>
      </c>
      <c r="H4520" s="7" t="s">
        <v>24</v>
      </c>
      <c r="I4520" s="7" t="s">
        <v>25</v>
      </c>
      <c r="J4520" s="13" t="str">
        <f>HYPERLINK("https://www.airitibooks.com/Detail/Detail?PublicationID=P20160614005", "https://www.airitibooks.com/Detail/Detail?PublicationID=P20160614005")</f>
        <v>https://www.airitibooks.com/Detail/Detail?PublicationID=P20160614005</v>
      </c>
      <c r="K4520" s="13" t="str">
        <f>HYPERLINK("https://ntsu.idm.oclc.org/login?url=https://www.airitibooks.com/Detail/Detail?PublicationID=P20160614005", "https://ntsu.idm.oclc.org/login?url=https://www.airitibooks.com/Detail/Detail?PublicationID=P20160614005")</f>
        <v>https://ntsu.idm.oclc.org/login?url=https://www.airitibooks.com/Detail/Detail?PublicationID=P20160614005</v>
      </c>
    </row>
    <row r="4521" spans="1:11" ht="51" x14ac:dyDescent="0.4">
      <c r="A4521" s="10" t="s">
        <v>4755</v>
      </c>
      <c r="B4521" s="10" t="s">
        <v>4756</v>
      </c>
      <c r="C4521" s="10" t="s">
        <v>4609</v>
      </c>
      <c r="D4521" s="10" t="s">
        <v>4757</v>
      </c>
      <c r="E4521" s="10" t="s">
        <v>70</v>
      </c>
      <c r="F4521" s="10" t="s">
        <v>185</v>
      </c>
      <c r="G4521" s="10" t="s">
        <v>32</v>
      </c>
      <c r="H4521" s="7" t="s">
        <v>24</v>
      </c>
      <c r="I4521" s="7" t="s">
        <v>25</v>
      </c>
      <c r="J4521" s="13" t="str">
        <f>HYPERLINK("https://www.airitibooks.com/Detail/Detail?PublicationID=P20160614006", "https://www.airitibooks.com/Detail/Detail?PublicationID=P20160614006")</f>
        <v>https://www.airitibooks.com/Detail/Detail?PublicationID=P20160614006</v>
      </c>
      <c r="K4521" s="13" t="str">
        <f>HYPERLINK("https://ntsu.idm.oclc.org/login?url=https://www.airitibooks.com/Detail/Detail?PublicationID=P20160614006", "https://ntsu.idm.oclc.org/login?url=https://www.airitibooks.com/Detail/Detail?PublicationID=P20160614006")</f>
        <v>https://ntsu.idm.oclc.org/login?url=https://www.airitibooks.com/Detail/Detail?PublicationID=P20160614006</v>
      </c>
    </row>
    <row r="4522" spans="1:11" ht="51" x14ac:dyDescent="0.4">
      <c r="A4522" s="10" t="s">
        <v>4798</v>
      </c>
      <c r="B4522" s="10" t="s">
        <v>4799</v>
      </c>
      <c r="C4522" s="10" t="s">
        <v>1095</v>
      </c>
      <c r="D4522" s="10" t="s">
        <v>4800</v>
      </c>
      <c r="E4522" s="10" t="s">
        <v>70</v>
      </c>
      <c r="F4522" s="10" t="s">
        <v>575</v>
      </c>
      <c r="G4522" s="10" t="s">
        <v>32</v>
      </c>
      <c r="H4522" s="7" t="s">
        <v>24</v>
      </c>
      <c r="I4522" s="7" t="s">
        <v>25</v>
      </c>
      <c r="J4522" s="13" t="str">
        <f>HYPERLINK("https://www.airitibooks.com/Detail/Detail?PublicationID=P20160705011", "https://www.airitibooks.com/Detail/Detail?PublicationID=P20160705011")</f>
        <v>https://www.airitibooks.com/Detail/Detail?PublicationID=P20160705011</v>
      </c>
      <c r="K4522" s="13" t="str">
        <f>HYPERLINK("https://ntsu.idm.oclc.org/login?url=https://www.airitibooks.com/Detail/Detail?PublicationID=P20160705011", "https://ntsu.idm.oclc.org/login?url=https://www.airitibooks.com/Detail/Detail?PublicationID=P20160705011")</f>
        <v>https://ntsu.idm.oclc.org/login?url=https://www.airitibooks.com/Detail/Detail?PublicationID=P20160705011</v>
      </c>
    </row>
    <row r="4523" spans="1:11" ht="51" x14ac:dyDescent="0.4">
      <c r="A4523" s="10" t="s">
        <v>5344</v>
      </c>
      <c r="B4523" s="10" t="s">
        <v>5345</v>
      </c>
      <c r="C4523" s="10" t="s">
        <v>499</v>
      </c>
      <c r="D4523" s="10" t="s">
        <v>5346</v>
      </c>
      <c r="E4523" s="10" t="s">
        <v>70</v>
      </c>
      <c r="F4523" s="10" t="s">
        <v>5347</v>
      </c>
      <c r="G4523" s="10" t="s">
        <v>32</v>
      </c>
      <c r="H4523" s="7" t="s">
        <v>24</v>
      </c>
      <c r="I4523" s="7" t="s">
        <v>25</v>
      </c>
      <c r="J4523" s="13" t="str">
        <f>HYPERLINK("https://www.airitibooks.com/Detail/Detail?PublicationID=P20160907099", "https://www.airitibooks.com/Detail/Detail?PublicationID=P20160907099")</f>
        <v>https://www.airitibooks.com/Detail/Detail?PublicationID=P20160907099</v>
      </c>
      <c r="K4523" s="13" t="str">
        <f>HYPERLINK("https://ntsu.idm.oclc.org/login?url=https://www.airitibooks.com/Detail/Detail?PublicationID=P20160907099", "https://ntsu.idm.oclc.org/login?url=https://www.airitibooks.com/Detail/Detail?PublicationID=P20160907099")</f>
        <v>https://ntsu.idm.oclc.org/login?url=https://www.airitibooks.com/Detail/Detail?PublicationID=P20160907099</v>
      </c>
    </row>
    <row r="4524" spans="1:11" ht="51" x14ac:dyDescent="0.4">
      <c r="A4524" s="10" t="s">
        <v>5348</v>
      </c>
      <c r="B4524" s="10" t="s">
        <v>5349</v>
      </c>
      <c r="C4524" s="10" t="s">
        <v>499</v>
      </c>
      <c r="D4524" s="10" t="s">
        <v>5350</v>
      </c>
      <c r="E4524" s="10" t="s">
        <v>70</v>
      </c>
      <c r="F4524" s="10" t="s">
        <v>5351</v>
      </c>
      <c r="G4524" s="10" t="s">
        <v>32</v>
      </c>
      <c r="H4524" s="7" t="s">
        <v>24</v>
      </c>
      <c r="I4524" s="7" t="s">
        <v>25</v>
      </c>
      <c r="J4524" s="13" t="str">
        <f>HYPERLINK("https://www.airitibooks.com/Detail/Detail?PublicationID=P20160907100", "https://www.airitibooks.com/Detail/Detail?PublicationID=P20160907100")</f>
        <v>https://www.airitibooks.com/Detail/Detail?PublicationID=P20160907100</v>
      </c>
      <c r="K4524" s="13" t="str">
        <f>HYPERLINK("https://ntsu.idm.oclc.org/login?url=https://www.airitibooks.com/Detail/Detail?PublicationID=P20160907100", "https://ntsu.idm.oclc.org/login?url=https://www.airitibooks.com/Detail/Detail?PublicationID=P20160907100")</f>
        <v>https://ntsu.idm.oclc.org/login?url=https://www.airitibooks.com/Detail/Detail?PublicationID=P20160907100</v>
      </c>
    </row>
    <row r="4525" spans="1:11" ht="68" x14ac:dyDescent="0.4">
      <c r="A4525" s="10" t="s">
        <v>5378</v>
      </c>
      <c r="B4525" s="10" t="s">
        <v>5379</v>
      </c>
      <c r="C4525" s="10" t="s">
        <v>1484</v>
      </c>
      <c r="D4525" s="10" t="s">
        <v>5380</v>
      </c>
      <c r="E4525" s="10" t="s">
        <v>70</v>
      </c>
      <c r="F4525" s="10" t="s">
        <v>2856</v>
      </c>
      <c r="G4525" s="10" t="s">
        <v>32</v>
      </c>
      <c r="H4525" s="7" t="s">
        <v>24</v>
      </c>
      <c r="I4525" s="7" t="s">
        <v>25</v>
      </c>
      <c r="J4525" s="13" t="str">
        <f>HYPERLINK("https://www.airitibooks.com/Detail/Detail?PublicationID=P20160907273", "https://www.airitibooks.com/Detail/Detail?PublicationID=P20160907273")</f>
        <v>https://www.airitibooks.com/Detail/Detail?PublicationID=P20160907273</v>
      </c>
      <c r="K4525" s="13" t="str">
        <f>HYPERLINK("https://ntsu.idm.oclc.org/login?url=https://www.airitibooks.com/Detail/Detail?PublicationID=P20160907273", "https://ntsu.idm.oclc.org/login?url=https://www.airitibooks.com/Detail/Detail?PublicationID=P20160907273")</f>
        <v>https://ntsu.idm.oclc.org/login?url=https://www.airitibooks.com/Detail/Detail?PublicationID=P20160907273</v>
      </c>
    </row>
    <row r="4526" spans="1:11" ht="51" x14ac:dyDescent="0.4">
      <c r="A4526" s="10" t="s">
        <v>5575</v>
      </c>
      <c r="B4526" s="10" t="s">
        <v>5576</v>
      </c>
      <c r="C4526" s="10" t="s">
        <v>147</v>
      </c>
      <c r="D4526" s="10" t="s">
        <v>3380</v>
      </c>
      <c r="E4526" s="10" t="s">
        <v>70</v>
      </c>
      <c r="F4526" s="10" t="s">
        <v>185</v>
      </c>
      <c r="G4526" s="10" t="s">
        <v>32</v>
      </c>
      <c r="H4526" s="7" t="s">
        <v>24</v>
      </c>
      <c r="I4526" s="7" t="s">
        <v>25</v>
      </c>
      <c r="J4526" s="13" t="str">
        <f>HYPERLINK("https://www.airitibooks.com/Detail/Detail?PublicationID=P20161004013", "https://www.airitibooks.com/Detail/Detail?PublicationID=P20161004013")</f>
        <v>https://www.airitibooks.com/Detail/Detail?PublicationID=P20161004013</v>
      </c>
      <c r="K4526" s="13" t="str">
        <f>HYPERLINK("https://ntsu.idm.oclc.org/login?url=https://www.airitibooks.com/Detail/Detail?PublicationID=P20161004013", "https://ntsu.idm.oclc.org/login?url=https://www.airitibooks.com/Detail/Detail?PublicationID=P20161004013")</f>
        <v>https://ntsu.idm.oclc.org/login?url=https://www.airitibooks.com/Detail/Detail?PublicationID=P20161004013</v>
      </c>
    </row>
    <row r="4527" spans="1:11" ht="51" x14ac:dyDescent="0.4">
      <c r="A4527" s="10" t="s">
        <v>5577</v>
      </c>
      <c r="B4527" s="10" t="s">
        <v>5578</v>
      </c>
      <c r="C4527" s="10" t="s">
        <v>147</v>
      </c>
      <c r="D4527" s="10" t="s">
        <v>5579</v>
      </c>
      <c r="E4527" s="10" t="s">
        <v>70</v>
      </c>
      <c r="F4527" s="10" t="s">
        <v>647</v>
      </c>
      <c r="G4527" s="10" t="s">
        <v>32</v>
      </c>
      <c r="H4527" s="7" t="s">
        <v>24</v>
      </c>
      <c r="I4527" s="7" t="s">
        <v>25</v>
      </c>
      <c r="J4527" s="13" t="str">
        <f>HYPERLINK("https://www.airitibooks.com/Detail/Detail?PublicationID=P20161004033", "https://www.airitibooks.com/Detail/Detail?PublicationID=P20161004033")</f>
        <v>https://www.airitibooks.com/Detail/Detail?PublicationID=P20161004033</v>
      </c>
      <c r="K4527" s="13" t="str">
        <f>HYPERLINK("https://ntsu.idm.oclc.org/login?url=https://www.airitibooks.com/Detail/Detail?PublicationID=P20161004033", "https://ntsu.idm.oclc.org/login?url=https://www.airitibooks.com/Detail/Detail?PublicationID=P20161004033")</f>
        <v>https://ntsu.idm.oclc.org/login?url=https://www.airitibooks.com/Detail/Detail?PublicationID=P20161004033</v>
      </c>
    </row>
    <row r="4528" spans="1:11" ht="51" x14ac:dyDescent="0.4">
      <c r="A4528" s="10" t="s">
        <v>6397</v>
      </c>
      <c r="B4528" s="10" t="s">
        <v>6398</v>
      </c>
      <c r="C4528" s="10" t="s">
        <v>848</v>
      </c>
      <c r="D4528" s="10" t="s">
        <v>6399</v>
      </c>
      <c r="E4528" s="10" t="s">
        <v>70</v>
      </c>
      <c r="F4528" s="10" t="s">
        <v>6400</v>
      </c>
      <c r="G4528" s="10" t="s">
        <v>32</v>
      </c>
      <c r="H4528" s="7" t="s">
        <v>24</v>
      </c>
      <c r="I4528" s="7" t="s">
        <v>25</v>
      </c>
      <c r="J4528" s="13" t="str">
        <f>HYPERLINK("https://www.airitibooks.com/Detail/Detail?PublicationID=P20170411021", "https://www.airitibooks.com/Detail/Detail?PublicationID=P20170411021")</f>
        <v>https://www.airitibooks.com/Detail/Detail?PublicationID=P20170411021</v>
      </c>
      <c r="K4528" s="13" t="str">
        <f>HYPERLINK("https://ntsu.idm.oclc.org/login?url=https://www.airitibooks.com/Detail/Detail?PublicationID=P20170411021", "https://ntsu.idm.oclc.org/login?url=https://www.airitibooks.com/Detail/Detail?PublicationID=P20170411021")</f>
        <v>https://ntsu.idm.oclc.org/login?url=https://www.airitibooks.com/Detail/Detail?PublicationID=P20170411021</v>
      </c>
    </row>
    <row r="4529" spans="1:11" ht="51" x14ac:dyDescent="0.4">
      <c r="A4529" s="10" t="s">
        <v>6415</v>
      </c>
      <c r="B4529" s="10" t="s">
        <v>6416</v>
      </c>
      <c r="C4529" s="10" t="s">
        <v>848</v>
      </c>
      <c r="D4529" s="10" t="s">
        <v>6399</v>
      </c>
      <c r="E4529" s="10" t="s">
        <v>70</v>
      </c>
      <c r="F4529" s="10" t="s">
        <v>1005</v>
      </c>
      <c r="G4529" s="10" t="s">
        <v>32</v>
      </c>
      <c r="H4529" s="7" t="s">
        <v>24</v>
      </c>
      <c r="I4529" s="7" t="s">
        <v>25</v>
      </c>
      <c r="J4529" s="13" t="str">
        <f>HYPERLINK("https://www.airitibooks.com/Detail/Detail?PublicationID=P20170411028", "https://www.airitibooks.com/Detail/Detail?PublicationID=P20170411028")</f>
        <v>https://www.airitibooks.com/Detail/Detail?PublicationID=P20170411028</v>
      </c>
      <c r="K4529" s="13" t="str">
        <f>HYPERLINK("https://ntsu.idm.oclc.org/login?url=https://www.airitibooks.com/Detail/Detail?PublicationID=P20170411028", "https://ntsu.idm.oclc.org/login?url=https://www.airitibooks.com/Detail/Detail?PublicationID=P20170411028")</f>
        <v>https://ntsu.idm.oclc.org/login?url=https://www.airitibooks.com/Detail/Detail?PublicationID=P20170411028</v>
      </c>
    </row>
    <row r="4530" spans="1:11" ht="51" x14ac:dyDescent="0.4">
      <c r="A4530" s="10" t="s">
        <v>8788</v>
      </c>
      <c r="B4530" s="10" t="s">
        <v>8789</v>
      </c>
      <c r="C4530" s="10" t="s">
        <v>848</v>
      </c>
      <c r="D4530" s="10" t="s">
        <v>8790</v>
      </c>
      <c r="E4530" s="10" t="s">
        <v>70</v>
      </c>
      <c r="F4530" s="10" t="s">
        <v>181</v>
      </c>
      <c r="G4530" s="10" t="s">
        <v>32</v>
      </c>
      <c r="H4530" s="7" t="s">
        <v>24</v>
      </c>
      <c r="I4530" s="7" t="s">
        <v>25</v>
      </c>
      <c r="J4530" s="13" t="str">
        <f>HYPERLINK("https://www.airitibooks.com/Detail/Detail?PublicationID=P20180323076", "https://www.airitibooks.com/Detail/Detail?PublicationID=P20180323076")</f>
        <v>https://www.airitibooks.com/Detail/Detail?PublicationID=P20180323076</v>
      </c>
      <c r="K4530" s="13" t="str">
        <f>HYPERLINK("https://ntsu.idm.oclc.org/login?url=https://www.airitibooks.com/Detail/Detail?PublicationID=P20180323076", "https://ntsu.idm.oclc.org/login?url=https://www.airitibooks.com/Detail/Detail?PublicationID=P20180323076")</f>
        <v>https://ntsu.idm.oclc.org/login?url=https://www.airitibooks.com/Detail/Detail?PublicationID=P20180323076</v>
      </c>
    </row>
    <row r="4531" spans="1:11" ht="68" x14ac:dyDescent="0.4">
      <c r="A4531" s="10" t="s">
        <v>8962</v>
      </c>
      <c r="B4531" s="10" t="s">
        <v>8963</v>
      </c>
      <c r="C4531" s="10" t="s">
        <v>141</v>
      </c>
      <c r="D4531" s="10" t="s">
        <v>8964</v>
      </c>
      <c r="E4531" s="10" t="s">
        <v>70</v>
      </c>
      <c r="F4531" s="10" t="s">
        <v>1941</v>
      </c>
      <c r="G4531" s="10" t="s">
        <v>32</v>
      </c>
      <c r="H4531" s="7" t="s">
        <v>24</v>
      </c>
      <c r="I4531" s="7" t="s">
        <v>25</v>
      </c>
      <c r="J4531" s="13" t="str">
        <f>HYPERLINK("https://www.airitibooks.com/Detail/Detail?PublicationID=P20180413064", "https://www.airitibooks.com/Detail/Detail?PublicationID=P20180413064")</f>
        <v>https://www.airitibooks.com/Detail/Detail?PublicationID=P20180413064</v>
      </c>
      <c r="K4531" s="13" t="str">
        <f>HYPERLINK("https://ntsu.idm.oclc.org/login?url=https://www.airitibooks.com/Detail/Detail?PublicationID=P20180413064", "https://ntsu.idm.oclc.org/login?url=https://www.airitibooks.com/Detail/Detail?PublicationID=P20180413064")</f>
        <v>https://ntsu.idm.oclc.org/login?url=https://www.airitibooks.com/Detail/Detail?PublicationID=P20180413064</v>
      </c>
    </row>
    <row r="4532" spans="1:11" ht="51" x14ac:dyDescent="0.4">
      <c r="A4532" s="10" t="s">
        <v>9996</v>
      </c>
      <c r="B4532" s="10" t="s">
        <v>9997</v>
      </c>
      <c r="C4532" s="10" t="s">
        <v>9828</v>
      </c>
      <c r="D4532" s="10" t="s">
        <v>9998</v>
      </c>
      <c r="E4532" s="10" t="s">
        <v>70</v>
      </c>
      <c r="F4532" s="10" t="s">
        <v>575</v>
      </c>
      <c r="G4532" s="10" t="s">
        <v>32</v>
      </c>
      <c r="H4532" s="7" t="s">
        <v>1031</v>
      </c>
      <c r="I4532" s="7" t="s">
        <v>25</v>
      </c>
      <c r="J4532" s="13" t="str">
        <f>HYPERLINK("https://www.airitibooks.com/Detail/Detail?PublicationID=P20181107025", "https://www.airitibooks.com/Detail/Detail?PublicationID=P20181107025")</f>
        <v>https://www.airitibooks.com/Detail/Detail?PublicationID=P20181107025</v>
      </c>
      <c r="K4532" s="13" t="str">
        <f>HYPERLINK("https://ntsu.idm.oclc.org/login?url=https://www.airitibooks.com/Detail/Detail?PublicationID=P20181107025", "https://ntsu.idm.oclc.org/login?url=https://www.airitibooks.com/Detail/Detail?PublicationID=P20181107025")</f>
        <v>https://ntsu.idm.oclc.org/login?url=https://www.airitibooks.com/Detail/Detail?PublicationID=P20181107025</v>
      </c>
    </row>
    <row r="4533" spans="1:11" ht="51" x14ac:dyDescent="0.4">
      <c r="A4533" s="10" t="s">
        <v>1307</v>
      </c>
      <c r="B4533" s="10" t="s">
        <v>1308</v>
      </c>
      <c r="C4533" s="10" t="s">
        <v>1034</v>
      </c>
      <c r="D4533" s="10" t="s">
        <v>1034</v>
      </c>
      <c r="E4533" s="10" t="s">
        <v>70</v>
      </c>
      <c r="F4533" s="10" t="s">
        <v>1309</v>
      </c>
      <c r="G4533" s="10" t="s">
        <v>502</v>
      </c>
      <c r="H4533" s="7" t="s">
        <v>24</v>
      </c>
      <c r="I4533" s="7" t="s">
        <v>25</v>
      </c>
      <c r="J4533" s="13" t="str">
        <f>HYPERLINK("https://www.airitibooks.com/Detail/Detail?PublicationID=P20140704023", "https://www.airitibooks.com/Detail/Detail?PublicationID=P20140704023")</f>
        <v>https://www.airitibooks.com/Detail/Detail?PublicationID=P20140704023</v>
      </c>
      <c r="K4533" s="13" t="str">
        <f>HYPERLINK("https://ntsu.idm.oclc.org/login?url=https://www.airitibooks.com/Detail/Detail?PublicationID=P20140704023", "https://ntsu.idm.oclc.org/login?url=https://www.airitibooks.com/Detail/Detail?PublicationID=P20140704023")</f>
        <v>https://ntsu.idm.oclc.org/login?url=https://www.airitibooks.com/Detail/Detail?PublicationID=P20140704023</v>
      </c>
    </row>
    <row r="4534" spans="1:11" ht="51" x14ac:dyDescent="0.4">
      <c r="A4534" s="10" t="s">
        <v>3450</v>
      </c>
      <c r="B4534" s="10" t="s">
        <v>3451</v>
      </c>
      <c r="C4534" s="10" t="s">
        <v>3426</v>
      </c>
      <c r="D4534" s="10" t="s">
        <v>3452</v>
      </c>
      <c r="E4534" s="10" t="s">
        <v>70</v>
      </c>
      <c r="F4534" s="10" t="s">
        <v>3453</v>
      </c>
      <c r="G4534" s="10" t="s">
        <v>502</v>
      </c>
      <c r="H4534" s="7" t="s">
        <v>24</v>
      </c>
      <c r="I4534" s="7" t="s">
        <v>25</v>
      </c>
      <c r="J4534" s="13" t="str">
        <f>HYPERLINK("https://www.airitibooks.com/Detail/Detail?PublicationID=P20150918068", "https://www.airitibooks.com/Detail/Detail?PublicationID=P20150918068")</f>
        <v>https://www.airitibooks.com/Detail/Detail?PublicationID=P20150918068</v>
      </c>
      <c r="K4534" s="13" t="str">
        <f>HYPERLINK("https://ntsu.idm.oclc.org/login?url=https://www.airitibooks.com/Detail/Detail?PublicationID=P20150918068", "https://ntsu.idm.oclc.org/login?url=https://www.airitibooks.com/Detail/Detail?PublicationID=P20150918068")</f>
        <v>https://ntsu.idm.oclc.org/login?url=https://www.airitibooks.com/Detail/Detail?PublicationID=P20150918068</v>
      </c>
    </row>
    <row r="4535" spans="1:11" ht="51" x14ac:dyDescent="0.4">
      <c r="A4535" s="10" t="s">
        <v>949</v>
      </c>
      <c r="B4535" s="10" t="s">
        <v>1473</v>
      </c>
      <c r="C4535" s="10" t="s">
        <v>938</v>
      </c>
      <c r="D4535" s="10" t="s">
        <v>951</v>
      </c>
      <c r="E4535" s="10" t="s">
        <v>70</v>
      </c>
      <c r="F4535" s="10" t="s">
        <v>940</v>
      </c>
      <c r="G4535" s="10" t="s">
        <v>37</v>
      </c>
      <c r="H4535" s="7" t="s">
        <v>24</v>
      </c>
      <c r="I4535" s="7" t="s">
        <v>25</v>
      </c>
      <c r="J4535" s="13" t="str">
        <f>HYPERLINK("https://www.airitibooks.com/Detail/Detail?PublicationID=P20140919088", "https://www.airitibooks.com/Detail/Detail?PublicationID=P20140919088")</f>
        <v>https://www.airitibooks.com/Detail/Detail?PublicationID=P20140919088</v>
      </c>
      <c r="K4535" s="13" t="str">
        <f>HYPERLINK("https://ntsu.idm.oclc.org/login?url=https://www.airitibooks.com/Detail/Detail?PublicationID=P20140919088", "https://ntsu.idm.oclc.org/login?url=https://www.airitibooks.com/Detail/Detail?PublicationID=P20140919088")</f>
        <v>https://ntsu.idm.oclc.org/login?url=https://www.airitibooks.com/Detail/Detail?PublicationID=P20140919088</v>
      </c>
    </row>
    <row r="4536" spans="1:11" ht="51" x14ac:dyDescent="0.4">
      <c r="A4536" s="10" t="s">
        <v>1602</v>
      </c>
      <c r="B4536" s="10" t="s">
        <v>1603</v>
      </c>
      <c r="C4536" s="10" t="s">
        <v>297</v>
      </c>
      <c r="D4536" s="10" t="s">
        <v>1604</v>
      </c>
      <c r="E4536" s="10" t="s">
        <v>70</v>
      </c>
      <c r="F4536" s="10" t="s">
        <v>1605</v>
      </c>
      <c r="G4536" s="10" t="s">
        <v>37</v>
      </c>
      <c r="H4536" s="7" t="s">
        <v>24</v>
      </c>
      <c r="I4536" s="7" t="s">
        <v>25</v>
      </c>
      <c r="J4536" s="13" t="str">
        <f>HYPERLINK("https://www.airitibooks.com/Detail/Detail?PublicationID=P20141027184", "https://www.airitibooks.com/Detail/Detail?PublicationID=P20141027184")</f>
        <v>https://www.airitibooks.com/Detail/Detail?PublicationID=P20141027184</v>
      </c>
      <c r="K4536" s="13" t="str">
        <f>HYPERLINK("https://ntsu.idm.oclc.org/login?url=https://www.airitibooks.com/Detail/Detail?PublicationID=P20141027184", "https://ntsu.idm.oclc.org/login?url=https://www.airitibooks.com/Detail/Detail?PublicationID=P20141027184")</f>
        <v>https://ntsu.idm.oclc.org/login?url=https://www.airitibooks.com/Detail/Detail?PublicationID=P20141027184</v>
      </c>
    </row>
    <row r="4537" spans="1:11" ht="51" x14ac:dyDescent="0.4">
      <c r="A4537" s="10" t="s">
        <v>1615</v>
      </c>
      <c r="B4537" s="10" t="s">
        <v>1616</v>
      </c>
      <c r="C4537" s="10" t="s">
        <v>1203</v>
      </c>
      <c r="D4537" s="10" t="s">
        <v>1617</v>
      </c>
      <c r="E4537" s="10" t="s">
        <v>70</v>
      </c>
      <c r="F4537" s="10" t="s">
        <v>1618</v>
      </c>
      <c r="G4537" s="10" t="s">
        <v>37</v>
      </c>
      <c r="H4537" s="7" t="s">
        <v>24</v>
      </c>
      <c r="I4537" s="7" t="s">
        <v>25</v>
      </c>
      <c r="J4537" s="13" t="str">
        <f>HYPERLINK("https://www.airitibooks.com/Detail/Detail?PublicationID=P20141027192", "https://www.airitibooks.com/Detail/Detail?PublicationID=P20141027192")</f>
        <v>https://www.airitibooks.com/Detail/Detail?PublicationID=P20141027192</v>
      </c>
      <c r="K4537" s="13" t="str">
        <f>HYPERLINK("https://ntsu.idm.oclc.org/login?url=https://www.airitibooks.com/Detail/Detail?PublicationID=P20141027192", "https://ntsu.idm.oclc.org/login?url=https://www.airitibooks.com/Detail/Detail?PublicationID=P20141027192")</f>
        <v>https://ntsu.idm.oclc.org/login?url=https://www.airitibooks.com/Detail/Detail?PublicationID=P20141027192</v>
      </c>
    </row>
    <row r="4538" spans="1:11" ht="51" x14ac:dyDescent="0.4">
      <c r="A4538" s="10" t="s">
        <v>1665</v>
      </c>
      <c r="B4538" s="10" t="s">
        <v>1666</v>
      </c>
      <c r="C4538" s="10" t="s">
        <v>1667</v>
      </c>
      <c r="D4538" s="10" t="s">
        <v>1668</v>
      </c>
      <c r="E4538" s="10" t="s">
        <v>70</v>
      </c>
      <c r="F4538" s="10" t="s">
        <v>1669</v>
      </c>
      <c r="G4538" s="10" t="s">
        <v>37</v>
      </c>
      <c r="H4538" s="7" t="s">
        <v>24</v>
      </c>
      <c r="I4538" s="7" t="s">
        <v>25</v>
      </c>
      <c r="J4538" s="13" t="str">
        <f>HYPERLINK("https://www.airitibooks.com/Detail/Detail?PublicationID=P20141111030", "https://www.airitibooks.com/Detail/Detail?PublicationID=P20141111030")</f>
        <v>https://www.airitibooks.com/Detail/Detail?PublicationID=P20141111030</v>
      </c>
      <c r="K4538" s="13" t="str">
        <f>HYPERLINK("https://ntsu.idm.oclc.org/login?url=https://www.airitibooks.com/Detail/Detail?PublicationID=P20141111030", "https://ntsu.idm.oclc.org/login?url=https://www.airitibooks.com/Detail/Detail?PublicationID=P20141111030")</f>
        <v>https://ntsu.idm.oclc.org/login?url=https://www.airitibooks.com/Detail/Detail?PublicationID=P20141111030</v>
      </c>
    </row>
    <row r="4539" spans="1:11" ht="51" x14ac:dyDescent="0.4">
      <c r="A4539" s="10" t="s">
        <v>1670</v>
      </c>
      <c r="B4539" s="10" t="s">
        <v>1671</v>
      </c>
      <c r="C4539" s="10" t="s">
        <v>1667</v>
      </c>
      <c r="D4539" s="10" t="s">
        <v>1672</v>
      </c>
      <c r="E4539" s="10" t="s">
        <v>70</v>
      </c>
      <c r="F4539" s="10" t="s">
        <v>1669</v>
      </c>
      <c r="G4539" s="10" t="s">
        <v>37</v>
      </c>
      <c r="H4539" s="7" t="s">
        <v>24</v>
      </c>
      <c r="I4539" s="7" t="s">
        <v>25</v>
      </c>
      <c r="J4539" s="13" t="str">
        <f>HYPERLINK("https://www.airitibooks.com/Detail/Detail?PublicationID=P20141111033", "https://www.airitibooks.com/Detail/Detail?PublicationID=P20141111033")</f>
        <v>https://www.airitibooks.com/Detail/Detail?PublicationID=P20141111033</v>
      </c>
      <c r="K4539" s="13" t="str">
        <f>HYPERLINK("https://ntsu.idm.oclc.org/login?url=https://www.airitibooks.com/Detail/Detail?PublicationID=P20141111033", "https://ntsu.idm.oclc.org/login?url=https://www.airitibooks.com/Detail/Detail?PublicationID=P20141111033")</f>
        <v>https://ntsu.idm.oclc.org/login?url=https://www.airitibooks.com/Detail/Detail?PublicationID=P20141111033</v>
      </c>
    </row>
    <row r="4540" spans="1:11" ht="68" x14ac:dyDescent="0.4">
      <c r="A4540" s="10" t="s">
        <v>1673</v>
      </c>
      <c r="B4540" s="10" t="s">
        <v>1674</v>
      </c>
      <c r="C4540" s="10" t="s">
        <v>1667</v>
      </c>
      <c r="D4540" s="10" t="s">
        <v>1675</v>
      </c>
      <c r="E4540" s="10" t="s">
        <v>70</v>
      </c>
      <c r="F4540" s="10" t="s">
        <v>1669</v>
      </c>
      <c r="G4540" s="10" t="s">
        <v>37</v>
      </c>
      <c r="H4540" s="7" t="s">
        <v>24</v>
      </c>
      <c r="I4540" s="7" t="s">
        <v>25</v>
      </c>
      <c r="J4540" s="13" t="str">
        <f>HYPERLINK("https://www.airitibooks.com/Detail/Detail?PublicationID=P20141111034", "https://www.airitibooks.com/Detail/Detail?PublicationID=P20141111034")</f>
        <v>https://www.airitibooks.com/Detail/Detail?PublicationID=P20141111034</v>
      </c>
      <c r="K4540" s="13" t="str">
        <f>HYPERLINK("https://ntsu.idm.oclc.org/login?url=https://www.airitibooks.com/Detail/Detail?PublicationID=P20141111034", "https://ntsu.idm.oclc.org/login?url=https://www.airitibooks.com/Detail/Detail?PublicationID=P20141111034")</f>
        <v>https://ntsu.idm.oclc.org/login?url=https://www.airitibooks.com/Detail/Detail?PublicationID=P20141111034</v>
      </c>
    </row>
    <row r="4541" spans="1:11" ht="68" x14ac:dyDescent="0.4">
      <c r="A4541" s="10" t="s">
        <v>1740</v>
      </c>
      <c r="B4541" s="10" t="s">
        <v>1741</v>
      </c>
      <c r="C4541" s="10" t="s">
        <v>510</v>
      </c>
      <c r="D4541" s="10" t="s">
        <v>1742</v>
      </c>
      <c r="E4541" s="10" t="s">
        <v>70</v>
      </c>
      <c r="F4541" s="10" t="s">
        <v>1743</v>
      </c>
      <c r="G4541" s="10" t="s">
        <v>37</v>
      </c>
      <c r="H4541" s="7" t="s">
        <v>24</v>
      </c>
      <c r="I4541" s="7" t="s">
        <v>25</v>
      </c>
      <c r="J4541" s="13" t="str">
        <f>HYPERLINK("https://www.airitibooks.com/Detail/Detail?PublicationID=P20141208217", "https://www.airitibooks.com/Detail/Detail?PublicationID=P20141208217")</f>
        <v>https://www.airitibooks.com/Detail/Detail?PublicationID=P20141208217</v>
      </c>
      <c r="K4541" s="13" t="str">
        <f>HYPERLINK("https://ntsu.idm.oclc.org/login?url=https://www.airitibooks.com/Detail/Detail?PublicationID=P20141208217", "https://ntsu.idm.oclc.org/login?url=https://www.airitibooks.com/Detail/Detail?PublicationID=P20141208217")</f>
        <v>https://ntsu.idm.oclc.org/login?url=https://www.airitibooks.com/Detail/Detail?PublicationID=P20141208217</v>
      </c>
    </row>
    <row r="4542" spans="1:11" ht="51" x14ac:dyDescent="0.4">
      <c r="A4542" s="10" t="s">
        <v>1744</v>
      </c>
      <c r="B4542" s="10" t="s">
        <v>1745</v>
      </c>
      <c r="C4542" s="10" t="s">
        <v>510</v>
      </c>
      <c r="D4542" s="10" t="s">
        <v>1746</v>
      </c>
      <c r="E4542" s="10" t="s">
        <v>70</v>
      </c>
      <c r="F4542" s="10" t="s">
        <v>1669</v>
      </c>
      <c r="G4542" s="10" t="s">
        <v>37</v>
      </c>
      <c r="H4542" s="7" t="s">
        <v>24</v>
      </c>
      <c r="I4542" s="7" t="s">
        <v>25</v>
      </c>
      <c r="J4542" s="13" t="str">
        <f>HYPERLINK("https://www.airitibooks.com/Detail/Detail?PublicationID=P20141208219", "https://www.airitibooks.com/Detail/Detail?PublicationID=P20141208219")</f>
        <v>https://www.airitibooks.com/Detail/Detail?PublicationID=P20141208219</v>
      </c>
      <c r="K4542" s="13" t="str">
        <f>HYPERLINK("https://ntsu.idm.oclc.org/login?url=https://www.airitibooks.com/Detail/Detail?PublicationID=P20141208219", "https://ntsu.idm.oclc.org/login?url=https://www.airitibooks.com/Detail/Detail?PublicationID=P20141208219")</f>
        <v>https://ntsu.idm.oclc.org/login?url=https://www.airitibooks.com/Detail/Detail?PublicationID=P20141208219</v>
      </c>
    </row>
    <row r="4543" spans="1:11" ht="68" x14ac:dyDescent="0.4">
      <c r="A4543" s="10" t="s">
        <v>1802</v>
      </c>
      <c r="B4543" s="10" t="s">
        <v>1803</v>
      </c>
      <c r="C4543" s="10" t="s">
        <v>568</v>
      </c>
      <c r="D4543" s="10" t="s">
        <v>1804</v>
      </c>
      <c r="E4543" s="10" t="s">
        <v>70</v>
      </c>
      <c r="F4543" s="10" t="s">
        <v>1805</v>
      </c>
      <c r="G4543" s="10" t="s">
        <v>37</v>
      </c>
      <c r="H4543" s="7" t="s">
        <v>24</v>
      </c>
      <c r="I4543" s="7" t="s">
        <v>25</v>
      </c>
      <c r="J4543" s="13" t="str">
        <f>HYPERLINK("https://www.airitibooks.com/Detail/Detail?PublicationID=P201501152155", "https://www.airitibooks.com/Detail/Detail?PublicationID=P201501152155")</f>
        <v>https://www.airitibooks.com/Detail/Detail?PublicationID=P201501152155</v>
      </c>
      <c r="K4543" s="13" t="str">
        <f>HYPERLINK("https://ntsu.idm.oclc.org/login?url=https://www.airitibooks.com/Detail/Detail?PublicationID=P201501152155", "https://ntsu.idm.oclc.org/login?url=https://www.airitibooks.com/Detail/Detail?PublicationID=P201501152155")</f>
        <v>https://ntsu.idm.oclc.org/login?url=https://www.airitibooks.com/Detail/Detail?PublicationID=P201501152155</v>
      </c>
    </row>
    <row r="4544" spans="1:11" ht="51" x14ac:dyDescent="0.4">
      <c r="A4544" s="10" t="s">
        <v>1977</v>
      </c>
      <c r="B4544" s="10" t="s">
        <v>1978</v>
      </c>
      <c r="C4544" s="10" t="s">
        <v>1966</v>
      </c>
      <c r="D4544" s="10" t="s">
        <v>1967</v>
      </c>
      <c r="E4544" s="10" t="s">
        <v>70</v>
      </c>
      <c r="F4544" s="10" t="s">
        <v>1979</v>
      </c>
      <c r="G4544" s="10" t="s">
        <v>37</v>
      </c>
      <c r="H4544" s="7" t="s">
        <v>24</v>
      </c>
      <c r="I4544" s="7" t="s">
        <v>25</v>
      </c>
      <c r="J4544" s="13" t="str">
        <f>HYPERLINK("https://www.airitibooks.com/Detail/Detail?PublicationID=P20150206046", "https://www.airitibooks.com/Detail/Detail?PublicationID=P20150206046")</f>
        <v>https://www.airitibooks.com/Detail/Detail?PublicationID=P20150206046</v>
      </c>
      <c r="K4544" s="13" t="str">
        <f>HYPERLINK("https://ntsu.idm.oclc.org/login?url=https://www.airitibooks.com/Detail/Detail?PublicationID=P20150206046", "https://ntsu.idm.oclc.org/login?url=https://www.airitibooks.com/Detail/Detail?PublicationID=P20150206046")</f>
        <v>https://ntsu.idm.oclc.org/login?url=https://www.airitibooks.com/Detail/Detail?PublicationID=P20150206046</v>
      </c>
    </row>
    <row r="4545" spans="1:11" ht="51" x14ac:dyDescent="0.4">
      <c r="A4545" s="10" t="s">
        <v>2138</v>
      </c>
      <c r="B4545" s="10" t="s">
        <v>2139</v>
      </c>
      <c r="C4545" s="10" t="s">
        <v>938</v>
      </c>
      <c r="D4545" s="10" t="s">
        <v>951</v>
      </c>
      <c r="E4545" s="10" t="s">
        <v>70</v>
      </c>
      <c r="F4545" s="10" t="s">
        <v>940</v>
      </c>
      <c r="G4545" s="10" t="s">
        <v>37</v>
      </c>
      <c r="H4545" s="7" t="s">
        <v>24</v>
      </c>
      <c r="I4545" s="7" t="s">
        <v>25</v>
      </c>
      <c r="J4545" s="13" t="str">
        <f>HYPERLINK("https://www.airitibooks.com/Detail/Detail?PublicationID=P20150310029", "https://www.airitibooks.com/Detail/Detail?PublicationID=P20150310029")</f>
        <v>https://www.airitibooks.com/Detail/Detail?PublicationID=P20150310029</v>
      </c>
      <c r="K4545" s="13" t="str">
        <f>HYPERLINK("https://ntsu.idm.oclc.org/login?url=https://www.airitibooks.com/Detail/Detail?PublicationID=P20150310029", "https://ntsu.idm.oclc.org/login?url=https://www.airitibooks.com/Detail/Detail?PublicationID=P20150310029")</f>
        <v>https://ntsu.idm.oclc.org/login?url=https://www.airitibooks.com/Detail/Detail?PublicationID=P20150310029</v>
      </c>
    </row>
    <row r="4546" spans="1:11" ht="170" x14ac:dyDescent="0.4">
      <c r="A4546" s="10" t="s">
        <v>2738</v>
      </c>
      <c r="B4546" s="10" t="s">
        <v>2739</v>
      </c>
      <c r="C4546" s="10" t="s">
        <v>2731</v>
      </c>
      <c r="D4546" s="10" t="s">
        <v>2740</v>
      </c>
      <c r="E4546" s="10" t="s">
        <v>70</v>
      </c>
      <c r="F4546" s="10" t="s">
        <v>2741</v>
      </c>
      <c r="G4546" s="10" t="s">
        <v>37</v>
      </c>
      <c r="H4546" s="7" t="s">
        <v>24</v>
      </c>
      <c r="I4546" s="7" t="s">
        <v>25</v>
      </c>
      <c r="J4546" s="13" t="str">
        <f>HYPERLINK("https://www.airitibooks.com/Detail/Detail?PublicationID=P20150624137", "https://www.airitibooks.com/Detail/Detail?PublicationID=P20150624137")</f>
        <v>https://www.airitibooks.com/Detail/Detail?PublicationID=P20150624137</v>
      </c>
      <c r="K4546" s="13" t="str">
        <f>HYPERLINK("https://ntsu.idm.oclc.org/login?url=https://www.airitibooks.com/Detail/Detail?PublicationID=P20150624137", "https://ntsu.idm.oclc.org/login?url=https://www.airitibooks.com/Detail/Detail?PublicationID=P20150624137")</f>
        <v>https://ntsu.idm.oclc.org/login?url=https://www.airitibooks.com/Detail/Detail?PublicationID=P20150624137</v>
      </c>
    </row>
    <row r="4547" spans="1:11" ht="85" x14ac:dyDescent="0.4">
      <c r="A4547" s="10" t="s">
        <v>3468</v>
      </c>
      <c r="B4547" s="10" t="s">
        <v>3469</v>
      </c>
      <c r="C4547" s="10" t="s">
        <v>3426</v>
      </c>
      <c r="D4547" s="10" t="s">
        <v>3427</v>
      </c>
      <c r="E4547" s="10" t="s">
        <v>70</v>
      </c>
      <c r="F4547" s="10" t="s">
        <v>3470</v>
      </c>
      <c r="G4547" s="10" t="s">
        <v>37</v>
      </c>
      <c r="H4547" s="7" t="s">
        <v>24</v>
      </c>
      <c r="I4547" s="7" t="s">
        <v>25</v>
      </c>
      <c r="J4547" s="13" t="str">
        <f>HYPERLINK("https://www.airitibooks.com/Detail/Detail?PublicationID=P20150918074", "https://www.airitibooks.com/Detail/Detail?PublicationID=P20150918074")</f>
        <v>https://www.airitibooks.com/Detail/Detail?PublicationID=P20150918074</v>
      </c>
      <c r="K4547" s="13" t="str">
        <f>HYPERLINK("https://ntsu.idm.oclc.org/login?url=https://www.airitibooks.com/Detail/Detail?PublicationID=P20150918074", "https://ntsu.idm.oclc.org/login?url=https://www.airitibooks.com/Detail/Detail?PublicationID=P20150918074")</f>
        <v>https://ntsu.idm.oclc.org/login?url=https://www.airitibooks.com/Detail/Detail?PublicationID=P20150918074</v>
      </c>
    </row>
    <row r="4548" spans="1:11" ht="102" x14ac:dyDescent="0.4">
      <c r="A4548" s="10" t="s">
        <v>3712</v>
      </c>
      <c r="B4548" s="10" t="s">
        <v>3713</v>
      </c>
      <c r="C4548" s="10" t="s">
        <v>3705</v>
      </c>
      <c r="D4548" s="10" t="s">
        <v>3714</v>
      </c>
      <c r="E4548" s="10" t="s">
        <v>70</v>
      </c>
      <c r="F4548" s="10" t="s">
        <v>3715</v>
      </c>
      <c r="G4548" s="10" t="s">
        <v>37</v>
      </c>
      <c r="H4548" s="7" t="s">
        <v>24</v>
      </c>
      <c r="I4548" s="7" t="s">
        <v>25</v>
      </c>
      <c r="J4548" s="13" t="str">
        <f>HYPERLINK("https://www.airitibooks.com/Detail/Detail?PublicationID=P20151013040", "https://www.airitibooks.com/Detail/Detail?PublicationID=P20151013040")</f>
        <v>https://www.airitibooks.com/Detail/Detail?PublicationID=P20151013040</v>
      </c>
      <c r="K4548" s="13" t="str">
        <f>HYPERLINK("https://ntsu.idm.oclc.org/login?url=https://www.airitibooks.com/Detail/Detail?PublicationID=P20151013040", "https://ntsu.idm.oclc.org/login?url=https://www.airitibooks.com/Detail/Detail?PublicationID=P20151013040")</f>
        <v>https://ntsu.idm.oclc.org/login?url=https://www.airitibooks.com/Detail/Detail?PublicationID=P20151013040</v>
      </c>
    </row>
    <row r="4549" spans="1:11" ht="51" x14ac:dyDescent="0.4">
      <c r="A4549" s="10" t="s">
        <v>5041</v>
      </c>
      <c r="B4549" s="10" t="s">
        <v>5042</v>
      </c>
      <c r="C4549" s="10" t="s">
        <v>5043</v>
      </c>
      <c r="D4549" s="10" t="s">
        <v>5044</v>
      </c>
      <c r="E4549" s="10" t="s">
        <v>70</v>
      </c>
      <c r="F4549" s="10" t="s">
        <v>5045</v>
      </c>
      <c r="G4549" s="10" t="s">
        <v>37</v>
      </c>
      <c r="H4549" s="7" t="s">
        <v>24</v>
      </c>
      <c r="I4549" s="7" t="s">
        <v>25</v>
      </c>
      <c r="J4549" s="13" t="str">
        <f>HYPERLINK("https://www.airitibooks.com/Detail/Detail?PublicationID=P20160801179", "https://www.airitibooks.com/Detail/Detail?PublicationID=P20160801179")</f>
        <v>https://www.airitibooks.com/Detail/Detail?PublicationID=P20160801179</v>
      </c>
      <c r="K4549" s="13" t="str">
        <f>HYPERLINK("https://ntsu.idm.oclc.org/login?url=https://www.airitibooks.com/Detail/Detail?PublicationID=P20160801179", "https://ntsu.idm.oclc.org/login?url=https://www.airitibooks.com/Detail/Detail?PublicationID=P20160801179")</f>
        <v>https://ntsu.idm.oclc.org/login?url=https://www.airitibooks.com/Detail/Detail?PublicationID=P20160801179</v>
      </c>
    </row>
    <row r="4550" spans="1:11" ht="51" x14ac:dyDescent="0.4">
      <c r="A4550" s="10" t="s">
        <v>5046</v>
      </c>
      <c r="B4550" s="10" t="s">
        <v>5047</v>
      </c>
      <c r="C4550" s="10" t="s">
        <v>5043</v>
      </c>
      <c r="D4550" s="10" t="s">
        <v>5044</v>
      </c>
      <c r="E4550" s="10" t="s">
        <v>70</v>
      </c>
      <c r="F4550" s="10" t="s">
        <v>5045</v>
      </c>
      <c r="G4550" s="10" t="s">
        <v>37</v>
      </c>
      <c r="H4550" s="7" t="s">
        <v>24</v>
      </c>
      <c r="I4550" s="7" t="s">
        <v>25</v>
      </c>
      <c r="J4550" s="13" t="str">
        <f>HYPERLINK("https://www.airitibooks.com/Detail/Detail?PublicationID=P20160801180", "https://www.airitibooks.com/Detail/Detail?PublicationID=P20160801180")</f>
        <v>https://www.airitibooks.com/Detail/Detail?PublicationID=P20160801180</v>
      </c>
      <c r="K4550" s="13" t="str">
        <f>HYPERLINK("https://ntsu.idm.oclc.org/login?url=https://www.airitibooks.com/Detail/Detail?PublicationID=P20160801180", "https://ntsu.idm.oclc.org/login?url=https://www.airitibooks.com/Detail/Detail?PublicationID=P20160801180")</f>
        <v>https://ntsu.idm.oclc.org/login?url=https://www.airitibooks.com/Detail/Detail?PublicationID=P20160801180</v>
      </c>
    </row>
    <row r="4551" spans="1:11" ht="51" x14ac:dyDescent="0.4">
      <c r="A4551" s="10" t="s">
        <v>6447</v>
      </c>
      <c r="B4551" s="10" t="s">
        <v>6448</v>
      </c>
      <c r="C4551" s="10" t="s">
        <v>510</v>
      </c>
      <c r="D4551" s="10" t="s">
        <v>6449</v>
      </c>
      <c r="E4551" s="10" t="s">
        <v>70</v>
      </c>
      <c r="F4551" s="10" t="s">
        <v>6450</v>
      </c>
      <c r="G4551" s="10" t="s">
        <v>37</v>
      </c>
      <c r="H4551" s="7" t="s">
        <v>24</v>
      </c>
      <c r="I4551" s="7" t="s">
        <v>25</v>
      </c>
      <c r="J4551" s="13" t="str">
        <f>HYPERLINK("https://www.airitibooks.com/Detail/Detail?PublicationID=P20170502007", "https://www.airitibooks.com/Detail/Detail?PublicationID=P20170502007")</f>
        <v>https://www.airitibooks.com/Detail/Detail?PublicationID=P20170502007</v>
      </c>
      <c r="K4551" s="13" t="str">
        <f>HYPERLINK("https://ntsu.idm.oclc.org/login?url=https://www.airitibooks.com/Detail/Detail?PublicationID=P20170502007", "https://ntsu.idm.oclc.org/login?url=https://www.airitibooks.com/Detail/Detail?PublicationID=P20170502007")</f>
        <v>https://ntsu.idm.oclc.org/login?url=https://www.airitibooks.com/Detail/Detail?PublicationID=P20170502007</v>
      </c>
    </row>
    <row r="4552" spans="1:11" ht="51" x14ac:dyDescent="0.4">
      <c r="A4552" s="10" t="s">
        <v>6454</v>
      </c>
      <c r="B4552" s="10" t="s">
        <v>6455</v>
      </c>
      <c r="C4552" s="10" t="s">
        <v>510</v>
      </c>
      <c r="D4552" s="10" t="s">
        <v>6456</v>
      </c>
      <c r="E4552" s="10" t="s">
        <v>70</v>
      </c>
      <c r="F4552" s="10" t="s">
        <v>6457</v>
      </c>
      <c r="G4552" s="10" t="s">
        <v>37</v>
      </c>
      <c r="H4552" s="7" t="s">
        <v>24</v>
      </c>
      <c r="I4552" s="7" t="s">
        <v>25</v>
      </c>
      <c r="J4552" s="13" t="str">
        <f>HYPERLINK("https://www.airitibooks.com/Detail/Detail?PublicationID=P20170502010", "https://www.airitibooks.com/Detail/Detail?PublicationID=P20170502010")</f>
        <v>https://www.airitibooks.com/Detail/Detail?PublicationID=P20170502010</v>
      </c>
      <c r="K4552" s="13" t="str">
        <f>HYPERLINK("https://ntsu.idm.oclc.org/login?url=https://www.airitibooks.com/Detail/Detail?PublicationID=P20170502010", "https://ntsu.idm.oclc.org/login?url=https://www.airitibooks.com/Detail/Detail?PublicationID=P20170502010")</f>
        <v>https://ntsu.idm.oclc.org/login?url=https://www.airitibooks.com/Detail/Detail?PublicationID=P20170502010</v>
      </c>
    </row>
    <row r="4553" spans="1:11" ht="51" x14ac:dyDescent="0.4">
      <c r="A4553" s="10" t="s">
        <v>9451</v>
      </c>
      <c r="B4553" s="10" t="s">
        <v>9452</v>
      </c>
      <c r="C4553" s="10" t="s">
        <v>4120</v>
      </c>
      <c r="D4553" s="10" t="s">
        <v>9453</v>
      </c>
      <c r="E4553" s="10" t="s">
        <v>70</v>
      </c>
      <c r="F4553" s="10" t="s">
        <v>9454</v>
      </c>
      <c r="G4553" s="10" t="s">
        <v>37</v>
      </c>
      <c r="H4553" s="7" t="s">
        <v>24</v>
      </c>
      <c r="I4553" s="7" t="s">
        <v>25</v>
      </c>
      <c r="J4553" s="13" t="str">
        <f>HYPERLINK("https://www.airitibooks.com/Detail/Detail?PublicationID=P20180620018", "https://www.airitibooks.com/Detail/Detail?PublicationID=P20180620018")</f>
        <v>https://www.airitibooks.com/Detail/Detail?PublicationID=P20180620018</v>
      </c>
      <c r="K4553" s="13" t="str">
        <f>HYPERLINK("https://ntsu.idm.oclc.org/login?url=https://www.airitibooks.com/Detail/Detail?PublicationID=P20180620018", "https://ntsu.idm.oclc.org/login?url=https://www.airitibooks.com/Detail/Detail?PublicationID=P20180620018")</f>
        <v>https://ntsu.idm.oclc.org/login?url=https://www.airitibooks.com/Detail/Detail?PublicationID=P20180620018</v>
      </c>
    </row>
    <row r="4554" spans="1:11" ht="51" x14ac:dyDescent="0.4">
      <c r="A4554" s="10" t="s">
        <v>636</v>
      </c>
      <c r="B4554" s="10" t="s">
        <v>637</v>
      </c>
      <c r="C4554" s="10" t="s">
        <v>448</v>
      </c>
      <c r="D4554" s="10" t="s">
        <v>638</v>
      </c>
      <c r="E4554" s="10" t="s">
        <v>64</v>
      </c>
      <c r="F4554" s="10" t="s">
        <v>639</v>
      </c>
      <c r="G4554" s="10" t="s">
        <v>237</v>
      </c>
      <c r="H4554" s="7" t="s">
        <v>24</v>
      </c>
      <c r="I4554" s="7" t="s">
        <v>25</v>
      </c>
      <c r="J4554" s="13" t="str">
        <f>HYPERLINK("https://www.airitibooks.com/Detail/Detail?PublicationID=P20130523020", "https://www.airitibooks.com/Detail/Detail?PublicationID=P20130523020")</f>
        <v>https://www.airitibooks.com/Detail/Detail?PublicationID=P20130523020</v>
      </c>
      <c r="K4554" s="13" t="str">
        <f>HYPERLINK("https://ntsu.idm.oclc.org/login?url=https://www.airitibooks.com/Detail/Detail?PublicationID=P20130523020", "https://ntsu.idm.oclc.org/login?url=https://www.airitibooks.com/Detail/Detail?PublicationID=P20130523020")</f>
        <v>https://ntsu.idm.oclc.org/login?url=https://www.airitibooks.com/Detail/Detail?PublicationID=P20130523020</v>
      </c>
    </row>
    <row r="4555" spans="1:11" ht="51" x14ac:dyDescent="0.4">
      <c r="A4555" s="10" t="s">
        <v>659</v>
      </c>
      <c r="B4555" s="10" t="s">
        <v>660</v>
      </c>
      <c r="C4555" s="10" t="s">
        <v>661</v>
      </c>
      <c r="D4555" s="10" t="s">
        <v>662</v>
      </c>
      <c r="E4555" s="10" t="s">
        <v>64</v>
      </c>
      <c r="F4555" s="10" t="s">
        <v>663</v>
      </c>
      <c r="G4555" s="10" t="s">
        <v>237</v>
      </c>
      <c r="H4555" s="7" t="s">
        <v>24</v>
      </c>
      <c r="I4555" s="7" t="s">
        <v>25</v>
      </c>
      <c r="J4555" s="13" t="str">
        <f>HYPERLINK("https://www.airitibooks.com/Detail/Detail?PublicationID=P20130618019", "https://www.airitibooks.com/Detail/Detail?PublicationID=P20130618019")</f>
        <v>https://www.airitibooks.com/Detail/Detail?PublicationID=P20130618019</v>
      </c>
      <c r="K4555" s="13" t="str">
        <f>HYPERLINK("https://ntsu.idm.oclc.org/login?url=https://www.airitibooks.com/Detail/Detail?PublicationID=P20130618019", "https://ntsu.idm.oclc.org/login?url=https://www.airitibooks.com/Detail/Detail?PublicationID=P20130618019")</f>
        <v>https://ntsu.idm.oclc.org/login?url=https://www.airitibooks.com/Detail/Detail?PublicationID=P20130618019</v>
      </c>
    </row>
    <row r="4556" spans="1:11" ht="51" x14ac:dyDescent="0.4">
      <c r="A4556" s="10" t="s">
        <v>682</v>
      </c>
      <c r="B4556" s="10" t="s">
        <v>683</v>
      </c>
      <c r="C4556" s="10" t="s">
        <v>409</v>
      </c>
      <c r="D4556" s="10" t="s">
        <v>684</v>
      </c>
      <c r="E4556" s="10" t="s">
        <v>64</v>
      </c>
      <c r="F4556" s="10" t="s">
        <v>685</v>
      </c>
      <c r="G4556" s="10" t="s">
        <v>237</v>
      </c>
      <c r="H4556" s="7" t="s">
        <v>24</v>
      </c>
      <c r="I4556" s="7" t="s">
        <v>25</v>
      </c>
      <c r="J4556" s="13" t="str">
        <f>HYPERLINK("https://www.airitibooks.com/Detail/Detail?PublicationID=P20130711019", "https://www.airitibooks.com/Detail/Detail?PublicationID=P20130711019")</f>
        <v>https://www.airitibooks.com/Detail/Detail?PublicationID=P20130711019</v>
      </c>
      <c r="K4556" s="13" t="str">
        <f>HYPERLINK("https://ntsu.idm.oclc.org/login?url=https://www.airitibooks.com/Detail/Detail?PublicationID=P20130711019", "https://ntsu.idm.oclc.org/login?url=https://www.airitibooks.com/Detail/Detail?PublicationID=P20130711019")</f>
        <v>https://ntsu.idm.oclc.org/login?url=https://www.airitibooks.com/Detail/Detail?PublicationID=P20130711019</v>
      </c>
    </row>
    <row r="4557" spans="1:11" ht="51" x14ac:dyDescent="0.4">
      <c r="A4557" s="10" t="s">
        <v>785</v>
      </c>
      <c r="B4557" s="10" t="s">
        <v>786</v>
      </c>
      <c r="C4557" s="10" t="s">
        <v>222</v>
      </c>
      <c r="D4557" s="10" t="s">
        <v>787</v>
      </c>
      <c r="E4557" s="10" t="s">
        <v>64</v>
      </c>
      <c r="F4557" s="10" t="s">
        <v>788</v>
      </c>
      <c r="G4557" s="10" t="s">
        <v>237</v>
      </c>
      <c r="H4557" s="7" t="s">
        <v>24</v>
      </c>
      <c r="I4557" s="7" t="s">
        <v>25</v>
      </c>
      <c r="J4557" s="13" t="str">
        <f>HYPERLINK("https://www.airitibooks.com/Detail/Detail?PublicationID=P20130830076", "https://www.airitibooks.com/Detail/Detail?PublicationID=P20130830076")</f>
        <v>https://www.airitibooks.com/Detail/Detail?PublicationID=P20130830076</v>
      </c>
      <c r="K4557" s="13" t="str">
        <f>HYPERLINK("https://ntsu.idm.oclc.org/login?url=https://www.airitibooks.com/Detail/Detail?PublicationID=P20130830076", "https://ntsu.idm.oclc.org/login?url=https://www.airitibooks.com/Detail/Detail?PublicationID=P20130830076")</f>
        <v>https://ntsu.idm.oclc.org/login?url=https://www.airitibooks.com/Detail/Detail?PublicationID=P20130830076</v>
      </c>
    </row>
    <row r="4558" spans="1:11" ht="51" x14ac:dyDescent="0.4">
      <c r="A4558" s="10" t="s">
        <v>836</v>
      </c>
      <c r="B4558" s="10" t="s">
        <v>837</v>
      </c>
      <c r="C4558" s="10" t="s">
        <v>838</v>
      </c>
      <c r="D4558" s="10" t="s">
        <v>839</v>
      </c>
      <c r="E4558" s="10" t="s">
        <v>64</v>
      </c>
      <c r="F4558" s="10" t="s">
        <v>840</v>
      </c>
      <c r="G4558" s="10" t="s">
        <v>237</v>
      </c>
      <c r="H4558" s="7" t="s">
        <v>24</v>
      </c>
      <c r="I4558" s="7" t="s">
        <v>25</v>
      </c>
      <c r="J4558" s="13" t="str">
        <f>HYPERLINK("https://www.airitibooks.com/Detail/Detail?PublicationID=P20131009295", "https://www.airitibooks.com/Detail/Detail?PublicationID=P20131009295")</f>
        <v>https://www.airitibooks.com/Detail/Detail?PublicationID=P20131009295</v>
      </c>
      <c r="K4558" s="13" t="str">
        <f>HYPERLINK("https://ntsu.idm.oclc.org/login?url=https://www.airitibooks.com/Detail/Detail?PublicationID=P20131009295", "https://ntsu.idm.oclc.org/login?url=https://www.airitibooks.com/Detail/Detail?PublicationID=P20131009295")</f>
        <v>https://ntsu.idm.oclc.org/login?url=https://www.airitibooks.com/Detail/Detail?PublicationID=P20131009295</v>
      </c>
    </row>
    <row r="4559" spans="1:11" ht="51" x14ac:dyDescent="0.4">
      <c r="A4559" s="10" t="s">
        <v>979</v>
      </c>
      <c r="B4559" s="10" t="s">
        <v>980</v>
      </c>
      <c r="C4559" s="10" t="s">
        <v>981</v>
      </c>
      <c r="D4559" s="10" t="s">
        <v>981</v>
      </c>
      <c r="E4559" s="10" t="s">
        <v>64</v>
      </c>
      <c r="F4559" s="10" t="s">
        <v>982</v>
      </c>
      <c r="G4559" s="10" t="s">
        <v>237</v>
      </c>
      <c r="H4559" s="7" t="s">
        <v>24</v>
      </c>
      <c r="I4559" s="7" t="s">
        <v>25</v>
      </c>
      <c r="J4559" s="13" t="str">
        <f>HYPERLINK("https://www.airitibooks.com/Detail/Detail?PublicationID=P20131029034", "https://www.airitibooks.com/Detail/Detail?PublicationID=P20131029034")</f>
        <v>https://www.airitibooks.com/Detail/Detail?PublicationID=P20131029034</v>
      </c>
      <c r="K4559" s="13" t="str">
        <f>HYPERLINK("https://ntsu.idm.oclc.org/login?url=https://www.airitibooks.com/Detail/Detail?PublicationID=P20131029034", "https://ntsu.idm.oclc.org/login?url=https://www.airitibooks.com/Detail/Detail?PublicationID=P20131029034")</f>
        <v>https://ntsu.idm.oclc.org/login?url=https://www.airitibooks.com/Detail/Detail?PublicationID=P20131029034</v>
      </c>
    </row>
    <row r="4560" spans="1:11" ht="51" x14ac:dyDescent="0.4">
      <c r="A4560" s="10" t="s">
        <v>1136</v>
      </c>
      <c r="B4560" s="10" t="s">
        <v>1137</v>
      </c>
      <c r="C4560" s="10" t="s">
        <v>1138</v>
      </c>
      <c r="D4560" s="10" t="s">
        <v>1139</v>
      </c>
      <c r="E4560" s="10" t="s">
        <v>64</v>
      </c>
      <c r="F4560" s="10" t="s">
        <v>1140</v>
      </c>
      <c r="G4560" s="10" t="s">
        <v>237</v>
      </c>
      <c r="H4560" s="7" t="s">
        <v>24</v>
      </c>
      <c r="I4560" s="7" t="s">
        <v>25</v>
      </c>
      <c r="J4560" s="13" t="str">
        <f>HYPERLINK("https://www.airitibooks.com/Detail/Detail?PublicationID=P20140124008", "https://www.airitibooks.com/Detail/Detail?PublicationID=P20140124008")</f>
        <v>https://www.airitibooks.com/Detail/Detail?PublicationID=P20140124008</v>
      </c>
      <c r="K4560" s="13" t="str">
        <f>HYPERLINK("https://ntsu.idm.oclc.org/login?url=https://www.airitibooks.com/Detail/Detail?PublicationID=P20140124008", "https://ntsu.idm.oclc.org/login?url=https://www.airitibooks.com/Detail/Detail?PublicationID=P20140124008")</f>
        <v>https://ntsu.idm.oclc.org/login?url=https://www.airitibooks.com/Detail/Detail?PublicationID=P20140124008</v>
      </c>
    </row>
    <row r="4561" spans="1:11" ht="51" x14ac:dyDescent="0.4">
      <c r="A4561" s="10" t="s">
        <v>1274</v>
      </c>
      <c r="B4561" s="10" t="s">
        <v>1275</v>
      </c>
      <c r="C4561" s="10" t="s">
        <v>1271</v>
      </c>
      <c r="D4561" s="10" t="s">
        <v>1276</v>
      </c>
      <c r="E4561" s="10" t="s">
        <v>64</v>
      </c>
      <c r="F4561" s="10" t="s">
        <v>1277</v>
      </c>
      <c r="G4561" s="10" t="s">
        <v>237</v>
      </c>
      <c r="H4561" s="7" t="s">
        <v>24</v>
      </c>
      <c r="I4561" s="7" t="s">
        <v>25</v>
      </c>
      <c r="J4561" s="13" t="str">
        <f>HYPERLINK("https://www.airitibooks.com/Detail/Detail?PublicationID=P20140625025", "https://www.airitibooks.com/Detail/Detail?PublicationID=P20140625025")</f>
        <v>https://www.airitibooks.com/Detail/Detail?PublicationID=P20140625025</v>
      </c>
      <c r="K4561" s="13" t="str">
        <f>HYPERLINK("https://ntsu.idm.oclc.org/login?url=https://www.airitibooks.com/Detail/Detail?PublicationID=P20140625025", "https://ntsu.idm.oclc.org/login?url=https://www.airitibooks.com/Detail/Detail?PublicationID=P20140625025")</f>
        <v>https://ntsu.idm.oclc.org/login?url=https://www.airitibooks.com/Detail/Detail?PublicationID=P20140625025</v>
      </c>
    </row>
    <row r="4562" spans="1:11" ht="51" x14ac:dyDescent="0.4">
      <c r="A4562" s="10" t="s">
        <v>1310</v>
      </c>
      <c r="B4562" s="10" t="s">
        <v>1311</v>
      </c>
      <c r="C4562" s="10" t="s">
        <v>1271</v>
      </c>
      <c r="D4562" s="10" t="s">
        <v>1312</v>
      </c>
      <c r="E4562" s="10" t="s">
        <v>64</v>
      </c>
      <c r="F4562" s="10" t="s">
        <v>1313</v>
      </c>
      <c r="G4562" s="10" t="s">
        <v>237</v>
      </c>
      <c r="H4562" s="7" t="s">
        <v>24</v>
      </c>
      <c r="I4562" s="7" t="s">
        <v>25</v>
      </c>
      <c r="J4562" s="13" t="str">
        <f>HYPERLINK("https://www.airitibooks.com/Detail/Detail?PublicationID=P20140801096", "https://www.airitibooks.com/Detail/Detail?PublicationID=P20140801096")</f>
        <v>https://www.airitibooks.com/Detail/Detail?PublicationID=P20140801096</v>
      </c>
      <c r="K4562" s="13" t="str">
        <f>HYPERLINK("https://ntsu.idm.oclc.org/login?url=https://www.airitibooks.com/Detail/Detail?PublicationID=P20140801096", "https://ntsu.idm.oclc.org/login?url=https://www.airitibooks.com/Detail/Detail?PublicationID=P20140801096")</f>
        <v>https://ntsu.idm.oclc.org/login?url=https://www.airitibooks.com/Detail/Detail?PublicationID=P20140801096</v>
      </c>
    </row>
    <row r="4563" spans="1:11" ht="51" x14ac:dyDescent="0.4">
      <c r="A4563" s="10" t="s">
        <v>1561</v>
      </c>
      <c r="B4563" s="10" t="s">
        <v>1562</v>
      </c>
      <c r="C4563" s="10" t="s">
        <v>1563</v>
      </c>
      <c r="D4563" s="10" t="s">
        <v>1564</v>
      </c>
      <c r="E4563" s="10" t="s">
        <v>64</v>
      </c>
      <c r="F4563" s="10" t="s">
        <v>1565</v>
      </c>
      <c r="G4563" s="10" t="s">
        <v>237</v>
      </c>
      <c r="H4563" s="7" t="s">
        <v>24</v>
      </c>
      <c r="I4563" s="7" t="s">
        <v>25</v>
      </c>
      <c r="J4563" s="13" t="str">
        <f>HYPERLINK("https://www.airitibooks.com/Detail/Detail?PublicationID=P20141027154", "https://www.airitibooks.com/Detail/Detail?PublicationID=P20141027154")</f>
        <v>https://www.airitibooks.com/Detail/Detail?PublicationID=P20141027154</v>
      </c>
      <c r="K4563" s="13" t="str">
        <f>HYPERLINK("https://ntsu.idm.oclc.org/login?url=https://www.airitibooks.com/Detail/Detail?PublicationID=P20141027154", "https://ntsu.idm.oclc.org/login?url=https://www.airitibooks.com/Detail/Detail?PublicationID=P20141027154")</f>
        <v>https://ntsu.idm.oclc.org/login?url=https://www.airitibooks.com/Detail/Detail?PublicationID=P20141027154</v>
      </c>
    </row>
    <row r="4564" spans="1:11" ht="51" x14ac:dyDescent="0.4">
      <c r="A4564" s="10" t="s">
        <v>1566</v>
      </c>
      <c r="B4564" s="10" t="s">
        <v>1567</v>
      </c>
      <c r="C4564" s="10" t="s">
        <v>1563</v>
      </c>
      <c r="D4564" s="10" t="s">
        <v>1564</v>
      </c>
      <c r="E4564" s="10" t="s">
        <v>64</v>
      </c>
      <c r="F4564" s="10" t="s">
        <v>1565</v>
      </c>
      <c r="G4564" s="10" t="s">
        <v>237</v>
      </c>
      <c r="H4564" s="7" t="s">
        <v>24</v>
      </c>
      <c r="I4564" s="7" t="s">
        <v>25</v>
      </c>
      <c r="J4564" s="13" t="str">
        <f>HYPERLINK("https://www.airitibooks.com/Detail/Detail?PublicationID=P20141027155", "https://www.airitibooks.com/Detail/Detail?PublicationID=P20141027155")</f>
        <v>https://www.airitibooks.com/Detail/Detail?PublicationID=P20141027155</v>
      </c>
      <c r="K4564" s="13" t="str">
        <f>HYPERLINK("https://ntsu.idm.oclc.org/login?url=https://www.airitibooks.com/Detail/Detail?PublicationID=P20141027155", "https://ntsu.idm.oclc.org/login?url=https://www.airitibooks.com/Detail/Detail?PublicationID=P20141027155")</f>
        <v>https://ntsu.idm.oclc.org/login?url=https://www.airitibooks.com/Detail/Detail?PublicationID=P20141027155</v>
      </c>
    </row>
    <row r="4565" spans="1:11" ht="51" x14ac:dyDescent="0.4">
      <c r="A4565" s="10" t="s">
        <v>1568</v>
      </c>
      <c r="B4565" s="10" t="s">
        <v>1569</v>
      </c>
      <c r="C4565" s="10" t="s">
        <v>1563</v>
      </c>
      <c r="D4565" s="10" t="s">
        <v>1564</v>
      </c>
      <c r="E4565" s="10" t="s">
        <v>64</v>
      </c>
      <c r="F4565" s="10" t="s">
        <v>1565</v>
      </c>
      <c r="G4565" s="10" t="s">
        <v>237</v>
      </c>
      <c r="H4565" s="7" t="s">
        <v>24</v>
      </c>
      <c r="I4565" s="7" t="s">
        <v>25</v>
      </c>
      <c r="J4565" s="13" t="str">
        <f>HYPERLINK("https://www.airitibooks.com/Detail/Detail?PublicationID=P20141027156", "https://www.airitibooks.com/Detail/Detail?PublicationID=P20141027156")</f>
        <v>https://www.airitibooks.com/Detail/Detail?PublicationID=P20141027156</v>
      </c>
      <c r="K4565" s="13" t="str">
        <f>HYPERLINK("https://ntsu.idm.oclc.org/login?url=https://www.airitibooks.com/Detail/Detail?PublicationID=P20141027156", "https://ntsu.idm.oclc.org/login?url=https://www.airitibooks.com/Detail/Detail?PublicationID=P20141027156")</f>
        <v>https://ntsu.idm.oclc.org/login?url=https://www.airitibooks.com/Detail/Detail?PublicationID=P20141027156</v>
      </c>
    </row>
    <row r="4566" spans="1:11" ht="51" x14ac:dyDescent="0.4">
      <c r="A4566" s="10" t="s">
        <v>1570</v>
      </c>
      <c r="B4566" s="10" t="s">
        <v>1571</v>
      </c>
      <c r="C4566" s="10" t="s">
        <v>1563</v>
      </c>
      <c r="D4566" s="10" t="s">
        <v>1564</v>
      </c>
      <c r="E4566" s="10" t="s">
        <v>64</v>
      </c>
      <c r="F4566" s="10" t="s">
        <v>1565</v>
      </c>
      <c r="G4566" s="10" t="s">
        <v>237</v>
      </c>
      <c r="H4566" s="7" t="s">
        <v>24</v>
      </c>
      <c r="I4566" s="7" t="s">
        <v>25</v>
      </c>
      <c r="J4566" s="13" t="str">
        <f>HYPERLINK("https://www.airitibooks.com/Detail/Detail?PublicationID=P20141027157", "https://www.airitibooks.com/Detail/Detail?PublicationID=P20141027157")</f>
        <v>https://www.airitibooks.com/Detail/Detail?PublicationID=P20141027157</v>
      </c>
      <c r="K4566" s="13" t="str">
        <f>HYPERLINK("https://ntsu.idm.oclc.org/login?url=https://www.airitibooks.com/Detail/Detail?PublicationID=P20141027157", "https://ntsu.idm.oclc.org/login?url=https://www.airitibooks.com/Detail/Detail?PublicationID=P20141027157")</f>
        <v>https://ntsu.idm.oclc.org/login?url=https://www.airitibooks.com/Detail/Detail?PublicationID=P20141027157</v>
      </c>
    </row>
    <row r="4567" spans="1:11" ht="51" x14ac:dyDescent="0.4">
      <c r="A4567" s="10" t="s">
        <v>3234</v>
      </c>
      <c r="B4567" s="10" t="s">
        <v>3235</v>
      </c>
      <c r="C4567" s="10" t="s">
        <v>3236</v>
      </c>
      <c r="D4567" s="10" t="s">
        <v>3237</v>
      </c>
      <c r="E4567" s="10" t="s">
        <v>64</v>
      </c>
      <c r="F4567" s="10" t="s">
        <v>840</v>
      </c>
      <c r="G4567" s="10" t="s">
        <v>237</v>
      </c>
      <c r="H4567" s="7" t="s">
        <v>24</v>
      </c>
      <c r="I4567" s="7" t="s">
        <v>25</v>
      </c>
      <c r="J4567" s="13" t="str">
        <f>HYPERLINK("https://www.airitibooks.com/Detail/Detail?PublicationID=P20150820225", "https://www.airitibooks.com/Detail/Detail?PublicationID=P20150820225")</f>
        <v>https://www.airitibooks.com/Detail/Detail?PublicationID=P20150820225</v>
      </c>
      <c r="K4567" s="13" t="str">
        <f>HYPERLINK("https://ntsu.idm.oclc.org/login?url=https://www.airitibooks.com/Detail/Detail?PublicationID=P20150820225", "https://ntsu.idm.oclc.org/login?url=https://www.airitibooks.com/Detail/Detail?PublicationID=P20150820225")</f>
        <v>https://ntsu.idm.oclc.org/login?url=https://www.airitibooks.com/Detail/Detail?PublicationID=P20150820225</v>
      </c>
    </row>
    <row r="4568" spans="1:11" ht="51" x14ac:dyDescent="0.4">
      <c r="A4568" s="10" t="s">
        <v>3393</v>
      </c>
      <c r="B4568" s="10" t="s">
        <v>3394</v>
      </c>
      <c r="C4568" s="10" t="s">
        <v>147</v>
      </c>
      <c r="D4568" s="10" t="s">
        <v>3395</v>
      </c>
      <c r="E4568" s="10" t="s">
        <v>64</v>
      </c>
      <c r="F4568" s="10" t="s">
        <v>3396</v>
      </c>
      <c r="G4568" s="10" t="s">
        <v>237</v>
      </c>
      <c r="H4568" s="7" t="s">
        <v>24</v>
      </c>
      <c r="I4568" s="7" t="s">
        <v>25</v>
      </c>
      <c r="J4568" s="13" t="str">
        <f>HYPERLINK("https://www.airitibooks.com/Detail/Detail?PublicationID=P20150915073", "https://www.airitibooks.com/Detail/Detail?PublicationID=P20150915073")</f>
        <v>https://www.airitibooks.com/Detail/Detail?PublicationID=P20150915073</v>
      </c>
      <c r="K4568" s="13" t="str">
        <f>HYPERLINK("https://ntsu.idm.oclc.org/login?url=https://www.airitibooks.com/Detail/Detail?PublicationID=P20150915073", "https://ntsu.idm.oclc.org/login?url=https://www.airitibooks.com/Detail/Detail?PublicationID=P20150915073")</f>
        <v>https://ntsu.idm.oclc.org/login?url=https://www.airitibooks.com/Detail/Detail?PublicationID=P20150915073</v>
      </c>
    </row>
    <row r="4569" spans="1:11" ht="51" x14ac:dyDescent="0.4">
      <c r="A4569" s="10" t="s">
        <v>5053</v>
      </c>
      <c r="B4569" s="10" t="s">
        <v>5054</v>
      </c>
      <c r="C4569" s="10" t="s">
        <v>5043</v>
      </c>
      <c r="D4569" s="10" t="s">
        <v>5055</v>
      </c>
      <c r="E4569" s="10" t="s">
        <v>64</v>
      </c>
      <c r="F4569" s="10" t="s">
        <v>483</v>
      </c>
      <c r="G4569" s="10" t="s">
        <v>237</v>
      </c>
      <c r="H4569" s="7" t="s">
        <v>24</v>
      </c>
      <c r="I4569" s="7" t="s">
        <v>25</v>
      </c>
      <c r="J4569" s="13" t="str">
        <f>HYPERLINK("https://www.airitibooks.com/Detail/Detail?PublicationID=P20160801204", "https://www.airitibooks.com/Detail/Detail?PublicationID=P20160801204")</f>
        <v>https://www.airitibooks.com/Detail/Detail?PublicationID=P20160801204</v>
      </c>
      <c r="K4569" s="13" t="str">
        <f>HYPERLINK("https://ntsu.idm.oclc.org/login?url=https://www.airitibooks.com/Detail/Detail?PublicationID=P20160801204", "https://ntsu.idm.oclc.org/login?url=https://www.airitibooks.com/Detail/Detail?PublicationID=P20160801204")</f>
        <v>https://ntsu.idm.oclc.org/login?url=https://www.airitibooks.com/Detail/Detail?PublicationID=P20160801204</v>
      </c>
    </row>
    <row r="4570" spans="1:11" ht="51" x14ac:dyDescent="0.4">
      <c r="A4570" s="10" t="s">
        <v>5056</v>
      </c>
      <c r="B4570" s="10" t="s">
        <v>5057</v>
      </c>
      <c r="C4570" s="10" t="s">
        <v>5043</v>
      </c>
      <c r="D4570" s="10" t="s">
        <v>5055</v>
      </c>
      <c r="E4570" s="10" t="s">
        <v>64</v>
      </c>
      <c r="F4570" s="10" t="s">
        <v>483</v>
      </c>
      <c r="G4570" s="10" t="s">
        <v>237</v>
      </c>
      <c r="H4570" s="7" t="s">
        <v>24</v>
      </c>
      <c r="I4570" s="7" t="s">
        <v>25</v>
      </c>
      <c r="J4570" s="13" t="str">
        <f>HYPERLINK("https://www.airitibooks.com/Detail/Detail?PublicationID=P20160801205", "https://www.airitibooks.com/Detail/Detail?PublicationID=P20160801205")</f>
        <v>https://www.airitibooks.com/Detail/Detail?PublicationID=P20160801205</v>
      </c>
      <c r="K4570" s="13" t="str">
        <f>HYPERLINK("https://ntsu.idm.oclc.org/login?url=https://www.airitibooks.com/Detail/Detail?PublicationID=P20160801205", "https://ntsu.idm.oclc.org/login?url=https://www.airitibooks.com/Detail/Detail?PublicationID=P20160801205")</f>
        <v>https://ntsu.idm.oclc.org/login?url=https://www.airitibooks.com/Detail/Detail?PublicationID=P20160801205</v>
      </c>
    </row>
    <row r="4571" spans="1:11" ht="51" x14ac:dyDescent="0.4">
      <c r="A4571" s="10" t="s">
        <v>5058</v>
      </c>
      <c r="B4571" s="10" t="s">
        <v>5059</v>
      </c>
      <c r="C4571" s="10" t="s">
        <v>5043</v>
      </c>
      <c r="D4571" s="10" t="s">
        <v>5055</v>
      </c>
      <c r="E4571" s="10" t="s">
        <v>64</v>
      </c>
      <c r="F4571" s="10" t="s">
        <v>483</v>
      </c>
      <c r="G4571" s="10" t="s">
        <v>237</v>
      </c>
      <c r="H4571" s="7" t="s">
        <v>24</v>
      </c>
      <c r="I4571" s="7" t="s">
        <v>25</v>
      </c>
      <c r="J4571" s="13" t="str">
        <f>HYPERLINK("https://www.airitibooks.com/Detail/Detail?PublicationID=P20160801206", "https://www.airitibooks.com/Detail/Detail?PublicationID=P20160801206")</f>
        <v>https://www.airitibooks.com/Detail/Detail?PublicationID=P20160801206</v>
      </c>
      <c r="K4571" s="13" t="str">
        <f>HYPERLINK("https://ntsu.idm.oclc.org/login?url=https://www.airitibooks.com/Detail/Detail?PublicationID=P20160801206", "https://ntsu.idm.oclc.org/login?url=https://www.airitibooks.com/Detail/Detail?PublicationID=P20160801206")</f>
        <v>https://ntsu.idm.oclc.org/login?url=https://www.airitibooks.com/Detail/Detail?PublicationID=P20160801206</v>
      </c>
    </row>
    <row r="4572" spans="1:11" ht="51" x14ac:dyDescent="0.4">
      <c r="A4572" s="10" t="s">
        <v>5060</v>
      </c>
      <c r="B4572" s="10" t="s">
        <v>5061</v>
      </c>
      <c r="C4572" s="10" t="s">
        <v>5043</v>
      </c>
      <c r="D4572" s="10" t="s">
        <v>5055</v>
      </c>
      <c r="E4572" s="10" t="s">
        <v>64</v>
      </c>
      <c r="F4572" s="10" t="s">
        <v>483</v>
      </c>
      <c r="G4572" s="10" t="s">
        <v>237</v>
      </c>
      <c r="H4572" s="7" t="s">
        <v>24</v>
      </c>
      <c r="I4572" s="7" t="s">
        <v>25</v>
      </c>
      <c r="J4572" s="13" t="str">
        <f>HYPERLINK("https://www.airitibooks.com/Detail/Detail?PublicationID=P20160801207", "https://www.airitibooks.com/Detail/Detail?PublicationID=P20160801207")</f>
        <v>https://www.airitibooks.com/Detail/Detail?PublicationID=P20160801207</v>
      </c>
      <c r="K4572" s="13" t="str">
        <f>HYPERLINK("https://ntsu.idm.oclc.org/login?url=https://www.airitibooks.com/Detail/Detail?PublicationID=P20160801207", "https://ntsu.idm.oclc.org/login?url=https://www.airitibooks.com/Detail/Detail?PublicationID=P20160801207")</f>
        <v>https://ntsu.idm.oclc.org/login?url=https://www.airitibooks.com/Detail/Detail?PublicationID=P20160801207</v>
      </c>
    </row>
    <row r="4573" spans="1:11" ht="51" x14ac:dyDescent="0.4">
      <c r="A4573" s="10" t="s">
        <v>5062</v>
      </c>
      <c r="B4573" s="10" t="s">
        <v>5063</v>
      </c>
      <c r="C4573" s="10" t="s">
        <v>5043</v>
      </c>
      <c r="D4573" s="10" t="s">
        <v>5055</v>
      </c>
      <c r="E4573" s="10" t="s">
        <v>64</v>
      </c>
      <c r="F4573" s="10" t="s">
        <v>483</v>
      </c>
      <c r="G4573" s="10" t="s">
        <v>237</v>
      </c>
      <c r="H4573" s="7" t="s">
        <v>24</v>
      </c>
      <c r="I4573" s="7" t="s">
        <v>25</v>
      </c>
      <c r="J4573" s="13" t="str">
        <f>HYPERLINK("https://www.airitibooks.com/Detail/Detail?PublicationID=P20160801208", "https://www.airitibooks.com/Detail/Detail?PublicationID=P20160801208")</f>
        <v>https://www.airitibooks.com/Detail/Detail?PublicationID=P20160801208</v>
      </c>
      <c r="K4573" s="13" t="str">
        <f>HYPERLINK("https://ntsu.idm.oclc.org/login?url=https://www.airitibooks.com/Detail/Detail?PublicationID=P20160801208", "https://ntsu.idm.oclc.org/login?url=https://www.airitibooks.com/Detail/Detail?PublicationID=P20160801208")</f>
        <v>https://ntsu.idm.oclc.org/login?url=https://www.airitibooks.com/Detail/Detail?PublicationID=P20160801208</v>
      </c>
    </row>
    <row r="4574" spans="1:11" ht="51" x14ac:dyDescent="0.4">
      <c r="A4574" s="10" t="s">
        <v>5064</v>
      </c>
      <c r="B4574" s="10" t="s">
        <v>5065</v>
      </c>
      <c r="C4574" s="10" t="s">
        <v>5043</v>
      </c>
      <c r="D4574" s="10" t="s">
        <v>5055</v>
      </c>
      <c r="E4574" s="10" t="s">
        <v>64</v>
      </c>
      <c r="F4574" s="10" t="s">
        <v>483</v>
      </c>
      <c r="G4574" s="10" t="s">
        <v>237</v>
      </c>
      <c r="H4574" s="7" t="s">
        <v>24</v>
      </c>
      <c r="I4574" s="7" t="s">
        <v>25</v>
      </c>
      <c r="J4574" s="13" t="str">
        <f>HYPERLINK("https://www.airitibooks.com/Detail/Detail?PublicationID=P20160801209", "https://www.airitibooks.com/Detail/Detail?PublicationID=P20160801209")</f>
        <v>https://www.airitibooks.com/Detail/Detail?PublicationID=P20160801209</v>
      </c>
      <c r="K4574" s="13" t="str">
        <f>HYPERLINK("https://ntsu.idm.oclc.org/login?url=https://www.airitibooks.com/Detail/Detail?PublicationID=P20160801209", "https://ntsu.idm.oclc.org/login?url=https://www.airitibooks.com/Detail/Detail?PublicationID=P20160801209")</f>
        <v>https://ntsu.idm.oclc.org/login?url=https://www.airitibooks.com/Detail/Detail?PublicationID=P20160801209</v>
      </c>
    </row>
    <row r="4575" spans="1:11" ht="51" x14ac:dyDescent="0.4">
      <c r="A4575" s="10" t="s">
        <v>5102</v>
      </c>
      <c r="B4575" s="10" t="s">
        <v>5103</v>
      </c>
      <c r="C4575" s="10" t="s">
        <v>3208</v>
      </c>
      <c r="D4575" s="10" t="s">
        <v>5104</v>
      </c>
      <c r="E4575" s="10" t="s">
        <v>64</v>
      </c>
      <c r="F4575" s="10" t="s">
        <v>5105</v>
      </c>
      <c r="G4575" s="10" t="s">
        <v>237</v>
      </c>
      <c r="H4575" s="7" t="s">
        <v>24</v>
      </c>
      <c r="I4575" s="7" t="s">
        <v>25</v>
      </c>
      <c r="J4575" s="13" t="str">
        <f>HYPERLINK("https://www.airitibooks.com/Detail/Detail?PublicationID=P20160806197", "https://www.airitibooks.com/Detail/Detail?PublicationID=P20160806197")</f>
        <v>https://www.airitibooks.com/Detail/Detail?PublicationID=P20160806197</v>
      </c>
      <c r="K4575" s="13" t="str">
        <f>HYPERLINK("https://ntsu.idm.oclc.org/login?url=https://www.airitibooks.com/Detail/Detail?PublicationID=P20160806197", "https://ntsu.idm.oclc.org/login?url=https://www.airitibooks.com/Detail/Detail?PublicationID=P20160806197")</f>
        <v>https://ntsu.idm.oclc.org/login?url=https://www.airitibooks.com/Detail/Detail?PublicationID=P20160806197</v>
      </c>
    </row>
    <row r="4576" spans="1:11" ht="51" x14ac:dyDescent="0.4">
      <c r="A4576" s="10" t="s">
        <v>8774</v>
      </c>
      <c r="B4576" s="10" t="s">
        <v>8775</v>
      </c>
      <c r="C4576" s="10" t="s">
        <v>848</v>
      </c>
      <c r="D4576" s="10" t="s">
        <v>8776</v>
      </c>
      <c r="E4576" s="10" t="s">
        <v>64</v>
      </c>
      <c r="F4576" s="10" t="s">
        <v>1140</v>
      </c>
      <c r="G4576" s="10" t="s">
        <v>237</v>
      </c>
      <c r="H4576" s="7" t="s">
        <v>24</v>
      </c>
      <c r="I4576" s="7" t="s">
        <v>25</v>
      </c>
      <c r="J4576" s="13" t="str">
        <f>HYPERLINK("https://www.airitibooks.com/Detail/Detail?PublicationID=P20180323071", "https://www.airitibooks.com/Detail/Detail?PublicationID=P20180323071")</f>
        <v>https://www.airitibooks.com/Detail/Detail?PublicationID=P20180323071</v>
      </c>
      <c r="K4576" s="13" t="str">
        <f>HYPERLINK("https://ntsu.idm.oclc.org/login?url=https://www.airitibooks.com/Detail/Detail?PublicationID=P20180323071", "https://ntsu.idm.oclc.org/login?url=https://www.airitibooks.com/Detail/Detail?PublicationID=P20180323071")</f>
        <v>https://ntsu.idm.oclc.org/login?url=https://www.airitibooks.com/Detail/Detail?PublicationID=P20180323071</v>
      </c>
    </row>
    <row r="4577" spans="1:11" ht="51" x14ac:dyDescent="0.4">
      <c r="A4577" s="10" t="s">
        <v>8782</v>
      </c>
      <c r="B4577" s="10" t="s">
        <v>8783</v>
      </c>
      <c r="C4577" s="10" t="s">
        <v>848</v>
      </c>
      <c r="D4577" s="10" t="s">
        <v>8784</v>
      </c>
      <c r="E4577" s="10" t="s">
        <v>64</v>
      </c>
      <c r="F4577" s="10" t="s">
        <v>6410</v>
      </c>
      <c r="G4577" s="10" t="s">
        <v>237</v>
      </c>
      <c r="H4577" s="7" t="s">
        <v>24</v>
      </c>
      <c r="I4577" s="7" t="s">
        <v>25</v>
      </c>
      <c r="J4577" s="13" t="str">
        <f>HYPERLINK("https://www.airitibooks.com/Detail/Detail?PublicationID=P20180323074", "https://www.airitibooks.com/Detail/Detail?PublicationID=P20180323074")</f>
        <v>https://www.airitibooks.com/Detail/Detail?PublicationID=P20180323074</v>
      </c>
      <c r="K4577" s="13" t="str">
        <f>HYPERLINK("https://ntsu.idm.oclc.org/login?url=https://www.airitibooks.com/Detail/Detail?PublicationID=P20180323074", "https://ntsu.idm.oclc.org/login?url=https://www.airitibooks.com/Detail/Detail?PublicationID=P20180323074")</f>
        <v>https://ntsu.idm.oclc.org/login?url=https://www.airitibooks.com/Detail/Detail?PublicationID=P20180323074</v>
      </c>
    </row>
    <row r="4578" spans="1:11" ht="51" x14ac:dyDescent="0.4">
      <c r="A4578" s="10" t="s">
        <v>1173</v>
      </c>
      <c r="B4578" s="10" t="s">
        <v>1174</v>
      </c>
      <c r="C4578" s="10" t="s">
        <v>1175</v>
      </c>
      <c r="D4578" s="10" t="s">
        <v>1176</v>
      </c>
      <c r="E4578" s="10" t="s">
        <v>64</v>
      </c>
      <c r="F4578" s="10" t="s">
        <v>1177</v>
      </c>
      <c r="G4578" s="10" t="s">
        <v>209</v>
      </c>
      <c r="H4578" s="7" t="s">
        <v>24</v>
      </c>
      <c r="I4578" s="7" t="s">
        <v>25</v>
      </c>
      <c r="J4578" s="13" t="str">
        <f>HYPERLINK("https://www.airitibooks.com/Detail/Detail?PublicationID=P20140224071", "https://www.airitibooks.com/Detail/Detail?PublicationID=P20140224071")</f>
        <v>https://www.airitibooks.com/Detail/Detail?PublicationID=P20140224071</v>
      </c>
      <c r="K4578" s="13" t="str">
        <f>HYPERLINK("https://ntsu.idm.oclc.org/login?url=https://www.airitibooks.com/Detail/Detail?PublicationID=P20140224071", "https://ntsu.idm.oclc.org/login?url=https://www.airitibooks.com/Detail/Detail?PublicationID=P20140224071")</f>
        <v>https://ntsu.idm.oclc.org/login?url=https://www.airitibooks.com/Detail/Detail?PublicationID=P20140224071</v>
      </c>
    </row>
    <row r="4579" spans="1:11" ht="51" x14ac:dyDescent="0.4">
      <c r="A4579" s="10" t="s">
        <v>1232</v>
      </c>
      <c r="B4579" s="10" t="s">
        <v>1233</v>
      </c>
      <c r="C4579" s="10" t="s">
        <v>627</v>
      </c>
      <c r="D4579" s="10" t="s">
        <v>1230</v>
      </c>
      <c r="E4579" s="10" t="s">
        <v>64</v>
      </c>
      <c r="F4579" s="10" t="s">
        <v>1234</v>
      </c>
      <c r="G4579" s="10" t="s">
        <v>209</v>
      </c>
      <c r="H4579" s="7" t="s">
        <v>24</v>
      </c>
      <c r="I4579" s="7" t="s">
        <v>25</v>
      </c>
      <c r="J4579" s="13" t="str">
        <f>HYPERLINK("https://www.airitibooks.com/Detail/Detail?PublicationID=P20140520034", "https://www.airitibooks.com/Detail/Detail?PublicationID=P20140520034")</f>
        <v>https://www.airitibooks.com/Detail/Detail?PublicationID=P20140520034</v>
      </c>
      <c r="K4579" s="13" t="str">
        <f>HYPERLINK("https://ntsu.idm.oclc.org/login?url=https://www.airitibooks.com/Detail/Detail?PublicationID=P20140520034", "https://ntsu.idm.oclc.org/login?url=https://www.airitibooks.com/Detail/Detail?PublicationID=P20140520034")</f>
        <v>https://ntsu.idm.oclc.org/login?url=https://www.airitibooks.com/Detail/Detail?PublicationID=P20140520034</v>
      </c>
    </row>
    <row r="4580" spans="1:11" ht="51" x14ac:dyDescent="0.4">
      <c r="A4580" s="10" t="s">
        <v>2915</v>
      </c>
      <c r="B4580" s="10" t="s">
        <v>2916</v>
      </c>
      <c r="C4580" s="10" t="s">
        <v>2912</v>
      </c>
      <c r="D4580" s="10" t="s">
        <v>2913</v>
      </c>
      <c r="E4580" s="10" t="s">
        <v>64</v>
      </c>
      <c r="F4580" s="10" t="s">
        <v>2917</v>
      </c>
      <c r="G4580" s="10" t="s">
        <v>209</v>
      </c>
      <c r="H4580" s="7" t="s">
        <v>24</v>
      </c>
      <c r="I4580" s="7" t="s">
        <v>25</v>
      </c>
      <c r="J4580" s="13" t="str">
        <f>HYPERLINK("https://www.airitibooks.com/Detail/Detail?PublicationID=P20150709015", "https://www.airitibooks.com/Detail/Detail?PublicationID=P20150709015")</f>
        <v>https://www.airitibooks.com/Detail/Detail?PublicationID=P20150709015</v>
      </c>
      <c r="K4580" s="13" t="str">
        <f>HYPERLINK("https://ntsu.idm.oclc.org/login?url=https://www.airitibooks.com/Detail/Detail?PublicationID=P20150709015", "https://ntsu.idm.oclc.org/login?url=https://www.airitibooks.com/Detail/Detail?PublicationID=P20150709015")</f>
        <v>https://ntsu.idm.oclc.org/login?url=https://www.airitibooks.com/Detail/Detail?PublicationID=P20150709015</v>
      </c>
    </row>
    <row r="4581" spans="1:11" ht="51" x14ac:dyDescent="0.4">
      <c r="A4581" s="10" t="s">
        <v>3885</v>
      </c>
      <c r="B4581" s="10" t="s">
        <v>3886</v>
      </c>
      <c r="C4581" s="10" t="s">
        <v>3863</v>
      </c>
      <c r="D4581" s="10" t="s">
        <v>3887</v>
      </c>
      <c r="E4581" s="10" t="s">
        <v>64</v>
      </c>
      <c r="F4581" s="10" t="s">
        <v>3888</v>
      </c>
      <c r="G4581" s="10" t="s">
        <v>209</v>
      </c>
      <c r="H4581" s="7" t="s">
        <v>24</v>
      </c>
      <c r="I4581" s="7" t="s">
        <v>25</v>
      </c>
      <c r="J4581" s="13" t="str">
        <f>HYPERLINK("https://www.airitibooks.com/Detail/Detail?PublicationID=P20151110066", "https://www.airitibooks.com/Detail/Detail?PublicationID=P20151110066")</f>
        <v>https://www.airitibooks.com/Detail/Detail?PublicationID=P20151110066</v>
      </c>
      <c r="K4581" s="13" t="str">
        <f>HYPERLINK("https://ntsu.idm.oclc.org/login?url=https://www.airitibooks.com/Detail/Detail?PublicationID=P20151110066", "https://ntsu.idm.oclc.org/login?url=https://www.airitibooks.com/Detail/Detail?PublicationID=P20151110066")</f>
        <v>https://ntsu.idm.oclc.org/login?url=https://www.airitibooks.com/Detail/Detail?PublicationID=P20151110066</v>
      </c>
    </row>
    <row r="4582" spans="1:11" ht="51" x14ac:dyDescent="0.4">
      <c r="A4582" s="10" t="s">
        <v>9953</v>
      </c>
      <c r="B4582" s="10" t="s">
        <v>9954</v>
      </c>
      <c r="C4582" s="10" t="s">
        <v>9828</v>
      </c>
      <c r="D4582" s="10" t="s">
        <v>9955</v>
      </c>
      <c r="E4582" s="10" t="s">
        <v>64</v>
      </c>
      <c r="F4582" s="10" t="s">
        <v>9957</v>
      </c>
      <c r="G4582" s="10" t="s">
        <v>209</v>
      </c>
      <c r="H4582" s="7" t="s">
        <v>1031</v>
      </c>
      <c r="I4582" s="7" t="s">
        <v>25</v>
      </c>
      <c r="J4582" s="13" t="str">
        <f>HYPERLINK("https://www.airitibooks.com/Detail/Detail?PublicationID=P20181026063", "https://www.airitibooks.com/Detail/Detail?PublicationID=P20181026063")</f>
        <v>https://www.airitibooks.com/Detail/Detail?PublicationID=P20181026063</v>
      </c>
      <c r="K4582" s="13" t="str">
        <f>HYPERLINK("https://ntsu.idm.oclc.org/login?url=https://www.airitibooks.com/Detail/Detail?PublicationID=P20181026063", "https://ntsu.idm.oclc.org/login?url=https://www.airitibooks.com/Detail/Detail?PublicationID=P20181026063")</f>
        <v>https://ntsu.idm.oclc.org/login?url=https://www.airitibooks.com/Detail/Detail?PublicationID=P20181026063</v>
      </c>
    </row>
    <row r="4583" spans="1:11" ht="51" x14ac:dyDescent="0.4">
      <c r="A4583" s="10" t="s">
        <v>673</v>
      </c>
      <c r="B4583" s="10" t="s">
        <v>674</v>
      </c>
      <c r="C4583" s="10" t="s">
        <v>675</v>
      </c>
      <c r="D4583" s="10" t="s">
        <v>676</v>
      </c>
      <c r="E4583" s="10" t="s">
        <v>64</v>
      </c>
      <c r="F4583" s="10" t="s">
        <v>677</v>
      </c>
      <c r="G4583" s="10" t="s">
        <v>76</v>
      </c>
      <c r="H4583" s="7" t="s">
        <v>24</v>
      </c>
      <c r="I4583" s="7" t="s">
        <v>25</v>
      </c>
      <c r="J4583" s="13" t="str">
        <f>HYPERLINK("https://www.airitibooks.com/Detail/Detail?PublicationID=P20130701042", "https://www.airitibooks.com/Detail/Detail?PublicationID=P20130701042")</f>
        <v>https://www.airitibooks.com/Detail/Detail?PublicationID=P20130701042</v>
      </c>
      <c r="K4583" s="13" t="str">
        <f>HYPERLINK("https://ntsu.idm.oclc.org/login?url=https://www.airitibooks.com/Detail/Detail?PublicationID=P20130701042", "https://ntsu.idm.oclc.org/login?url=https://www.airitibooks.com/Detail/Detail?PublicationID=P20130701042")</f>
        <v>https://ntsu.idm.oclc.org/login?url=https://www.airitibooks.com/Detail/Detail?PublicationID=P20130701042</v>
      </c>
    </row>
    <row r="4584" spans="1:11" ht="51" x14ac:dyDescent="0.4">
      <c r="A4584" s="10" t="s">
        <v>697</v>
      </c>
      <c r="B4584" s="10" t="s">
        <v>698</v>
      </c>
      <c r="C4584" s="10" t="s">
        <v>222</v>
      </c>
      <c r="D4584" s="10" t="s">
        <v>699</v>
      </c>
      <c r="E4584" s="10" t="s">
        <v>64</v>
      </c>
      <c r="F4584" s="10" t="s">
        <v>700</v>
      </c>
      <c r="G4584" s="10" t="s">
        <v>76</v>
      </c>
      <c r="H4584" s="7" t="s">
        <v>24</v>
      </c>
      <c r="I4584" s="7" t="s">
        <v>25</v>
      </c>
      <c r="J4584" s="13" t="str">
        <f>HYPERLINK("https://www.airitibooks.com/Detail/Detail?PublicationID=P20130718013", "https://www.airitibooks.com/Detail/Detail?PublicationID=P20130718013")</f>
        <v>https://www.airitibooks.com/Detail/Detail?PublicationID=P20130718013</v>
      </c>
      <c r="K4584" s="13" t="str">
        <f>HYPERLINK("https://ntsu.idm.oclc.org/login?url=https://www.airitibooks.com/Detail/Detail?PublicationID=P20130718013", "https://ntsu.idm.oclc.org/login?url=https://www.airitibooks.com/Detail/Detail?PublicationID=P20130718013")</f>
        <v>https://ntsu.idm.oclc.org/login?url=https://www.airitibooks.com/Detail/Detail?PublicationID=P20130718013</v>
      </c>
    </row>
    <row r="4585" spans="1:11" ht="51" x14ac:dyDescent="0.4">
      <c r="A4585" s="10" t="s">
        <v>740</v>
      </c>
      <c r="B4585" s="10" t="s">
        <v>741</v>
      </c>
      <c r="C4585" s="10" t="s">
        <v>738</v>
      </c>
      <c r="D4585" s="10" t="s">
        <v>742</v>
      </c>
      <c r="E4585" s="10" t="s">
        <v>64</v>
      </c>
      <c r="F4585" s="10" t="s">
        <v>743</v>
      </c>
      <c r="G4585" s="10" t="s">
        <v>76</v>
      </c>
      <c r="H4585" s="7" t="s">
        <v>24</v>
      </c>
      <c r="I4585" s="7" t="s">
        <v>25</v>
      </c>
      <c r="J4585" s="13" t="str">
        <f>HYPERLINK("https://www.airitibooks.com/Detail/Detail?PublicationID=P20130808013", "https://www.airitibooks.com/Detail/Detail?PublicationID=P20130808013")</f>
        <v>https://www.airitibooks.com/Detail/Detail?PublicationID=P20130808013</v>
      </c>
      <c r="K4585" s="13" t="str">
        <f>HYPERLINK("https://ntsu.idm.oclc.org/login?url=https://www.airitibooks.com/Detail/Detail?PublicationID=P20130808013", "https://ntsu.idm.oclc.org/login?url=https://www.airitibooks.com/Detail/Detail?PublicationID=P20130808013")</f>
        <v>https://ntsu.idm.oclc.org/login?url=https://www.airitibooks.com/Detail/Detail?PublicationID=P20130808013</v>
      </c>
    </row>
    <row r="4586" spans="1:11" ht="51" x14ac:dyDescent="0.4">
      <c r="A4586" s="10" t="s">
        <v>810</v>
      </c>
      <c r="B4586" s="10" t="s">
        <v>811</v>
      </c>
      <c r="C4586" s="10" t="s">
        <v>812</v>
      </c>
      <c r="D4586" s="10" t="s">
        <v>813</v>
      </c>
      <c r="E4586" s="10" t="s">
        <v>64</v>
      </c>
      <c r="F4586" s="10" t="s">
        <v>538</v>
      </c>
      <c r="G4586" s="10" t="s">
        <v>76</v>
      </c>
      <c r="H4586" s="7" t="s">
        <v>24</v>
      </c>
      <c r="I4586" s="7" t="s">
        <v>25</v>
      </c>
      <c r="J4586" s="13" t="str">
        <f>HYPERLINK("https://www.airitibooks.com/Detail/Detail?PublicationID=P20130927077", "https://www.airitibooks.com/Detail/Detail?PublicationID=P20130927077")</f>
        <v>https://www.airitibooks.com/Detail/Detail?PublicationID=P20130927077</v>
      </c>
      <c r="K4586" s="13" t="str">
        <f>HYPERLINK("https://ntsu.idm.oclc.org/login?url=https://www.airitibooks.com/Detail/Detail?PublicationID=P20130927077", "https://ntsu.idm.oclc.org/login?url=https://www.airitibooks.com/Detail/Detail?PublicationID=P20130927077")</f>
        <v>https://ntsu.idm.oclc.org/login?url=https://www.airitibooks.com/Detail/Detail?PublicationID=P20130927077</v>
      </c>
    </row>
    <row r="4587" spans="1:11" ht="51" x14ac:dyDescent="0.4">
      <c r="A4587" s="10" t="s">
        <v>814</v>
      </c>
      <c r="B4587" s="10" t="s">
        <v>815</v>
      </c>
      <c r="C4587" s="10" t="s">
        <v>812</v>
      </c>
      <c r="D4587" s="10" t="s">
        <v>816</v>
      </c>
      <c r="E4587" s="10" t="s">
        <v>64</v>
      </c>
      <c r="F4587" s="10" t="s">
        <v>538</v>
      </c>
      <c r="G4587" s="10" t="s">
        <v>76</v>
      </c>
      <c r="H4587" s="7" t="s">
        <v>24</v>
      </c>
      <c r="I4587" s="7" t="s">
        <v>25</v>
      </c>
      <c r="J4587" s="13" t="str">
        <f>HYPERLINK("https://www.airitibooks.com/Detail/Detail?PublicationID=P20130927078", "https://www.airitibooks.com/Detail/Detail?PublicationID=P20130927078")</f>
        <v>https://www.airitibooks.com/Detail/Detail?PublicationID=P20130927078</v>
      </c>
      <c r="K4587" s="13" t="str">
        <f>HYPERLINK("https://ntsu.idm.oclc.org/login?url=https://www.airitibooks.com/Detail/Detail?PublicationID=P20130927078", "https://ntsu.idm.oclc.org/login?url=https://www.airitibooks.com/Detail/Detail?PublicationID=P20130927078")</f>
        <v>https://ntsu.idm.oclc.org/login?url=https://www.airitibooks.com/Detail/Detail?PublicationID=P20130927078</v>
      </c>
    </row>
    <row r="4588" spans="1:11" ht="51" x14ac:dyDescent="0.4">
      <c r="A4588" s="10" t="s">
        <v>997</v>
      </c>
      <c r="B4588" s="10" t="s">
        <v>998</v>
      </c>
      <c r="C4588" s="10" t="s">
        <v>467</v>
      </c>
      <c r="D4588" s="10" t="s">
        <v>999</v>
      </c>
      <c r="E4588" s="10" t="s">
        <v>64</v>
      </c>
      <c r="F4588" s="10" t="s">
        <v>1000</v>
      </c>
      <c r="G4588" s="10" t="s">
        <v>76</v>
      </c>
      <c r="H4588" s="7" t="s">
        <v>24</v>
      </c>
      <c r="I4588" s="7" t="s">
        <v>25</v>
      </c>
      <c r="J4588" s="13" t="str">
        <f>HYPERLINK("https://www.airitibooks.com/Detail/Detail?PublicationID=P20131101024", "https://www.airitibooks.com/Detail/Detail?PublicationID=P20131101024")</f>
        <v>https://www.airitibooks.com/Detail/Detail?PublicationID=P20131101024</v>
      </c>
      <c r="K4588" s="13" t="str">
        <f>HYPERLINK("https://ntsu.idm.oclc.org/login?url=https://www.airitibooks.com/Detail/Detail?PublicationID=P20131101024", "https://ntsu.idm.oclc.org/login?url=https://www.airitibooks.com/Detail/Detail?PublicationID=P20131101024")</f>
        <v>https://ntsu.idm.oclc.org/login?url=https://www.airitibooks.com/Detail/Detail?PublicationID=P20131101024</v>
      </c>
    </row>
    <row r="4589" spans="1:11" ht="51" x14ac:dyDescent="0.4">
      <c r="A4589" s="10" t="s">
        <v>1014</v>
      </c>
      <c r="B4589" s="10" t="s">
        <v>1015</v>
      </c>
      <c r="C4589" s="10" t="s">
        <v>838</v>
      </c>
      <c r="D4589" s="10" t="s">
        <v>1016</v>
      </c>
      <c r="E4589" s="10" t="s">
        <v>64</v>
      </c>
      <c r="F4589" s="10" t="s">
        <v>1017</v>
      </c>
      <c r="G4589" s="10" t="s">
        <v>76</v>
      </c>
      <c r="H4589" s="7" t="s">
        <v>24</v>
      </c>
      <c r="I4589" s="7" t="s">
        <v>25</v>
      </c>
      <c r="J4589" s="13" t="str">
        <f>HYPERLINK("https://www.airitibooks.com/Detail/Detail?PublicationID=P20131106021", "https://www.airitibooks.com/Detail/Detail?PublicationID=P20131106021")</f>
        <v>https://www.airitibooks.com/Detail/Detail?PublicationID=P20131106021</v>
      </c>
      <c r="K4589" s="13" t="str">
        <f>HYPERLINK("https://ntsu.idm.oclc.org/login?url=https://www.airitibooks.com/Detail/Detail?PublicationID=P20131106021", "https://ntsu.idm.oclc.org/login?url=https://www.airitibooks.com/Detail/Detail?PublicationID=P20131106021")</f>
        <v>https://ntsu.idm.oclc.org/login?url=https://www.airitibooks.com/Detail/Detail?PublicationID=P20131106021</v>
      </c>
    </row>
    <row r="4590" spans="1:11" ht="51" x14ac:dyDescent="0.4">
      <c r="A4590" s="10" t="s">
        <v>1032</v>
      </c>
      <c r="B4590" s="10" t="s">
        <v>1033</v>
      </c>
      <c r="C4590" s="10" t="s">
        <v>1034</v>
      </c>
      <c r="D4590" s="10" t="s">
        <v>1035</v>
      </c>
      <c r="E4590" s="10" t="s">
        <v>64</v>
      </c>
      <c r="F4590" s="10" t="s">
        <v>1036</v>
      </c>
      <c r="G4590" s="10" t="s">
        <v>76</v>
      </c>
      <c r="H4590" s="7" t="s">
        <v>24</v>
      </c>
      <c r="I4590" s="7" t="s">
        <v>25</v>
      </c>
      <c r="J4590" s="13" t="str">
        <f>HYPERLINK("https://www.airitibooks.com/Detail/Detail?PublicationID=P20131119059", "https://www.airitibooks.com/Detail/Detail?PublicationID=P20131119059")</f>
        <v>https://www.airitibooks.com/Detail/Detail?PublicationID=P20131119059</v>
      </c>
      <c r="K4590" s="13" t="str">
        <f>HYPERLINK("https://ntsu.idm.oclc.org/login?url=https://www.airitibooks.com/Detail/Detail?PublicationID=P20131119059", "https://ntsu.idm.oclc.org/login?url=https://www.airitibooks.com/Detail/Detail?PublicationID=P20131119059")</f>
        <v>https://ntsu.idm.oclc.org/login?url=https://www.airitibooks.com/Detail/Detail?PublicationID=P20131119059</v>
      </c>
    </row>
    <row r="4591" spans="1:11" ht="51" x14ac:dyDescent="0.4">
      <c r="A4591" s="10" t="s">
        <v>1054</v>
      </c>
      <c r="B4591" s="10" t="s">
        <v>1055</v>
      </c>
      <c r="C4591" s="10" t="s">
        <v>269</v>
      </c>
      <c r="D4591" s="10" t="s">
        <v>1056</v>
      </c>
      <c r="E4591" s="10" t="s">
        <v>64</v>
      </c>
      <c r="F4591" s="10" t="s">
        <v>317</v>
      </c>
      <c r="G4591" s="10" t="s">
        <v>76</v>
      </c>
      <c r="H4591" s="7" t="s">
        <v>24</v>
      </c>
      <c r="I4591" s="7" t="s">
        <v>25</v>
      </c>
      <c r="J4591" s="13" t="str">
        <f>HYPERLINK("https://www.airitibooks.com/Detail/Detail?PublicationID=P20131206082", "https://www.airitibooks.com/Detail/Detail?PublicationID=P20131206082")</f>
        <v>https://www.airitibooks.com/Detail/Detail?PublicationID=P20131206082</v>
      </c>
      <c r="K4591" s="13" t="str">
        <f>HYPERLINK("https://ntsu.idm.oclc.org/login?url=https://www.airitibooks.com/Detail/Detail?PublicationID=P20131206082", "https://ntsu.idm.oclc.org/login?url=https://www.airitibooks.com/Detail/Detail?PublicationID=P20131206082")</f>
        <v>https://ntsu.idm.oclc.org/login?url=https://www.airitibooks.com/Detail/Detail?PublicationID=P20131206082</v>
      </c>
    </row>
    <row r="4592" spans="1:11" ht="68" x14ac:dyDescent="0.4">
      <c r="A4592" s="10" t="s">
        <v>1065</v>
      </c>
      <c r="B4592" s="10" t="s">
        <v>1066</v>
      </c>
      <c r="C4592" s="10" t="s">
        <v>1067</v>
      </c>
      <c r="D4592" s="10" t="s">
        <v>1068</v>
      </c>
      <c r="E4592" s="10" t="s">
        <v>64</v>
      </c>
      <c r="F4592" s="10" t="s">
        <v>1069</v>
      </c>
      <c r="G4592" s="10" t="s">
        <v>76</v>
      </c>
      <c r="H4592" s="7" t="s">
        <v>24</v>
      </c>
      <c r="I4592" s="7" t="s">
        <v>25</v>
      </c>
      <c r="J4592" s="13" t="str">
        <f>HYPERLINK("https://www.airitibooks.com/Detail/Detail?PublicationID=P20131217001", "https://www.airitibooks.com/Detail/Detail?PublicationID=P20131217001")</f>
        <v>https://www.airitibooks.com/Detail/Detail?PublicationID=P20131217001</v>
      </c>
      <c r="K4592" s="13" t="str">
        <f>HYPERLINK("https://ntsu.idm.oclc.org/login?url=https://www.airitibooks.com/Detail/Detail?PublicationID=P20131217001", "https://ntsu.idm.oclc.org/login?url=https://www.airitibooks.com/Detail/Detail?PublicationID=P20131217001")</f>
        <v>https://ntsu.idm.oclc.org/login?url=https://www.airitibooks.com/Detail/Detail?PublicationID=P20131217001</v>
      </c>
    </row>
    <row r="4593" spans="1:11" ht="51" x14ac:dyDescent="0.4">
      <c r="A4593" s="10" t="s">
        <v>1074</v>
      </c>
      <c r="B4593" s="10" t="s">
        <v>1075</v>
      </c>
      <c r="C4593" s="10" t="s">
        <v>1076</v>
      </c>
      <c r="D4593" s="10" t="s">
        <v>1077</v>
      </c>
      <c r="E4593" s="10" t="s">
        <v>64</v>
      </c>
      <c r="F4593" s="10" t="s">
        <v>1078</v>
      </c>
      <c r="G4593" s="10" t="s">
        <v>76</v>
      </c>
      <c r="H4593" s="7" t="s">
        <v>24</v>
      </c>
      <c r="I4593" s="7" t="s">
        <v>25</v>
      </c>
      <c r="J4593" s="13" t="str">
        <f>HYPERLINK("https://www.airitibooks.com/Detail/Detail?PublicationID=P20131220092", "https://www.airitibooks.com/Detail/Detail?PublicationID=P20131220092")</f>
        <v>https://www.airitibooks.com/Detail/Detail?PublicationID=P20131220092</v>
      </c>
      <c r="K4593" s="13" t="str">
        <f>HYPERLINK("https://ntsu.idm.oclc.org/login?url=https://www.airitibooks.com/Detail/Detail?PublicationID=P20131220092", "https://ntsu.idm.oclc.org/login?url=https://www.airitibooks.com/Detail/Detail?PublicationID=P20131220092")</f>
        <v>https://ntsu.idm.oclc.org/login?url=https://www.airitibooks.com/Detail/Detail?PublicationID=P20131220092</v>
      </c>
    </row>
    <row r="4594" spans="1:11" ht="51" x14ac:dyDescent="0.4">
      <c r="A4594" s="10" t="s">
        <v>1168</v>
      </c>
      <c r="B4594" s="10" t="s">
        <v>1169</v>
      </c>
      <c r="C4594" s="10" t="s">
        <v>1170</v>
      </c>
      <c r="D4594" s="10" t="s">
        <v>1171</v>
      </c>
      <c r="E4594" s="10" t="s">
        <v>64</v>
      </c>
      <c r="F4594" s="10" t="s">
        <v>1172</v>
      </c>
      <c r="G4594" s="10" t="s">
        <v>76</v>
      </c>
      <c r="H4594" s="7" t="s">
        <v>24</v>
      </c>
      <c r="I4594" s="7" t="s">
        <v>25</v>
      </c>
      <c r="J4594" s="13" t="str">
        <f>HYPERLINK("https://www.airitibooks.com/Detail/Detail?PublicationID=P20140224006", "https://www.airitibooks.com/Detail/Detail?PublicationID=P20140224006")</f>
        <v>https://www.airitibooks.com/Detail/Detail?PublicationID=P20140224006</v>
      </c>
      <c r="K4594" s="13" t="str">
        <f>HYPERLINK("https://ntsu.idm.oclc.org/login?url=https://www.airitibooks.com/Detail/Detail?PublicationID=P20140224006", "https://ntsu.idm.oclc.org/login?url=https://www.airitibooks.com/Detail/Detail?PublicationID=P20140224006")</f>
        <v>https://ntsu.idm.oclc.org/login?url=https://www.airitibooks.com/Detail/Detail?PublicationID=P20140224006</v>
      </c>
    </row>
    <row r="4595" spans="1:11" ht="51" x14ac:dyDescent="0.4">
      <c r="A4595" s="10" t="s">
        <v>1196</v>
      </c>
      <c r="B4595" s="10" t="s">
        <v>1197</v>
      </c>
      <c r="C4595" s="10" t="s">
        <v>812</v>
      </c>
      <c r="D4595" s="10" t="s">
        <v>816</v>
      </c>
      <c r="E4595" s="10" t="s">
        <v>64</v>
      </c>
      <c r="F4595" s="10" t="s">
        <v>538</v>
      </c>
      <c r="G4595" s="10" t="s">
        <v>76</v>
      </c>
      <c r="H4595" s="7" t="s">
        <v>24</v>
      </c>
      <c r="I4595" s="7" t="s">
        <v>25</v>
      </c>
      <c r="J4595" s="13" t="str">
        <f>HYPERLINK("https://www.airitibooks.com/Detail/Detail?PublicationID=P20140326056", "https://www.airitibooks.com/Detail/Detail?PublicationID=P20140326056")</f>
        <v>https://www.airitibooks.com/Detail/Detail?PublicationID=P20140326056</v>
      </c>
      <c r="K4595" s="13" t="str">
        <f>HYPERLINK("https://ntsu.idm.oclc.org/login?url=https://www.airitibooks.com/Detail/Detail?PublicationID=P20140326056", "https://ntsu.idm.oclc.org/login?url=https://www.airitibooks.com/Detail/Detail?PublicationID=P20140326056")</f>
        <v>https://ntsu.idm.oclc.org/login?url=https://www.airitibooks.com/Detail/Detail?PublicationID=P20140326056</v>
      </c>
    </row>
    <row r="4596" spans="1:11" ht="51" x14ac:dyDescent="0.4">
      <c r="A4596" s="10" t="s">
        <v>1658</v>
      </c>
      <c r="B4596" s="10" t="s">
        <v>1659</v>
      </c>
      <c r="C4596" s="10" t="s">
        <v>1660</v>
      </c>
      <c r="D4596" s="10" t="s">
        <v>1661</v>
      </c>
      <c r="E4596" s="10" t="s">
        <v>64</v>
      </c>
      <c r="F4596" s="10" t="s">
        <v>580</v>
      </c>
      <c r="G4596" s="10" t="s">
        <v>76</v>
      </c>
      <c r="H4596" s="7" t="s">
        <v>24</v>
      </c>
      <c r="I4596" s="7" t="s">
        <v>25</v>
      </c>
      <c r="J4596" s="13" t="str">
        <f>HYPERLINK("https://www.airitibooks.com/Detail/Detail?PublicationID=P20141106018", "https://www.airitibooks.com/Detail/Detail?PublicationID=P20141106018")</f>
        <v>https://www.airitibooks.com/Detail/Detail?PublicationID=P20141106018</v>
      </c>
      <c r="K4596" s="13" t="str">
        <f>HYPERLINK("https://ntsu.idm.oclc.org/login?url=https://www.airitibooks.com/Detail/Detail?PublicationID=P20141106018", "https://ntsu.idm.oclc.org/login?url=https://www.airitibooks.com/Detail/Detail?PublicationID=P20141106018")</f>
        <v>https://ntsu.idm.oclc.org/login?url=https://www.airitibooks.com/Detail/Detail?PublicationID=P20141106018</v>
      </c>
    </row>
    <row r="4597" spans="1:11" ht="51" x14ac:dyDescent="0.4">
      <c r="A4597" s="10" t="s">
        <v>2144</v>
      </c>
      <c r="B4597" s="10" t="s">
        <v>2145</v>
      </c>
      <c r="C4597" s="10" t="s">
        <v>2146</v>
      </c>
      <c r="D4597" s="10" t="s">
        <v>2147</v>
      </c>
      <c r="E4597" s="10" t="s">
        <v>64</v>
      </c>
      <c r="F4597" s="10" t="s">
        <v>2148</v>
      </c>
      <c r="G4597" s="10" t="s">
        <v>76</v>
      </c>
      <c r="H4597" s="7" t="s">
        <v>24</v>
      </c>
      <c r="I4597" s="7" t="s">
        <v>25</v>
      </c>
      <c r="J4597" s="13" t="str">
        <f>HYPERLINK("https://www.airitibooks.com/Detail/Detail?PublicationID=P20150310040", "https://www.airitibooks.com/Detail/Detail?PublicationID=P20150310040")</f>
        <v>https://www.airitibooks.com/Detail/Detail?PublicationID=P20150310040</v>
      </c>
      <c r="K4597" s="13" t="str">
        <f>HYPERLINK("https://ntsu.idm.oclc.org/login?url=https://www.airitibooks.com/Detail/Detail?PublicationID=P20150310040", "https://ntsu.idm.oclc.org/login?url=https://www.airitibooks.com/Detail/Detail?PublicationID=P20150310040")</f>
        <v>https://ntsu.idm.oclc.org/login?url=https://www.airitibooks.com/Detail/Detail?PublicationID=P20150310040</v>
      </c>
    </row>
    <row r="4598" spans="1:11" ht="51" x14ac:dyDescent="0.4">
      <c r="A4598" s="10" t="s">
        <v>2306</v>
      </c>
      <c r="B4598" s="10" t="s">
        <v>2307</v>
      </c>
      <c r="C4598" s="10" t="s">
        <v>2299</v>
      </c>
      <c r="D4598" s="10" t="s">
        <v>2308</v>
      </c>
      <c r="E4598" s="10" t="s">
        <v>64</v>
      </c>
      <c r="F4598" s="10" t="s">
        <v>2309</v>
      </c>
      <c r="G4598" s="10" t="s">
        <v>76</v>
      </c>
      <c r="H4598" s="7" t="s">
        <v>24</v>
      </c>
      <c r="I4598" s="7" t="s">
        <v>25</v>
      </c>
      <c r="J4598" s="13" t="str">
        <f>HYPERLINK("https://www.airitibooks.com/Detail/Detail?PublicationID=P20150330035", "https://www.airitibooks.com/Detail/Detail?PublicationID=P20150330035")</f>
        <v>https://www.airitibooks.com/Detail/Detail?PublicationID=P20150330035</v>
      </c>
      <c r="K4598" s="13" t="str">
        <f>HYPERLINK("https://ntsu.idm.oclc.org/login?url=https://www.airitibooks.com/Detail/Detail?PublicationID=P20150330035", "https://ntsu.idm.oclc.org/login?url=https://www.airitibooks.com/Detail/Detail?PublicationID=P20150330035")</f>
        <v>https://ntsu.idm.oclc.org/login?url=https://www.airitibooks.com/Detail/Detail?PublicationID=P20150330035</v>
      </c>
    </row>
    <row r="4599" spans="1:11" ht="51" x14ac:dyDescent="0.4">
      <c r="A4599" s="10" t="s">
        <v>2310</v>
      </c>
      <c r="B4599" s="10" t="s">
        <v>2311</v>
      </c>
      <c r="C4599" s="10" t="s">
        <v>1982</v>
      </c>
      <c r="D4599" s="10" t="s">
        <v>2312</v>
      </c>
      <c r="E4599" s="10" t="s">
        <v>64</v>
      </c>
      <c r="F4599" s="10" t="s">
        <v>2313</v>
      </c>
      <c r="G4599" s="10" t="s">
        <v>76</v>
      </c>
      <c r="H4599" s="7" t="s">
        <v>24</v>
      </c>
      <c r="I4599" s="7" t="s">
        <v>25</v>
      </c>
      <c r="J4599" s="13" t="str">
        <f>HYPERLINK("https://www.airitibooks.com/Detail/Detail?PublicationID=P20150409013", "https://www.airitibooks.com/Detail/Detail?PublicationID=P20150409013")</f>
        <v>https://www.airitibooks.com/Detail/Detail?PublicationID=P20150409013</v>
      </c>
      <c r="K4599" s="13" t="str">
        <f>HYPERLINK("https://ntsu.idm.oclc.org/login?url=https://www.airitibooks.com/Detail/Detail?PublicationID=P20150409013", "https://ntsu.idm.oclc.org/login?url=https://www.airitibooks.com/Detail/Detail?PublicationID=P20150409013")</f>
        <v>https://ntsu.idm.oclc.org/login?url=https://www.airitibooks.com/Detail/Detail?PublicationID=P20150409013</v>
      </c>
    </row>
    <row r="4600" spans="1:11" ht="51" x14ac:dyDescent="0.4">
      <c r="A4600" s="10" t="s">
        <v>2320</v>
      </c>
      <c r="B4600" s="10" t="s">
        <v>2321</v>
      </c>
      <c r="C4600" s="10" t="s">
        <v>1982</v>
      </c>
      <c r="D4600" s="10" t="s">
        <v>2319</v>
      </c>
      <c r="E4600" s="10" t="s">
        <v>64</v>
      </c>
      <c r="F4600" s="10" t="s">
        <v>2313</v>
      </c>
      <c r="G4600" s="10" t="s">
        <v>76</v>
      </c>
      <c r="H4600" s="7" t="s">
        <v>24</v>
      </c>
      <c r="I4600" s="7" t="s">
        <v>25</v>
      </c>
      <c r="J4600" s="13" t="str">
        <f>HYPERLINK("https://www.airitibooks.com/Detail/Detail?PublicationID=P20150409016", "https://www.airitibooks.com/Detail/Detail?PublicationID=P20150409016")</f>
        <v>https://www.airitibooks.com/Detail/Detail?PublicationID=P20150409016</v>
      </c>
      <c r="K4600" s="13" t="str">
        <f>HYPERLINK("https://ntsu.idm.oclc.org/login?url=https://www.airitibooks.com/Detail/Detail?PublicationID=P20150409016", "https://ntsu.idm.oclc.org/login?url=https://www.airitibooks.com/Detail/Detail?PublicationID=P20150409016")</f>
        <v>https://ntsu.idm.oclc.org/login?url=https://www.airitibooks.com/Detail/Detail?PublicationID=P20150409016</v>
      </c>
    </row>
    <row r="4601" spans="1:11" ht="51" x14ac:dyDescent="0.4">
      <c r="A4601" s="10" t="s">
        <v>2742</v>
      </c>
      <c r="B4601" s="10" t="s">
        <v>2743</v>
      </c>
      <c r="C4601" s="10" t="s">
        <v>2731</v>
      </c>
      <c r="D4601" s="10" t="s">
        <v>2744</v>
      </c>
      <c r="E4601" s="10" t="s">
        <v>64</v>
      </c>
      <c r="F4601" s="10" t="s">
        <v>2745</v>
      </c>
      <c r="G4601" s="10" t="s">
        <v>76</v>
      </c>
      <c r="H4601" s="7" t="s">
        <v>24</v>
      </c>
      <c r="I4601" s="7" t="s">
        <v>25</v>
      </c>
      <c r="J4601" s="13" t="str">
        <f>HYPERLINK("https://www.airitibooks.com/Detail/Detail?PublicationID=P20150624141", "https://www.airitibooks.com/Detail/Detail?PublicationID=P20150624141")</f>
        <v>https://www.airitibooks.com/Detail/Detail?PublicationID=P20150624141</v>
      </c>
      <c r="K4601" s="13" t="str">
        <f>HYPERLINK("https://ntsu.idm.oclc.org/login?url=https://www.airitibooks.com/Detail/Detail?PublicationID=P20150624141", "https://ntsu.idm.oclc.org/login?url=https://www.airitibooks.com/Detail/Detail?PublicationID=P20150624141")</f>
        <v>https://ntsu.idm.oclc.org/login?url=https://www.airitibooks.com/Detail/Detail?PublicationID=P20150624141</v>
      </c>
    </row>
    <row r="4602" spans="1:11" ht="51" x14ac:dyDescent="0.4">
      <c r="A4602" s="10" t="s">
        <v>3728</v>
      </c>
      <c r="B4602" s="10" t="s">
        <v>3729</v>
      </c>
      <c r="C4602" s="10" t="s">
        <v>3705</v>
      </c>
      <c r="D4602" s="10" t="s">
        <v>3730</v>
      </c>
      <c r="E4602" s="10" t="s">
        <v>64</v>
      </c>
      <c r="F4602" s="10" t="s">
        <v>3731</v>
      </c>
      <c r="G4602" s="10" t="s">
        <v>76</v>
      </c>
      <c r="H4602" s="7" t="s">
        <v>24</v>
      </c>
      <c r="I4602" s="7" t="s">
        <v>25</v>
      </c>
      <c r="J4602" s="13" t="str">
        <f>HYPERLINK("https://www.airitibooks.com/Detail/Detail?PublicationID=P20151020384", "https://www.airitibooks.com/Detail/Detail?PublicationID=P20151020384")</f>
        <v>https://www.airitibooks.com/Detail/Detail?PublicationID=P20151020384</v>
      </c>
      <c r="K4602" s="13" t="str">
        <f>HYPERLINK("https://ntsu.idm.oclc.org/login?url=https://www.airitibooks.com/Detail/Detail?PublicationID=P20151020384", "https://ntsu.idm.oclc.org/login?url=https://www.airitibooks.com/Detail/Detail?PublicationID=P20151020384")</f>
        <v>https://ntsu.idm.oclc.org/login?url=https://www.airitibooks.com/Detail/Detail?PublicationID=P20151020384</v>
      </c>
    </row>
    <row r="4603" spans="1:11" ht="51" x14ac:dyDescent="0.4">
      <c r="A4603" s="10" t="s">
        <v>3746</v>
      </c>
      <c r="B4603" s="10" t="s">
        <v>3747</v>
      </c>
      <c r="C4603" s="10" t="s">
        <v>3705</v>
      </c>
      <c r="D4603" s="10" t="s">
        <v>3748</v>
      </c>
      <c r="E4603" s="10" t="s">
        <v>64</v>
      </c>
      <c r="F4603" s="10" t="s">
        <v>3749</v>
      </c>
      <c r="G4603" s="10" t="s">
        <v>76</v>
      </c>
      <c r="H4603" s="7" t="s">
        <v>24</v>
      </c>
      <c r="I4603" s="7" t="s">
        <v>25</v>
      </c>
      <c r="J4603" s="13" t="str">
        <f>HYPERLINK("https://www.airitibooks.com/Detail/Detail?PublicationID=P20151020392", "https://www.airitibooks.com/Detail/Detail?PublicationID=P20151020392")</f>
        <v>https://www.airitibooks.com/Detail/Detail?PublicationID=P20151020392</v>
      </c>
      <c r="K4603" s="13" t="str">
        <f>HYPERLINK("https://ntsu.idm.oclc.org/login?url=https://www.airitibooks.com/Detail/Detail?PublicationID=P20151020392", "https://ntsu.idm.oclc.org/login?url=https://www.airitibooks.com/Detail/Detail?PublicationID=P20151020392")</f>
        <v>https://ntsu.idm.oclc.org/login?url=https://www.airitibooks.com/Detail/Detail?PublicationID=P20151020392</v>
      </c>
    </row>
    <row r="4604" spans="1:11" ht="85" x14ac:dyDescent="0.4">
      <c r="A4604" s="10" t="s">
        <v>3750</v>
      </c>
      <c r="B4604" s="10" t="s">
        <v>3751</v>
      </c>
      <c r="C4604" s="10" t="s">
        <v>3705</v>
      </c>
      <c r="D4604" s="10" t="s">
        <v>3752</v>
      </c>
      <c r="E4604" s="10" t="s">
        <v>64</v>
      </c>
      <c r="F4604" s="10" t="s">
        <v>3749</v>
      </c>
      <c r="G4604" s="10" t="s">
        <v>76</v>
      </c>
      <c r="H4604" s="7" t="s">
        <v>24</v>
      </c>
      <c r="I4604" s="7" t="s">
        <v>25</v>
      </c>
      <c r="J4604" s="13" t="str">
        <f>HYPERLINK("https://www.airitibooks.com/Detail/Detail?PublicationID=P20151020395", "https://www.airitibooks.com/Detail/Detail?PublicationID=P20151020395")</f>
        <v>https://www.airitibooks.com/Detail/Detail?PublicationID=P20151020395</v>
      </c>
      <c r="K4604" s="13" t="str">
        <f>HYPERLINK("https://ntsu.idm.oclc.org/login?url=https://www.airitibooks.com/Detail/Detail?PublicationID=P20151020395", "https://ntsu.idm.oclc.org/login?url=https://www.airitibooks.com/Detail/Detail?PublicationID=P20151020395")</f>
        <v>https://ntsu.idm.oclc.org/login?url=https://www.airitibooks.com/Detail/Detail?PublicationID=P20151020395</v>
      </c>
    </row>
    <row r="4605" spans="1:11" ht="51" x14ac:dyDescent="0.4">
      <c r="A4605" s="10" t="s">
        <v>4924</v>
      </c>
      <c r="B4605" s="10" t="s">
        <v>4925</v>
      </c>
      <c r="C4605" s="10" t="s">
        <v>1034</v>
      </c>
      <c r="D4605" s="10" t="s">
        <v>4926</v>
      </c>
      <c r="E4605" s="10" t="s">
        <v>64</v>
      </c>
      <c r="F4605" s="10" t="s">
        <v>4927</v>
      </c>
      <c r="G4605" s="10" t="s">
        <v>76</v>
      </c>
      <c r="H4605" s="7" t="s">
        <v>24</v>
      </c>
      <c r="I4605" s="7" t="s">
        <v>25</v>
      </c>
      <c r="J4605" s="13" t="str">
        <f>HYPERLINK("https://www.airitibooks.com/Detail/Detail?PublicationID=P20160715259", "https://www.airitibooks.com/Detail/Detail?PublicationID=P20160715259")</f>
        <v>https://www.airitibooks.com/Detail/Detail?PublicationID=P20160715259</v>
      </c>
      <c r="K4605" s="13" t="str">
        <f>HYPERLINK("https://ntsu.idm.oclc.org/login?url=https://www.airitibooks.com/Detail/Detail?PublicationID=P20160715259", "https://ntsu.idm.oclc.org/login?url=https://www.airitibooks.com/Detail/Detail?PublicationID=P20160715259")</f>
        <v>https://ntsu.idm.oclc.org/login?url=https://www.airitibooks.com/Detail/Detail?PublicationID=P20160715259</v>
      </c>
    </row>
    <row r="4606" spans="1:11" ht="51" x14ac:dyDescent="0.4">
      <c r="A4606" s="10" t="s">
        <v>4931</v>
      </c>
      <c r="B4606" s="10" t="s">
        <v>4932</v>
      </c>
      <c r="C4606" s="10" t="s">
        <v>1034</v>
      </c>
      <c r="D4606" s="10" t="s">
        <v>4926</v>
      </c>
      <c r="E4606" s="10" t="s">
        <v>64</v>
      </c>
      <c r="F4606" s="10" t="s">
        <v>4933</v>
      </c>
      <c r="G4606" s="10" t="s">
        <v>76</v>
      </c>
      <c r="H4606" s="7" t="s">
        <v>24</v>
      </c>
      <c r="I4606" s="7" t="s">
        <v>25</v>
      </c>
      <c r="J4606" s="13" t="str">
        <f>HYPERLINK("https://www.airitibooks.com/Detail/Detail?PublicationID=P20160715265", "https://www.airitibooks.com/Detail/Detail?PublicationID=P20160715265")</f>
        <v>https://www.airitibooks.com/Detail/Detail?PublicationID=P20160715265</v>
      </c>
      <c r="K4606" s="13" t="str">
        <f>HYPERLINK("https://ntsu.idm.oclc.org/login?url=https://www.airitibooks.com/Detail/Detail?PublicationID=P20160715265", "https://ntsu.idm.oclc.org/login?url=https://www.airitibooks.com/Detail/Detail?PublicationID=P20160715265")</f>
        <v>https://ntsu.idm.oclc.org/login?url=https://www.airitibooks.com/Detail/Detail?PublicationID=P20160715265</v>
      </c>
    </row>
    <row r="4607" spans="1:11" ht="51" x14ac:dyDescent="0.4">
      <c r="A4607" s="10" t="s">
        <v>4955</v>
      </c>
      <c r="B4607" s="10" t="s">
        <v>4956</v>
      </c>
      <c r="C4607" s="10" t="s">
        <v>1034</v>
      </c>
      <c r="D4607" s="10" t="s">
        <v>1035</v>
      </c>
      <c r="E4607" s="10" t="s">
        <v>64</v>
      </c>
      <c r="F4607" s="10" t="s">
        <v>2332</v>
      </c>
      <c r="G4607" s="10" t="s">
        <v>76</v>
      </c>
      <c r="H4607" s="7" t="s">
        <v>24</v>
      </c>
      <c r="I4607" s="7" t="s">
        <v>25</v>
      </c>
      <c r="J4607" s="13" t="str">
        <f>HYPERLINK("https://www.airitibooks.com/Detail/Detail?PublicationID=P20160715327", "https://www.airitibooks.com/Detail/Detail?PublicationID=P20160715327")</f>
        <v>https://www.airitibooks.com/Detail/Detail?PublicationID=P20160715327</v>
      </c>
      <c r="K4607" s="13" t="str">
        <f>HYPERLINK("https://ntsu.idm.oclc.org/login?url=https://www.airitibooks.com/Detail/Detail?PublicationID=P20160715327", "https://ntsu.idm.oclc.org/login?url=https://www.airitibooks.com/Detail/Detail?PublicationID=P20160715327")</f>
        <v>https://ntsu.idm.oclc.org/login?url=https://www.airitibooks.com/Detail/Detail?PublicationID=P20160715327</v>
      </c>
    </row>
    <row r="4608" spans="1:11" ht="51" x14ac:dyDescent="0.4">
      <c r="A4608" s="10" t="s">
        <v>5176</v>
      </c>
      <c r="B4608" s="10" t="s">
        <v>5177</v>
      </c>
      <c r="C4608" s="10" t="s">
        <v>4609</v>
      </c>
      <c r="D4608" s="10" t="s">
        <v>5178</v>
      </c>
      <c r="E4608" s="10" t="s">
        <v>64</v>
      </c>
      <c r="F4608" s="10" t="s">
        <v>5179</v>
      </c>
      <c r="G4608" s="10" t="s">
        <v>76</v>
      </c>
      <c r="H4608" s="7" t="s">
        <v>24</v>
      </c>
      <c r="I4608" s="7" t="s">
        <v>25</v>
      </c>
      <c r="J4608" s="13" t="str">
        <f>HYPERLINK("https://www.airitibooks.com/Detail/Detail?PublicationID=P20160810056", "https://www.airitibooks.com/Detail/Detail?PublicationID=P20160810056")</f>
        <v>https://www.airitibooks.com/Detail/Detail?PublicationID=P20160810056</v>
      </c>
      <c r="K4608" s="13" t="str">
        <f>HYPERLINK("https://ntsu.idm.oclc.org/login?url=https://www.airitibooks.com/Detail/Detail?PublicationID=P20160810056", "https://ntsu.idm.oclc.org/login?url=https://www.airitibooks.com/Detail/Detail?PublicationID=P20160810056")</f>
        <v>https://ntsu.idm.oclc.org/login?url=https://www.airitibooks.com/Detail/Detail?PublicationID=P20160810056</v>
      </c>
    </row>
    <row r="4609" spans="1:11" ht="51" x14ac:dyDescent="0.4">
      <c r="A4609" s="10" t="s">
        <v>6346</v>
      </c>
      <c r="B4609" s="10" t="s">
        <v>6347</v>
      </c>
      <c r="C4609" s="10" t="s">
        <v>4120</v>
      </c>
      <c r="D4609" s="10" t="s">
        <v>6348</v>
      </c>
      <c r="E4609" s="10" t="s">
        <v>64</v>
      </c>
      <c r="F4609" s="10" t="s">
        <v>6349</v>
      </c>
      <c r="G4609" s="10" t="s">
        <v>76</v>
      </c>
      <c r="H4609" s="7" t="s">
        <v>24</v>
      </c>
      <c r="I4609" s="7" t="s">
        <v>25</v>
      </c>
      <c r="J4609" s="13" t="str">
        <f>HYPERLINK("https://www.airitibooks.com/Detail/Detail?PublicationID=P20170327161", "https://www.airitibooks.com/Detail/Detail?PublicationID=P20170327161")</f>
        <v>https://www.airitibooks.com/Detail/Detail?PublicationID=P20170327161</v>
      </c>
      <c r="K4609" s="13" t="str">
        <f>HYPERLINK("https://ntsu.idm.oclc.org/login?url=https://www.airitibooks.com/Detail/Detail?PublicationID=P20170327161", "https://ntsu.idm.oclc.org/login?url=https://www.airitibooks.com/Detail/Detail?PublicationID=P20170327161")</f>
        <v>https://ntsu.idm.oclc.org/login?url=https://www.airitibooks.com/Detail/Detail?PublicationID=P20170327161</v>
      </c>
    </row>
    <row r="4610" spans="1:11" ht="51" x14ac:dyDescent="0.4">
      <c r="A4610" s="10" t="s">
        <v>15614</v>
      </c>
      <c r="B4610" s="10" t="s">
        <v>15615</v>
      </c>
      <c r="C4610" s="10" t="s">
        <v>14330</v>
      </c>
      <c r="D4610" s="10" t="s">
        <v>15616</v>
      </c>
      <c r="E4610" s="10" t="s">
        <v>64</v>
      </c>
      <c r="F4610" s="10" t="s">
        <v>632</v>
      </c>
      <c r="G4610" s="10" t="s">
        <v>76</v>
      </c>
      <c r="H4610" s="7" t="s">
        <v>1031</v>
      </c>
      <c r="I4610" s="7" t="s">
        <v>25</v>
      </c>
      <c r="J4610" s="13" t="str">
        <f>HYPERLINK("https://www.airitibooks.com/Detail/Detail?PublicationID=P20211220079", "https://www.airitibooks.com/Detail/Detail?PublicationID=P20211220079")</f>
        <v>https://www.airitibooks.com/Detail/Detail?PublicationID=P20211220079</v>
      </c>
      <c r="K4610" s="13" t="str">
        <f>HYPERLINK("https://ntsu.idm.oclc.org/login?url=https://www.airitibooks.com/Detail/Detail?PublicationID=P20211220079", "https://ntsu.idm.oclc.org/login?url=https://www.airitibooks.com/Detail/Detail?PublicationID=P20211220079")</f>
        <v>https://ntsu.idm.oclc.org/login?url=https://www.airitibooks.com/Detail/Detail?PublicationID=P20211220079</v>
      </c>
    </row>
    <row r="4611" spans="1:11" ht="85" x14ac:dyDescent="0.4">
      <c r="A4611" s="10" t="s">
        <v>1191</v>
      </c>
      <c r="B4611" s="10" t="s">
        <v>1192</v>
      </c>
      <c r="C4611" s="10" t="s">
        <v>1193</v>
      </c>
      <c r="D4611" s="10" t="s">
        <v>1194</v>
      </c>
      <c r="E4611" s="10" t="s">
        <v>64</v>
      </c>
      <c r="F4611" s="10" t="s">
        <v>1195</v>
      </c>
      <c r="G4611" s="10" t="s">
        <v>55</v>
      </c>
      <c r="H4611" s="7" t="s">
        <v>24</v>
      </c>
      <c r="I4611" s="7" t="s">
        <v>25</v>
      </c>
      <c r="J4611" s="13" t="str">
        <f>HYPERLINK("https://www.airitibooks.com/Detail/Detail?PublicationID=P20140325098", "https://www.airitibooks.com/Detail/Detail?PublicationID=P20140325098")</f>
        <v>https://www.airitibooks.com/Detail/Detail?PublicationID=P20140325098</v>
      </c>
      <c r="K4611" s="13" t="str">
        <f>HYPERLINK("https://ntsu.idm.oclc.org/login?url=https://www.airitibooks.com/Detail/Detail?PublicationID=P20140325098", "https://ntsu.idm.oclc.org/login?url=https://www.airitibooks.com/Detail/Detail?PublicationID=P20140325098")</f>
        <v>https://ntsu.idm.oclc.org/login?url=https://www.airitibooks.com/Detail/Detail?PublicationID=P20140325098</v>
      </c>
    </row>
    <row r="4612" spans="1:11" ht="51" x14ac:dyDescent="0.4">
      <c r="A4612" s="10" t="s">
        <v>1662</v>
      </c>
      <c r="B4612" s="10" t="s">
        <v>1663</v>
      </c>
      <c r="C4612" s="10" t="s">
        <v>1504</v>
      </c>
      <c r="D4612" s="10" t="s">
        <v>1664</v>
      </c>
      <c r="E4612" s="10" t="s">
        <v>64</v>
      </c>
      <c r="F4612" s="10" t="s">
        <v>1462</v>
      </c>
      <c r="G4612" s="10" t="s">
        <v>55</v>
      </c>
      <c r="H4612" s="7" t="s">
        <v>24</v>
      </c>
      <c r="I4612" s="7" t="s">
        <v>25</v>
      </c>
      <c r="J4612" s="13" t="str">
        <f>HYPERLINK("https://www.airitibooks.com/Detail/Detail?PublicationID=P20141106038", "https://www.airitibooks.com/Detail/Detail?PublicationID=P20141106038")</f>
        <v>https://www.airitibooks.com/Detail/Detail?PublicationID=P20141106038</v>
      </c>
      <c r="K4612" s="13" t="str">
        <f>HYPERLINK("https://ntsu.idm.oclc.org/login?url=https://www.airitibooks.com/Detail/Detail?PublicationID=P20141106038", "https://ntsu.idm.oclc.org/login?url=https://www.airitibooks.com/Detail/Detail?PublicationID=P20141106038")</f>
        <v>https://ntsu.idm.oclc.org/login?url=https://www.airitibooks.com/Detail/Detail?PublicationID=P20141106038</v>
      </c>
    </row>
    <row r="4613" spans="1:11" ht="51" x14ac:dyDescent="0.4">
      <c r="A4613" s="10" t="s">
        <v>2177</v>
      </c>
      <c r="B4613" s="10" t="s">
        <v>2178</v>
      </c>
      <c r="C4613" s="10" t="s">
        <v>1504</v>
      </c>
      <c r="D4613" s="10" t="s">
        <v>2179</v>
      </c>
      <c r="E4613" s="10" t="s">
        <v>64</v>
      </c>
      <c r="F4613" s="10" t="s">
        <v>2180</v>
      </c>
      <c r="G4613" s="10" t="s">
        <v>55</v>
      </c>
      <c r="H4613" s="7" t="s">
        <v>24</v>
      </c>
      <c r="I4613" s="7" t="s">
        <v>25</v>
      </c>
      <c r="J4613" s="13" t="str">
        <f>HYPERLINK("https://www.airitibooks.com/Detail/Detail?PublicationID=P20150318024", "https://www.airitibooks.com/Detail/Detail?PublicationID=P20150318024")</f>
        <v>https://www.airitibooks.com/Detail/Detail?PublicationID=P20150318024</v>
      </c>
      <c r="K4613" s="13" t="str">
        <f>HYPERLINK("https://ntsu.idm.oclc.org/login?url=https://www.airitibooks.com/Detail/Detail?PublicationID=P20150318024", "https://ntsu.idm.oclc.org/login?url=https://www.airitibooks.com/Detail/Detail?PublicationID=P20150318024")</f>
        <v>https://ntsu.idm.oclc.org/login?url=https://www.airitibooks.com/Detail/Detail?PublicationID=P20150318024</v>
      </c>
    </row>
    <row r="4614" spans="1:11" ht="51" x14ac:dyDescent="0.4">
      <c r="A4614" s="10" t="s">
        <v>2181</v>
      </c>
      <c r="B4614" s="10" t="s">
        <v>2182</v>
      </c>
      <c r="C4614" s="10" t="s">
        <v>1504</v>
      </c>
      <c r="D4614" s="10" t="s">
        <v>2183</v>
      </c>
      <c r="E4614" s="10" t="s">
        <v>64</v>
      </c>
      <c r="F4614" s="10" t="s">
        <v>2184</v>
      </c>
      <c r="G4614" s="10" t="s">
        <v>55</v>
      </c>
      <c r="H4614" s="7" t="s">
        <v>24</v>
      </c>
      <c r="I4614" s="7" t="s">
        <v>25</v>
      </c>
      <c r="J4614" s="13" t="str">
        <f>HYPERLINK("https://www.airitibooks.com/Detail/Detail?PublicationID=P20150318027", "https://www.airitibooks.com/Detail/Detail?PublicationID=P20150318027")</f>
        <v>https://www.airitibooks.com/Detail/Detail?PublicationID=P20150318027</v>
      </c>
      <c r="K4614" s="13" t="str">
        <f>HYPERLINK("https://ntsu.idm.oclc.org/login?url=https://www.airitibooks.com/Detail/Detail?PublicationID=P20150318027", "https://ntsu.idm.oclc.org/login?url=https://www.airitibooks.com/Detail/Detail?PublicationID=P20150318027")</f>
        <v>https://ntsu.idm.oclc.org/login?url=https://www.airitibooks.com/Detail/Detail?PublicationID=P20150318027</v>
      </c>
    </row>
    <row r="4615" spans="1:11" ht="85" x14ac:dyDescent="0.4">
      <c r="A4615" s="10" t="s">
        <v>2185</v>
      </c>
      <c r="B4615" s="10" t="s">
        <v>2186</v>
      </c>
      <c r="C4615" s="10" t="s">
        <v>1504</v>
      </c>
      <c r="D4615" s="10" t="s">
        <v>2187</v>
      </c>
      <c r="E4615" s="10" t="s">
        <v>64</v>
      </c>
      <c r="F4615" s="10" t="s">
        <v>2188</v>
      </c>
      <c r="G4615" s="10" t="s">
        <v>55</v>
      </c>
      <c r="H4615" s="7" t="s">
        <v>24</v>
      </c>
      <c r="I4615" s="7" t="s">
        <v>25</v>
      </c>
      <c r="J4615" s="13" t="str">
        <f>HYPERLINK("https://www.airitibooks.com/Detail/Detail?PublicationID=P20150318033", "https://www.airitibooks.com/Detail/Detail?PublicationID=P20150318033")</f>
        <v>https://www.airitibooks.com/Detail/Detail?PublicationID=P20150318033</v>
      </c>
      <c r="K4615" s="13" t="str">
        <f>HYPERLINK("https://ntsu.idm.oclc.org/login?url=https://www.airitibooks.com/Detail/Detail?PublicationID=P20150318033", "https://ntsu.idm.oclc.org/login?url=https://www.airitibooks.com/Detail/Detail?PublicationID=P20150318033")</f>
        <v>https://ntsu.idm.oclc.org/login?url=https://www.airitibooks.com/Detail/Detail?PublicationID=P20150318033</v>
      </c>
    </row>
    <row r="4616" spans="1:11" ht="51" x14ac:dyDescent="0.4">
      <c r="A4616" s="10" t="s">
        <v>2189</v>
      </c>
      <c r="B4616" s="10" t="s">
        <v>2190</v>
      </c>
      <c r="C4616" s="10" t="s">
        <v>1504</v>
      </c>
      <c r="D4616" s="10" t="s">
        <v>1509</v>
      </c>
      <c r="E4616" s="10" t="s">
        <v>64</v>
      </c>
      <c r="F4616" s="10" t="s">
        <v>2191</v>
      </c>
      <c r="G4616" s="10" t="s">
        <v>55</v>
      </c>
      <c r="H4616" s="7" t="s">
        <v>24</v>
      </c>
      <c r="I4616" s="7" t="s">
        <v>25</v>
      </c>
      <c r="J4616" s="13" t="str">
        <f>HYPERLINK("https://www.airitibooks.com/Detail/Detail?PublicationID=P20150318034", "https://www.airitibooks.com/Detail/Detail?PublicationID=P20150318034")</f>
        <v>https://www.airitibooks.com/Detail/Detail?PublicationID=P20150318034</v>
      </c>
      <c r="K4616" s="13" t="str">
        <f>HYPERLINK("https://ntsu.idm.oclc.org/login?url=https://www.airitibooks.com/Detail/Detail?PublicationID=P20150318034", "https://ntsu.idm.oclc.org/login?url=https://www.airitibooks.com/Detail/Detail?PublicationID=P20150318034")</f>
        <v>https://ntsu.idm.oclc.org/login?url=https://www.airitibooks.com/Detail/Detail?PublicationID=P20150318034</v>
      </c>
    </row>
    <row r="4617" spans="1:11" ht="51" x14ac:dyDescent="0.4">
      <c r="A4617" s="10" t="s">
        <v>2192</v>
      </c>
      <c r="B4617" s="10" t="s">
        <v>2193</v>
      </c>
      <c r="C4617" s="10" t="s">
        <v>1504</v>
      </c>
      <c r="D4617" s="10" t="s">
        <v>2194</v>
      </c>
      <c r="E4617" s="10" t="s">
        <v>64</v>
      </c>
      <c r="F4617" s="10" t="s">
        <v>2176</v>
      </c>
      <c r="G4617" s="10" t="s">
        <v>55</v>
      </c>
      <c r="H4617" s="7" t="s">
        <v>24</v>
      </c>
      <c r="I4617" s="7" t="s">
        <v>25</v>
      </c>
      <c r="J4617" s="13" t="str">
        <f>HYPERLINK("https://www.airitibooks.com/Detail/Detail?PublicationID=P20150318035", "https://www.airitibooks.com/Detail/Detail?PublicationID=P20150318035")</f>
        <v>https://www.airitibooks.com/Detail/Detail?PublicationID=P20150318035</v>
      </c>
      <c r="K4617" s="13" t="str">
        <f>HYPERLINK("https://ntsu.idm.oclc.org/login?url=https://www.airitibooks.com/Detail/Detail?PublicationID=P20150318035", "https://ntsu.idm.oclc.org/login?url=https://www.airitibooks.com/Detail/Detail?PublicationID=P20150318035")</f>
        <v>https://ntsu.idm.oclc.org/login?url=https://www.airitibooks.com/Detail/Detail?PublicationID=P20150318035</v>
      </c>
    </row>
    <row r="4618" spans="1:11" ht="51" x14ac:dyDescent="0.4">
      <c r="A4618" s="10" t="s">
        <v>4921</v>
      </c>
      <c r="B4618" s="10" t="s">
        <v>4922</v>
      </c>
      <c r="C4618" s="10" t="s">
        <v>4903</v>
      </c>
      <c r="D4618" s="10" t="s">
        <v>4923</v>
      </c>
      <c r="E4618" s="10" t="s">
        <v>64</v>
      </c>
      <c r="F4618" s="10" t="s">
        <v>1462</v>
      </c>
      <c r="G4618" s="10" t="s">
        <v>55</v>
      </c>
      <c r="H4618" s="7" t="s">
        <v>24</v>
      </c>
      <c r="I4618" s="7" t="s">
        <v>25</v>
      </c>
      <c r="J4618" s="13" t="str">
        <f>HYPERLINK("https://www.airitibooks.com/Detail/Detail?PublicationID=P20160715256", "https://www.airitibooks.com/Detail/Detail?PublicationID=P20160715256")</f>
        <v>https://www.airitibooks.com/Detail/Detail?PublicationID=P20160715256</v>
      </c>
      <c r="K4618" s="13" t="str">
        <f>HYPERLINK("https://ntsu.idm.oclc.org/login?url=https://www.airitibooks.com/Detail/Detail?PublicationID=P20160715256", "https://ntsu.idm.oclc.org/login?url=https://www.airitibooks.com/Detail/Detail?PublicationID=P20160715256")</f>
        <v>https://ntsu.idm.oclc.org/login?url=https://www.airitibooks.com/Detail/Detail?PublicationID=P20160715256</v>
      </c>
    </row>
    <row r="4619" spans="1:11" ht="51" x14ac:dyDescent="0.4">
      <c r="A4619" s="10" t="s">
        <v>4999</v>
      </c>
      <c r="B4619" s="10" t="s">
        <v>5000</v>
      </c>
      <c r="C4619" s="10" t="s">
        <v>1504</v>
      </c>
      <c r="D4619" s="10" t="s">
        <v>1664</v>
      </c>
      <c r="E4619" s="10" t="s">
        <v>64</v>
      </c>
      <c r="F4619" s="10" t="s">
        <v>2205</v>
      </c>
      <c r="G4619" s="10" t="s">
        <v>55</v>
      </c>
      <c r="H4619" s="7" t="s">
        <v>24</v>
      </c>
      <c r="I4619" s="7" t="s">
        <v>25</v>
      </c>
      <c r="J4619" s="13" t="str">
        <f>HYPERLINK("https://www.airitibooks.com/Detail/Detail?PublicationID=P20160723075", "https://www.airitibooks.com/Detail/Detail?PublicationID=P20160723075")</f>
        <v>https://www.airitibooks.com/Detail/Detail?PublicationID=P20160723075</v>
      </c>
      <c r="K4619" s="13" t="str">
        <f>HYPERLINK("https://ntsu.idm.oclc.org/login?url=https://www.airitibooks.com/Detail/Detail?PublicationID=P20160723075", "https://ntsu.idm.oclc.org/login?url=https://www.airitibooks.com/Detail/Detail?PublicationID=P20160723075")</f>
        <v>https://ntsu.idm.oclc.org/login?url=https://www.airitibooks.com/Detail/Detail?PublicationID=P20160723075</v>
      </c>
    </row>
    <row r="4620" spans="1:11" ht="102" x14ac:dyDescent="0.4">
      <c r="A4620" s="10" t="s">
        <v>5001</v>
      </c>
      <c r="B4620" s="10" t="s">
        <v>5002</v>
      </c>
      <c r="C4620" s="10" t="s">
        <v>1504</v>
      </c>
      <c r="D4620" s="10" t="s">
        <v>5003</v>
      </c>
      <c r="E4620" s="10" t="s">
        <v>64</v>
      </c>
      <c r="F4620" s="10" t="s">
        <v>2205</v>
      </c>
      <c r="G4620" s="10" t="s">
        <v>55</v>
      </c>
      <c r="H4620" s="7" t="s">
        <v>24</v>
      </c>
      <c r="I4620" s="7" t="s">
        <v>25</v>
      </c>
      <c r="J4620" s="13" t="str">
        <f>HYPERLINK("https://www.airitibooks.com/Detail/Detail?PublicationID=P20160723076", "https://www.airitibooks.com/Detail/Detail?PublicationID=P20160723076")</f>
        <v>https://www.airitibooks.com/Detail/Detail?PublicationID=P20160723076</v>
      </c>
      <c r="K4620" s="13" t="str">
        <f>HYPERLINK("https://ntsu.idm.oclc.org/login?url=https://www.airitibooks.com/Detail/Detail?PublicationID=P20160723076", "https://ntsu.idm.oclc.org/login?url=https://www.airitibooks.com/Detail/Detail?PublicationID=P20160723076")</f>
        <v>https://ntsu.idm.oclc.org/login?url=https://www.airitibooks.com/Detail/Detail?PublicationID=P20160723076</v>
      </c>
    </row>
    <row r="4621" spans="1:11" ht="68" x14ac:dyDescent="0.4">
      <c r="A4621" s="10" t="s">
        <v>6537</v>
      </c>
      <c r="B4621" s="10" t="s">
        <v>6538</v>
      </c>
      <c r="C4621" s="10" t="s">
        <v>1504</v>
      </c>
      <c r="D4621" s="10" t="s">
        <v>6539</v>
      </c>
      <c r="E4621" s="10" t="s">
        <v>64</v>
      </c>
      <c r="F4621" s="10" t="s">
        <v>2211</v>
      </c>
      <c r="G4621" s="10" t="s">
        <v>55</v>
      </c>
      <c r="H4621" s="7" t="s">
        <v>24</v>
      </c>
      <c r="I4621" s="7" t="s">
        <v>25</v>
      </c>
      <c r="J4621" s="13" t="str">
        <f>HYPERLINK("https://www.airitibooks.com/Detail/Detail?PublicationID=P20170502092", "https://www.airitibooks.com/Detail/Detail?PublicationID=P20170502092")</f>
        <v>https://www.airitibooks.com/Detail/Detail?PublicationID=P20170502092</v>
      </c>
      <c r="K4621" s="13" t="str">
        <f>HYPERLINK("https://ntsu.idm.oclc.org/login?url=https://www.airitibooks.com/Detail/Detail?PublicationID=P20170502092", "https://ntsu.idm.oclc.org/login?url=https://www.airitibooks.com/Detail/Detail?PublicationID=P20170502092")</f>
        <v>https://ntsu.idm.oclc.org/login?url=https://www.airitibooks.com/Detail/Detail?PublicationID=P20170502092</v>
      </c>
    </row>
    <row r="4622" spans="1:11" ht="85" x14ac:dyDescent="0.4">
      <c r="A4622" s="10" t="s">
        <v>6540</v>
      </c>
      <c r="B4622" s="10" t="s">
        <v>6541</v>
      </c>
      <c r="C4622" s="10" t="s">
        <v>1504</v>
      </c>
      <c r="D4622" s="10" t="s">
        <v>6542</v>
      </c>
      <c r="E4622" s="10" t="s">
        <v>64</v>
      </c>
      <c r="F4622" s="10" t="s">
        <v>2205</v>
      </c>
      <c r="G4622" s="10" t="s">
        <v>55</v>
      </c>
      <c r="H4622" s="7" t="s">
        <v>24</v>
      </c>
      <c r="I4622" s="7" t="s">
        <v>25</v>
      </c>
      <c r="J4622" s="13" t="str">
        <f>HYPERLINK("https://www.airitibooks.com/Detail/Detail?PublicationID=P20170502104", "https://www.airitibooks.com/Detail/Detail?PublicationID=P20170502104")</f>
        <v>https://www.airitibooks.com/Detail/Detail?PublicationID=P20170502104</v>
      </c>
      <c r="K4622" s="13" t="str">
        <f>HYPERLINK("https://ntsu.idm.oclc.org/login?url=https://www.airitibooks.com/Detail/Detail?PublicationID=P20170502104", "https://ntsu.idm.oclc.org/login?url=https://www.airitibooks.com/Detail/Detail?PublicationID=P20170502104")</f>
        <v>https://ntsu.idm.oclc.org/login?url=https://www.airitibooks.com/Detail/Detail?PublicationID=P20170502104</v>
      </c>
    </row>
    <row r="4623" spans="1:11" ht="85" x14ac:dyDescent="0.4">
      <c r="A4623" s="10" t="s">
        <v>6543</v>
      </c>
      <c r="B4623" s="10" t="s">
        <v>6544</v>
      </c>
      <c r="C4623" s="10" t="s">
        <v>1504</v>
      </c>
      <c r="D4623" s="10" t="s">
        <v>6539</v>
      </c>
      <c r="E4623" s="10" t="s">
        <v>64</v>
      </c>
      <c r="F4623" s="10" t="s">
        <v>2180</v>
      </c>
      <c r="G4623" s="10" t="s">
        <v>55</v>
      </c>
      <c r="H4623" s="7" t="s">
        <v>24</v>
      </c>
      <c r="I4623" s="7" t="s">
        <v>25</v>
      </c>
      <c r="J4623" s="13" t="str">
        <f>HYPERLINK("https://www.airitibooks.com/Detail/Detail?PublicationID=P20170502108", "https://www.airitibooks.com/Detail/Detail?PublicationID=P20170502108")</f>
        <v>https://www.airitibooks.com/Detail/Detail?PublicationID=P20170502108</v>
      </c>
      <c r="K4623" s="13" t="str">
        <f>HYPERLINK("https://ntsu.idm.oclc.org/login?url=https://www.airitibooks.com/Detail/Detail?PublicationID=P20170502108", "https://ntsu.idm.oclc.org/login?url=https://www.airitibooks.com/Detail/Detail?PublicationID=P20170502108")</f>
        <v>https://ntsu.idm.oclc.org/login?url=https://www.airitibooks.com/Detail/Detail?PublicationID=P20170502108</v>
      </c>
    </row>
    <row r="4624" spans="1:11" ht="68" x14ac:dyDescent="0.4">
      <c r="A4624" s="10" t="s">
        <v>12527</v>
      </c>
      <c r="B4624" s="10" t="s">
        <v>15617</v>
      </c>
      <c r="C4624" s="10" t="s">
        <v>14330</v>
      </c>
      <c r="D4624" s="10" t="s">
        <v>12529</v>
      </c>
      <c r="E4624" s="10" t="s">
        <v>64</v>
      </c>
      <c r="F4624" s="10" t="s">
        <v>13119</v>
      </c>
      <c r="G4624" s="10" t="s">
        <v>55</v>
      </c>
      <c r="H4624" s="7" t="s">
        <v>1031</v>
      </c>
      <c r="I4624" s="7" t="s">
        <v>25</v>
      </c>
      <c r="J4624" s="13" t="str">
        <f>HYPERLINK("https://www.airitibooks.com/Detail/Detail?PublicationID=P20211220080", "https://www.airitibooks.com/Detail/Detail?PublicationID=P20211220080")</f>
        <v>https://www.airitibooks.com/Detail/Detail?PublicationID=P20211220080</v>
      </c>
      <c r="K4624" s="13" t="str">
        <f>HYPERLINK("https://ntsu.idm.oclc.org/login?url=https://www.airitibooks.com/Detail/Detail?PublicationID=P20211220080", "https://ntsu.idm.oclc.org/login?url=https://www.airitibooks.com/Detail/Detail?PublicationID=P20211220080")</f>
        <v>https://ntsu.idm.oclc.org/login?url=https://www.airitibooks.com/Detail/Detail?PublicationID=P20211220080</v>
      </c>
    </row>
    <row r="4625" spans="1:11" ht="51" x14ac:dyDescent="0.4">
      <c r="A4625" s="10" t="s">
        <v>625</v>
      </c>
      <c r="B4625" s="10" t="s">
        <v>626</v>
      </c>
      <c r="C4625" s="10" t="s">
        <v>627</v>
      </c>
      <c r="D4625" s="10" t="s">
        <v>628</v>
      </c>
      <c r="E4625" s="10" t="s">
        <v>64</v>
      </c>
      <c r="F4625" s="10" t="s">
        <v>399</v>
      </c>
      <c r="G4625" s="10" t="s">
        <v>87</v>
      </c>
      <c r="H4625" s="7" t="s">
        <v>24</v>
      </c>
      <c r="I4625" s="7" t="s">
        <v>25</v>
      </c>
      <c r="J4625" s="13" t="str">
        <f>HYPERLINK("https://www.airitibooks.com/Detail/Detail?PublicationID=P20130517064", "https://www.airitibooks.com/Detail/Detail?PublicationID=P20130517064")</f>
        <v>https://www.airitibooks.com/Detail/Detail?PublicationID=P20130517064</v>
      </c>
      <c r="K4625" s="13" t="str">
        <f>HYPERLINK("https://ntsu.idm.oclc.org/login?url=https://www.airitibooks.com/Detail/Detail?PublicationID=P20130517064", "https://ntsu.idm.oclc.org/login?url=https://www.airitibooks.com/Detail/Detail?PublicationID=P20130517064")</f>
        <v>https://ntsu.idm.oclc.org/login?url=https://www.airitibooks.com/Detail/Detail?PublicationID=P20130517064</v>
      </c>
    </row>
    <row r="4626" spans="1:11" ht="51" x14ac:dyDescent="0.4">
      <c r="A4626" s="10" t="s">
        <v>744</v>
      </c>
      <c r="B4626" s="10" t="s">
        <v>745</v>
      </c>
      <c r="C4626" s="10" t="s">
        <v>746</v>
      </c>
      <c r="D4626" s="10" t="s">
        <v>747</v>
      </c>
      <c r="E4626" s="10" t="s">
        <v>64</v>
      </c>
      <c r="F4626" s="10" t="s">
        <v>748</v>
      </c>
      <c r="G4626" s="10" t="s">
        <v>87</v>
      </c>
      <c r="H4626" s="7" t="s">
        <v>24</v>
      </c>
      <c r="I4626" s="7" t="s">
        <v>25</v>
      </c>
      <c r="J4626" s="13" t="str">
        <f>HYPERLINK("https://www.airitibooks.com/Detail/Detail?PublicationID=P20130808025", "https://www.airitibooks.com/Detail/Detail?PublicationID=P20130808025")</f>
        <v>https://www.airitibooks.com/Detail/Detail?PublicationID=P20130808025</v>
      </c>
      <c r="K4626" s="13" t="str">
        <f>HYPERLINK("https://ntsu.idm.oclc.org/login?url=https://www.airitibooks.com/Detail/Detail?PublicationID=P20130808025", "https://ntsu.idm.oclc.org/login?url=https://www.airitibooks.com/Detail/Detail?PublicationID=P20130808025")</f>
        <v>https://ntsu.idm.oclc.org/login?url=https://www.airitibooks.com/Detail/Detail?PublicationID=P20130808025</v>
      </c>
    </row>
    <row r="4627" spans="1:11" ht="51" x14ac:dyDescent="0.4">
      <c r="A4627" s="10" t="s">
        <v>782</v>
      </c>
      <c r="B4627" s="10" t="s">
        <v>783</v>
      </c>
      <c r="C4627" s="10" t="s">
        <v>222</v>
      </c>
      <c r="D4627" s="10" t="s">
        <v>784</v>
      </c>
      <c r="E4627" s="10" t="s">
        <v>64</v>
      </c>
      <c r="F4627" s="10" t="s">
        <v>415</v>
      </c>
      <c r="G4627" s="10" t="s">
        <v>87</v>
      </c>
      <c r="H4627" s="7" t="s">
        <v>24</v>
      </c>
      <c r="I4627" s="7" t="s">
        <v>25</v>
      </c>
      <c r="J4627" s="13" t="str">
        <f>HYPERLINK("https://www.airitibooks.com/Detail/Detail?PublicationID=P20130830073", "https://www.airitibooks.com/Detail/Detail?PublicationID=P20130830073")</f>
        <v>https://www.airitibooks.com/Detail/Detail?PublicationID=P20130830073</v>
      </c>
      <c r="K4627" s="13" t="str">
        <f>HYPERLINK("https://ntsu.idm.oclc.org/login?url=https://www.airitibooks.com/Detail/Detail?PublicationID=P20130830073", "https://ntsu.idm.oclc.org/login?url=https://www.airitibooks.com/Detail/Detail?PublicationID=P20130830073")</f>
        <v>https://ntsu.idm.oclc.org/login?url=https://www.airitibooks.com/Detail/Detail?PublicationID=P20130830073</v>
      </c>
    </row>
    <row r="4628" spans="1:11" ht="51" x14ac:dyDescent="0.4">
      <c r="A4628" s="10" t="s">
        <v>794</v>
      </c>
      <c r="B4628" s="10" t="s">
        <v>795</v>
      </c>
      <c r="C4628" s="10" t="s">
        <v>796</v>
      </c>
      <c r="D4628" s="10" t="s">
        <v>797</v>
      </c>
      <c r="E4628" s="10" t="s">
        <v>64</v>
      </c>
      <c r="F4628" s="10" t="s">
        <v>127</v>
      </c>
      <c r="G4628" s="10" t="s">
        <v>87</v>
      </c>
      <c r="H4628" s="7" t="s">
        <v>24</v>
      </c>
      <c r="I4628" s="7" t="s">
        <v>25</v>
      </c>
      <c r="J4628" s="13" t="str">
        <f>HYPERLINK("https://www.airitibooks.com/Detail/Detail?PublicationID=P20130918118", "https://www.airitibooks.com/Detail/Detail?PublicationID=P20130918118")</f>
        <v>https://www.airitibooks.com/Detail/Detail?PublicationID=P20130918118</v>
      </c>
      <c r="K4628" s="13" t="str">
        <f>HYPERLINK("https://ntsu.idm.oclc.org/login?url=https://www.airitibooks.com/Detail/Detail?PublicationID=P20130918118", "https://ntsu.idm.oclc.org/login?url=https://www.airitibooks.com/Detail/Detail?PublicationID=P20130918118")</f>
        <v>https://ntsu.idm.oclc.org/login?url=https://www.airitibooks.com/Detail/Detail?PublicationID=P20130918118</v>
      </c>
    </row>
    <row r="4629" spans="1:11" ht="51" x14ac:dyDescent="0.4">
      <c r="A4629" s="10" t="s">
        <v>930</v>
      </c>
      <c r="B4629" s="10" t="s">
        <v>931</v>
      </c>
      <c r="C4629" s="10" t="s">
        <v>297</v>
      </c>
      <c r="D4629" s="10" t="s">
        <v>932</v>
      </c>
      <c r="E4629" s="10" t="s">
        <v>64</v>
      </c>
      <c r="F4629" s="10" t="s">
        <v>144</v>
      </c>
      <c r="G4629" s="10" t="s">
        <v>87</v>
      </c>
      <c r="H4629" s="7" t="s">
        <v>24</v>
      </c>
      <c r="I4629" s="7" t="s">
        <v>25</v>
      </c>
      <c r="J4629" s="13" t="str">
        <f>HYPERLINK("https://www.airitibooks.com/Detail/Detail?PublicationID=P20131017082", "https://www.airitibooks.com/Detail/Detail?PublicationID=P20131017082")</f>
        <v>https://www.airitibooks.com/Detail/Detail?PublicationID=P20131017082</v>
      </c>
      <c r="K4629" s="13" t="str">
        <f>HYPERLINK("https://ntsu.idm.oclc.org/login?url=https://www.airitibooks.com/Detail/Detail?PublicationID=P20131017082", "https://ntsu.idm.oclc.org/login?url=https://www.airitibooks.com/Detail/Detail?PublicationID=P20131017082")</f>
        <v>https://ntsu.idm.oclc.org/login?url=https://www.airitibooks.com/Detail/Detail?PublicationID=P20131017082</v>
      </c>
    </row>
    <row r="4630" spans="1:11" ht="51" x14ac:dyDescent="0.4">
      <c r="A4630" s="10" t="s">
        <v>1010</v>
      </c>
      <c r="B4630" s="10" t="s">
        <v>1011</v>
      </c>
      <c r="C4630" s="10" t="s">
        <v>661</v>
      </c>
      <c r="D4630" s="10" t="s">
        <v>1012</v>
      </c>
      <c r="E4630" s="10" t="s">
        <v>64</v>
      </c>
      <c r="F4630" s="10" t="s">
        <v>1013</v>
      </c>
      <c r="G4630" s="10" t="s">
        <v>87</v>
      </c>
      <c r="H4630" s="7" t="s">
        <v>24</v>
      </c>
      <c r="I4630" s="7" t="s">
        <v>25</v>
      </c>
      <c r="J4630" s="13" t="str">
        <f>HYPERLINK("https://www.airitibooks.com/Detail/Detail?PublicationID=P20131106018", "https://www.airitibooks.com/Detail/Detail?PublicationID=P20131106018")</f>
        <v>https://www.airitibooks.com/Detail/Detail?PublicationID=P20131106018</v>
      </c>
      <c r="K4630" s="13" t="str">
        <f>HYPERLINK("https://ntsu.idm.oclc.org/login?url=https://www.airitibooks.com/Detail/Detail?PublicationID=P20131106018", "https://ntsu.idm.oclc.org/login?url=https://www.airitibooks.com/Detail/Detail?PublicationID=P20131106018")</f>
        <v>https://ntsu.idm.oclc.org/login?url=https://www.airitibooks.com/Detail/Detail?PublicationID=P20131106018</v>
      </c>
    </row>
    <row r="4631" spans="1:11" ht="51" x14ac:dyDescent="0.4">
      <c r="A4631" s="10" t="s">
        <v>1050</v>
      </c>
      <c r="B4631" s="10" t="s">
        <v>1051</v>
      </c>
      <c r="C4631" s="10" t="s">
        <v>746</v>
      </c>
      <c r="D4631" s="10" t="s">
        <v>1052</v>
      </c>
      <c r="E4631" s="10" t="s">
        <v>64</v>
      </c>
      <c r="F4631" s="10" t="s">
        <v>1053</v>
      </c>
      <c r="G4631" s="10" t="s">
        <v>87</v>
      </c>
      <c r="H4631" s="7" t="s">
        <v>24</v>
      </c>
      <c r="I4631" s="7" t="s">
        <v>25</v>
      </c>
      <c r="J4631" s="13" t="str">
        <f>HYPERLINK("https://www.airitibooks.com/Detail/Detail?PublicationID=P20131206058", "https://www.airitibooks.com/Detail/Detail?PublicationID=P20131206058")</f>
        <v>https://www.airitibooks.com/Detail/Detail?PublicationID=P20131206058</v>
      </c>
      <c r="K4631" s="13" t="str">
        <f>HYPERLINK("https://ntsu.idm.oclc.org/login?url=https://www.airitibooks.com/Detail/Detail?PublicationID=P20131206058", "https://ntsu.idm.oclc.org/login?url=https://www.airitibooks.com/Detail/Detail?PublicationID=P20131206058")</f>
        <v>https://ntsu.idm.oclc.org/login?url=https://www.airitibooks.com/Detail/Detail?PublicationID=P20131206058</v>
      </c>
    </row>
    <row r="4632" spans="1:11" ht="51" x14ac:dyDescent="0.4">
      <c r="A4632" s="10" t="s">
        <v>1070</v>
      </c>
      <c r="B4632" s="10" t="s">
        <v>1071</v>
      </c>
      <c r="C4632" s="10" t="s">
        <v>135</v>
      </c>
      <c r="D4632" s="10" t="s">
        <v>1072</v>
      </c>
      <c r="E4632" s="10" t="s">
        <v>64</v>
      </c>
      <c r="F4632" s="10" t="s">
        <v>1073</v>
      </c>
      <c r="G4632" s="10" t="s">
        <v>87</v>
      </c>
      <c r="H4632" s="7" t="s">
        <v>24</v>
      </c>
      <c r="I4632" s="7" t="s">
        <v>25</v>
      </c>
      <c r="J4632" s="13" t="str">
        <f>HYPERLINK("https://www.airitibooks.com/Detail/Detail?PublicationID=P20131220043", "https://www.airitibooks.com/Detail/Detail?PublicationID=P20131220043")</f>
        <v>https://www.airitibooks.com/Detail/Detail?PublicationID=P20131220043</v>
      </c>
      <c r="K4632" s="13" t="str">
        <f>HYPERLINK("https://ntsu.idm.oclc.org/login?url=https://www.airitibooks.com/Detail/Detail?PublicationID=P20131220043", "https://ntsu.idm.oclc.org/login?url=https://www.airitibooks.com/Detail/Detail?PublicationID=P20131220043")</f>
        <v>https://ntsu.idm.oclc.org/login?url=https://www.airitibooks.com/Detail/Detail?PublicationID=P20131220043</v>
      </c>
    </row>
    <row r="4633" spans="1:11" ht="51" x14ac:dyDescent="0.4">
      <c r="A4633" s="10" t="s">
        <v>1205</v>
      </c>
      <c r="B4633" s="10" t="s">
        <v>1206</v>
      </c>
      <c r="C4633" s="10" t="s">
        <v>746</v>
      </c>
      <c r="D4633" s="10" t="s">
        <v>1207</v>
      </c>
      <c r="E4633" s="10" t="s">
        <v>64</v>
      </c>
      <c r="F4633" s="10" t="s">
        <v>1208</v>
      </c>
      <c r="G4633" s="10" t="s">
        <v>87</v>
      </c>
      <c r="H4633" s="7" t="s">
        <v>24</v>
      </c>
      <c r="I4633" s="7" t="s">
        <v>25</v>
      </c>
      <c r="J4633" s="13" t="str">
        <f>HYPERLINK("https://www.airitibooks.com/Detail/Detail?PublicationID=P20140508014", "https://www.airitibooks.com/Detail/Detail?PublicationID=P20140508014")</f>
        <v>https://www.airitibooks.com/Detail/Detail?PublicationID=P20140508014</v>
      </c>
      <c r="K4633" s="13" t="str">
        <f>HYPERLINK("https://ntsu.idm.oclc.org/login?url=https://www.airitibooks.com/Detail/Detail?PublicationID=P20140508014", "https://ntsu.idm.oclc.org/login?url=https://www.airitibooks.com/Detail/Detail?PublicationID=P20140508014")</f>
        <v>https://ntsu.idm.oclc.org/login?url=https://www.airitibooks.com/Detail/Detail?PublicationID=P20140508014</v>
      </c>
    </row>
    <row r="4634" spans="1:11" ht="51" x14ac:dyDescent="0.4">
      <c r="A4634" s="10" t="s">
        <v>1209</v>
      </c>
      <c r="B4634" s="10" t="s">
        <v>1210</v>
      </c>
      <c r="C4634" s="10" t="s">
        <v>413</v>
      </c>
      <c r="D4634" s="10" t="s">
        <v>1211</v>
      </c>
      <c r="E4634" s="10" t="s">
        <v>64</v>
      </c>
      <c r="F4634" s="10" t="s">
        <v>475</v>
      </c>
      <c r="G4634" s="10" t="s">
        <v>87</v>
      </c>
      <c r="H4634" s="7" t="s">
        <v>24</v>
      </c>
      <c r="I4634" s="7" t="s">
        <v>25</v>
      </c>
      <c r="J4634" s="13" t="str">
        <f>HYPERLINK("https://www.airitibooks.com/Detail/Detail?PublicationID=P20140513024", "https://www.airitibooks.com/Detail/Detail?PublicationID=P20140513024")</f>
        <v>https://www.airitibooks.com/Detail/Detail?PublicationID=P20140513024</v>
      </c>
      <c r="K4634" s="13" t="str">
        <f>HYPERLINK("https://ntsu.idm.oclc.org/login?url=https://www.airitibooks.com/Detail/Detail?PublicationID=P20140513024", "https://ntsu.idm.oclc.org/login?url=https://www.airitibooks.com/Detail/Detail?PublicationID=P20140513024")</f>
        <v>https://ntsu.idm.oclc.org/login?url=https://www.airitibooks.com/Detail/Detail?PublicationID=P20140513024</v>
      </c>
    </row>
    <row r="4635" spans="1:11" ht="51" x14ac:dyDescent="0.4">
      <c r="A4635" s="10" t="s">
        <v>1212</v>
      </c>
      <c r="B4635" s="10" t="s">
        <v>1213</v>
      </c>
      <c r="C4635" s="10" t="s">
        <v>413</v>
      </c>
      <c r="D4635" s="10" t="s">
        <v>1211</v>
      </c>
      <c r="E4635" s="10" t="s">
        <v>64</v>
      </c>
      <c r="F4635" s="10" t="s">
        <v>475</v>
      </c>
      <c r="G4635" s="10" t="s">
        <v>87</v>
      </c>
      <c r="H4635" s="7" t="s">
        <v>24</v>
      </c>
      <c r="I4635" s="7" t="s">
        <v>25</v>
      </c>
      <c r="J4635" s="13" t="str">
        <f>HYPERLINK("https://www.airitibooks.com/Detail/Detail?PublicationID=P20140513025", "https://www.airitibooks.com/Detail/Detail?PublicationID=P20140513025")</f>
        <v>https://www.airitibooks.com/Detail/Detail?PublicationID=P20140513025</v>
      </c>
      <c r="K4635" s="13" t="str">
        <f>HYPERLINK("https://ntsu.idm.oclc.org/login?url=https://www.airitibooks.com/Detail/Detail?PublicationID=P20140513025", "https://ntsu.idm.oclc.org/login?url=https://www.airitibooks.com/Detail/Detail?PublicationID=P20140513025")</f>
        <v>https://ntsu.idm.oclc.org/login?url=https://www.airitibooks.com/Detail/Detail?PublicationID=P20140513025</v>
      </c>
    </row>
    <row r="4636" spans="1:11" ht="51" x14ac:dyDescent="0.4">
      <c r="A4636" s="10" t="s">
        <v>1214</v>
      </c>
      <c r="B4636" s="10" t="s">
        <v>1215</v>
      </c>
      <c r="C4636" s="10" t="s">
        <v>413</v>
      </c>
      <c r="D4636" s="10" t="s">
        <v>1211</v>
      </c>
      <c r="E4636" s="10" t="s">
        <v>64</v>
      </c>
      <c r="F4636" s="10" t="s">
        <v>475</v>
      </c>
      <c r="G4636" s="10" t="s">
        <v>87</v>
      </c>
      <c r="H4636" s="7" t="s">
        <v>24</v>
      </c>
      <c r="I4636" s="7" t="s">
        <v>25</v>
      </c>
      <c r="J4636" s="13" t="str">
        <f>HYPERLINK("https://www.airitibooks.com/Detail/Detail?PublicationID=P20140513026", "https://www.airitibooks.com/Detail/Detail?PublicationID=P20140513026")</f>
        <v>https://www.airitibooks.com/Detail/Detail?PublicationID=P20140513026</v>
      </c>
      <c r="K4636" s="13" t="str">
        <f>HYPERLINK("https://ntsu.idm.oclc.org/login?url=https://www.airitibooks.com/Detail/Detail?PublicationID=P20140513026", "https://ntsu.idm.oclc.org/login?url=https://www.airitibooks.com/Detail/Detail?PublicationID=P20140513026")</f>
        <v>https://ntsu.idm.oclc.org/login?url=https://www.airitibooks.com/Detail/Detail?PublicationID=P20140513026</v>
      </c>
    </row>
    <row r="4637" spans="1:11" ht="51" x14ac:dyDescent="0.4">
      <c r="A4637" s="10" t="s">
        <v>1216</v>
      </c>
      <c r="B4637" s="10" t="s">
        <v>1217</v>
      </c>
      <c r="C4637" s="10" t="s">
        <v>413</v>
      </c>
      <c r="D4637" s="10" t="s">
        <v>1211</v>
      </c>
      <c r="E4637" s="10" t="s">
        <v>64</v>
      </c>
      <c r="F4637" s="10" t="s">
        <v>475</v>
      </c>
      <c r="G4637" s="10" t="s">
        <v>87</v>
      </c>
      <c r="H4637" s="7" t="s">
        <v>24</v>
      </c>
      <c r="I4637" s="7" t="s">
        <v>25</v>
      </c>
      <c r="J4637" s="13" t="str">
        <f>HYPERLINK("https://www.airitibooks.com/Detail/Detail?PublicationID=P20140513027", "https://www.airitibooks.com/Detail/Detail?PublicationID=P20140513027")</f>
        <v>https://www.airitibooks.com/Detail/Detail?PublicationID=P20140513027</v>
      </c>
      <c r="K4637" s="13" t="str">
        <f>HYPERLINK("https://ntsu.idm.oclc.org/login?url=https://www.airitibooks.com/Detail/Detail?PublicationID=P20140513027", "https://ntsu.idm.oclc.org/login?url=https://www.airitibooks.com/Detail/Detail?PublicationID=P20140513027")</f>
        <v>https://ntsu.idm.oclc.org/login?url=https://www.airitibooks.com/Detail/Detail?PublicationID=P20140513027</v>
      </c>
    </row>
    <row r="4638" spans="1:11" ht="51" x14ac:dyDescent="0.4">
      <c r="A4638" s="10" t="s">
        <v>1218</v>
      </c>
      <c r="B4638" s="10" t="s">
        <v>1219</v>
      </c>
      <c r="C4638" s="10" t="s">
        <v>413</v>
      </c>
      <c r="D4638" s="10" t="s">
        <v>1211</v>
      </c>
      <c r="E4638" s="10" t="s">
        <v>64</v>
      </c>
      <c r="F4638" s="10" t="s">
        <v>475</v>
      </c>
      <c r="G4638" s="10" t="s">
        <v>87</v>
      </c>
      <c r="H4638" s="7" t="s">
        <v>24</v>
      </c>
      <c r="I4638" s="7" t="s">
        <v>25</v>
      </c>
      <c r="J4638" s="13" t="str">
        <f>HYPERLINK("https://www.airitibooks.com/Detail/Detail?PublicationID=P20140513028", "https://www.airitibooks.com/Detail/Detail?PublicationID=P20140513028")</f>
        <v>https://www.airitibooks.com/Detail/Detail?PublicationID=P20140513028</v>
      </c>
      <c r="K4638" s="13" t="str">
        <f>HYPERLINK("https://ntsu.idm.oclc.org/login?url=https://www.airitibooks.com/Detail/Detail?PublicationID=P20140513028", "https://ntsu.idm.oclc.org/login?url=https://www.airitibooks.com/Detail/Detail?PublicationID=P20140513028")</f>
        <v>https://ntsu.idm.oclc.org/login?url=https://www.airitibooks.com/Detail/Detail?PublicationID=P20140513028</v>
      </c>
    </row>
    <row r="4639" spans="1:11" ht="51" x14ac:dyDescent="0.4">
      <c r="A4639" s="10" t="s">
        <v>1235</v>
      </c>
      <c r="B4639" s="10" t="s">
        <v>1236</v>
      </c>
      <c r="C4639" s="10" t="s">
        <v>627</v>
      </c>
      <c r="D4639" s="10" t="s">
        <v>1237</v>
      </c>
      <c r="E4639" s="10" t="s">
        <v>64</v>
      </c>
      <c r="F4639" s="10" t="s">
        <v>1238</v>
      </c>
      <c r="G4639" s="10" t="s">
        <v>87</v>
      </c>
      <c r="H4639" s="7" t="s">
        <v>24</v>
      </c>
      <c r="I4639" s="7" t="s">
        <v>25</v>
      </c>
      <c r="J4639" s="13" t="str">
        <f>HYPERLINK("https://www.airitibooks.com/Detail/Detail?PublicationID=P20140520035", "https://www.airitibooks.com/Detail/Detail?PublicationID=P20140520035")</f>
        <v>https://www.airitibooks.com/Detail/Detail?PublicationID=P20140520035</v>
      </c>
      <c r="K4639" s="13" t="str">
        <f>HYPERLINK("https://ntsu.idm.oclc.org/login?url=https://www.airitibooks.com/Detail/Detail?PublicationID=P20140520035", "https://ntsu.idm.oclc.org/login?url=https://www.airitibooks.com/Detail/Detail?PublicationID=P20140520035")</f>
        <v>https://ntsu.idm.oclc.org/login?url=https://www.airitibooks.com/Detail/Detail?PublicationID=P20140520035</v>
      </c>
    </row>
    <row r="4640" spans="1:11" ht="51" x14ac:dyDescent="0.4">
      <c r="A4640" s="10" t="s">
        <v>1436</v>
      </c>
      <c r="B4640" s="10" t="s">
        <v>1437</v>
      </c>
      <c r="C4640" s="10" t="s">
        <v>499</v>
      </c>
      <c r="D4640" s="10" t="s">
        <v>1438</v>
      </c>
      <c r="E4640" s="10" t="s">
        <v>64</v>
      </c>
      <c r="F4640" s="10" t="s">
        <v>1440</v>
      </c>
      <c r="G4640" s="10" t="s">
        <v>87</v>
      </c>
      <c r="H4640" s="7" t="s">
        <v>24</v>
      </c>
      <c r="I4640" s="7" t="s">
        <v>25</v>
      </c>
      <c r="J4640" s="13" t="str">
        <f>HYPERLINK("https://www.airitibooks.com/Detail/Detail?PublicationID=P20140829021", "https://www.airitibooks.com/Detail/Detail?PublicationID=P20140829021")</f>
        <v>https://www.airitibooks.com/Detail/Detail?PublicationID=P20140829021</v>
      </c>
      <c r="K4640" s="13" t="str">
        <f>HYPERLINK("https://ntsu.idm.oclc.org/login?url=https://www.airitibooks.com/Detail/Detail?PublicationID=P20140829021", "https://ntsu.idm.oclc.org/login?url=https://www.airitibooks.com/Detail/Detail?PublicationID=P20140829021")</f>
        <v>https://ntsu.idm.oclc.org/login?url=https://www.airitibooks.com/Detail/Detail?PublicationID=P20140829021</v>
      </c>
    </row>
    <row r="4641" spans="1:11" ht="51" x14ac:dyDescent="0.4">
      <c r="A4641" s="10" t="s">
        <v>2111</v>
      </c>
      <c r="B4641" s="10" t="s">
        <v>2112</v>
      </c>
      <c r="C4641" s="10" t="s">
        <v>135</v>
      </c>
      <c r="D4641" s="10" t="s">
        <v>2113</v>
      </c>
      <c r="E4641" s="10" t="s">
        <v>64</v>
      </c>
      <c r="F4641" s="10" t="s">
        <v>144</v>
      </c>
      <c r="G4641" s="10" t="s">
        <v>87</v>
      </c>
      <c r="H4641" s="7" t="s">
        <v>24</v>
      </c>
      <c r="I4641" s="7" t="s">
        <v>25</v>
      </c>
      <c r="J4641" s="13" t="str">
        <f>HYPERLINK("https://www.airitibooks.com/Detail/Detail?PublicationID=P20150310001", "https://www.airitibooks.com/Detail/Detail?PublicationID=P20150310001")</f>
        <v>https://www.airitibooks.com/Detail/Detail?PublicationID=P20150310001</v>
      </c>
      <c r="K4641" s="13" t="str">
        <f>HYPERLINK("https://ntsu.idm.oclc.org/login?url=https://www.airitibooks.com/Detail/Detail?PublicationID=P20150310001", "https://ntsu.idm.oclc.org/login?url=https://www.airitibooks.com/Detail/Detail?PublicationID=P20150310001")</f>
        <v>https://ntsu.idm.oclc.org/login?url=https://www.airitibooks.com/Detail/Detail?PublicationID=P20150310001</v>
      </c>
    </row>
    <row r="4642" spans="1:11" ht="51" x14ac:dyDescent="0.4">
      <c r="A4642" s="10" t="s">
        <v>2526</v>
      </c>
      <c r="B4642" s="10" t="s">
        <v>2527</v>
      </c>
      <c r="C4642" s="10" t="s">
        <v>2515</v>
      </c>
      <c r="D4642" s="10" t="s">
        <v>2528</v>
      </c>
      <c r="E4642" s="10" t="s">
        <v>64</v>
      </c>
      <c r="F4642" s="10" t="s">
        <v>748</v>
      </c>
      <c r="G4642" s="10" t="s">
        <v>87</v>
      </c>
      <c r="H4642" s="7" t="s">
        <v>24</v>
      </c>
      <c r="I4642" s="7" t="s">
        <v>25</v>
      </c>
      <c r="J4642" s="13" t="str">
        <f>HYPERLINK("https://www.airitibooks.com/Detail/Detail?PublicationID=P20150508381", "https://www.airitibooks.com/Detail/Detail?PublicationID=P20150508381")</f>
        <v>https://www.airitibooks.com/Detail/Detail?PublicationID=P20150508381</v>
      </c>
      <c r="K4642" s="13" t="str">
        <f>HYPERLINK("https://ntsu.idm.oclc.org/login?url=https://www.airitibooks.com/Detail/Detail?PublicationID=P20150508381", "https://ntsu.idm.oclc.org/login?url=https://www.airitibooks.com/Detail/Detail?PublicationID=P20150508381")</f>
        <v>https://ntsu.idm.oclc.org/login?url=https://www.airitibooks.com/Detail/Detail?PublicationID=P20150508381</v>
      </c>
    </row>
    <row r="4643" spans="1:11" ht="51" x14ac:dyDescent="0.4">
      <c r="A4643" s="10" t="s">
        <v>2746</v>
      </c>
      <c r="B4643" s="10" t="s">
        <v>2747</v>
      </c>
      <c r="C4643" s="10" t="s">
        <v>141</v>
      </c>
      <c r="D4643" s="10" t="s">
        <v>1953</v>
      </c>
      <c r="E4643" s="10" t="s">
        <v>64</v>
      </c>
      <c r="F4643" s="10" t="s">
        <v>425</v>
      </c>
      <c r="G4643" s="10" t="s">
        <v>87</v>
      </c>
      <c r="H4643" s="7" t="s">
        <v>24</v>
      </c>
      <c r="I4643" s="7" t="s">
        <v>25</v>
      </c>
      <c r="J4643" s="13" t="str">
        <f>HYPERLINK("https://www.airitibooks.com/Detail/Detail?PublicationID=P20150624143", "https://www.airitibooks.com/Detail/Detail?PublicationID=P20150624143")</f>
        <v>https://www.airitibooks.com/Detail/Detail?PublicationID=P20150624143</v>
      </c>
      <c r="K4643" s="13" t="str">
        <f>HYPERLINK("https://ntsu.idm.oclc.org/login?url=https://www.airitibooks.com/Detail/Detail?PublicationID=P20150624143", "https://ntsu.idm.oclc.org/login?url=https://www.airitibooks.com/Detail/Detail?PublicationID=P20150624143")</f>
        <v>https://ntsu.idm.oclc.org/login?url=https://www.airitibooks.com/Detail/Detail?PublicationID=P20150624143</v>
      </c>
    </row>
    <row r="4644" spans="1:11" ht="51" x14ac:dyDescent="0.4">
      <c r="A4644" s="10" t="s">
        <v>2906</v>
      </c>
      <c r="B4644" s="10" t="s">
        <v>2907</v>
      </c>
      <c r="C4644" s="10" t="s">
        <v>2908</v>
      </c>
      <c r="D4644" s="10" t="s">
        <v>2909</v>
      </c>
      <c r="E4644" s="10" t="s">
        <v>64</v>
      </c>
      <c r="F4644" s="10" t="s">
        <v>399</v>
      </c>
      <c r="G4644" s="10" t="s">
        <v>87</v>
      </c>
      <c r="H4644" s="7" t="s">
        <v>24</v>
      </c>
      <c r="I4644" s="7" t="s">
        <v>25</v>
      </c>
      <c r="J4644" s="13" t="str">
        <f>HYPERLINK("https://www.airitibooks.com/Detail/Detail?PublicationID=P20150709010", "https://www.airitibooks.com/Detail/Detail?PublicationID=P20150709010")</f>
        <v>https://www.airitibooks.com/Detail/Detail?PublicationID=P20150709010</v>
      </c>
      <c r="K4644" s="13" t="str">
        <f>HYPERLINK("https://ntsu.idm.oclc.org/login?url=https://www.airitibooks.com/Detail/Detail?PublicationID=P20150709010", "https://ntsu.idm.oclc.org/login?url=https://www.airitibooks.com/Detail/Detail?PublicationID=P20150709010")</f>
        <v>https://ntsu.idm.oclc.org/login?url=https://www.airitibooks.com/Detail/Detail?PublicationID=P20150709010</v>
      </c>
    </row>
    <row r="4645" spans="1:11" ht="51" x14ac:dyDescent="0.4">
      <c r="A4645" s="10" t="s">
        <v>3278</v>
      </c>
      <c r="B4645" s="10" t="s">
        <v>3279</v>
      </c>
      <c r="C4645" s="10" t="s">
        <v>3280</v>
      </c>
      <c r="D4645" s="10" t="s">
        <v>3281</v>
      </c>
      <c r="E4645" s="10" t="s">
        <v>64</v>
      </c>
      <c r="F4645" s="10" t="s">
        <v>144</v>
      </c>
      <c r="G4645" s="10" t="s">
        <v>87</v>
      </c>
      <c r="H4645" s="7" t="s">
        <v>24</v>
      </c>
      <c r="I4645" s="7" t="s">
        <v>25</v>
      </c>
      <c r="J4645" s="13" t="str">
        <f>HYPERLINK("https://www.airitibooks.com/Detail/Detail?PublicationID=P20150821136", "https://www.airitibooks.com/Detail/Detail?PublicationID=P20150821136")</f>
        <v>https://www.airitibooks.com/Detail/Detail?PublicationID=P20150821136</v>
      </c>
      <c r="K4645" s="13" t="str">
        <f>HYPERLINK("https://ntsu.idm.oclc.org/login?url=https://www.airitibooks.com/Detail/Detail?PublicationID=P20150821136", "https://ntsu.idm.oclc.org/login?url=https://www.airitibooks.com/Detail/Detail?PublicationID=P20150821136")</f>
        <v>https://ntsu.idm.oclc.org/login?url=https://www.airitibooks.com/Detail/Detail?PublicationID=P20150821136</v>
      </c>
    </row>
    <row r="4646" spans="1:11" ht="68" x14ac:dyDescent="0.4">
      <c r="A4646" s="10" t="s">
        <v>3345</v>
      </c>
      <c r="B4646" s="10" t="s">
        <v>3346</v>
      </c>
      <c r="C4646" s="10" t="s">
        <v>568</v>
      </c>
      <c r="D4646" s="10" t="s">
        <v>3343</v>
      </c>
      <c r="E4646" s="10" t="s">
        <v>64</v>
      </c>
      <c r="F4646" s="10" t="s">
        <v>1440</v>
      </c>
      <c r="G4646" s="10" t="s">
        <v>87</v>
      </c>
      <c r="H4646" s="7" t="s">
        <v>24</v>
      </c>
      <c r="I4646" s="7" t="s">
        <v>25</v>
      </c>
      <c r="J4646" s="13" t="str">
        <f>HYPERLINK("https://www.airitibooks.com/Detail/Detail?PublicationID=P20150909069", "https://www.airitibooks.com/Detail/Detail?PublicationID=P20150909069")</f>
        <v>https://www.airitibooks.com/Detail/Detail?PublicationID=P20150909069</v>
      </c>
      <c r="K4646" s="13" t="str">
        <f>HYPERLINK("https://ntsu.idm.oclc.org/login?url=https://www.airitibooks.com/Detail/Detail?PublicationID=P20150909069", "https://ntsu.idm.oclc.org/login?url=https://www.airitibooks.com/Detail/Detail?PublicationID=P20150909069")</f>
        <v>https://ntsu.idm.oclc.org/login?url=https://www.airitibooks.com/Detail/Detail?PublicationID=P20150909069</v>
      </c>
    </row>
    <row r="4647" spans="1:11" ht="68" x14ac:dyDescent="0.4">
      <c r="A4647" s="10" t="s">
        <v>3347</v>
      </c>
      <c r="B4647" s="10" t="s">
        <v>3348</v>
      </c>
      <c r="C4647" s="10" t="s">
        <v>568</v>
      </c>
      <c r="D4647" s="10" t="s">
        <v>3343</v>
      </c>
      <c r="E4647" s="10" t="s">
        <v>64</v>
      </c>
      <c r="F4647" s="10" t="s">
        <v>1440</v>
      </c>
      <c r="G4647" s="10" t="s">
        <v>87</v>
      </c>
      <c r="H4647" s="7" t="s">
        <v>24</v>
      </c>
      <c r="I4647" s="7" t="s">
        <v>25</v>
      </c>
      <c r="J4647" s="13" t="str">
        <f>HYPERLINK("https://www.airitibooks.com/Detail/Detail?PublicationID=P20150909070", "https://www.airitibooks.com/Detail/Detail?PublicationID=P20150909070")</f>
        <v>https://www.airitibooks.com/Detail/Detail?PublicationID=P20150909070</v>
      </c>
      <c r="K4647" s="13" t="str">
        <f>HYPERLINK("https://ntsu.idm.oclc.org/login?url=https://www.airitibooks.com/Detail/Detail?PublicationID=P20150909070", "https://ntsu.idm.oclc.org/login?url=https://www.airitibooks.com/Detail/Detail?PublicationID=P20150909070")</f>
        <v>https://ntsu.idm.oclc.org/login?url=https://www.airitibooks.com/Detail/Detail?PublicationID=P20150909070</v>
      </c>
    </row>
    <row r="4648" spans="1:11" ht="51" x14ac:dyDescent="0.4">
      <c r="A4648" s="10" t="s">
        <v>3372</v>
      </c>
      <c r="B4648" s="10" t="s">
        <v>3373</v>
      </c>
      <c r="C4648" s="10" t="s">
        <v>147</v>
      </c>
      <c r="D4648" s="10" t="s">
        <v>3374</v>
      </c>
      <c r="E4648" s="10" t="s">
        <v>64</v>
      </c>
      <c r="F4648" s="10" t="s">
        <v>399</v>
      </c>
      <c r="G4648" s="10" t="s">
        <v>87</v>
      </c>
      <c r="H4648" s="7" t="s">
        <v>24</v>
      </c>
      <c r="I4648" s="7" t="s">
        <v>25</v>
      </c>
      <c r="J4648" s="13" t="str">
        <f>HYPERLINK("https://www.airitibooks.com/Detail/Detail?PublicationID=P20150915060", "https://www.airitibooks.com/Detail/Detail?PublicationID=P20150915060")</f>
        <v>https://www.airitibooks.com/Detail/Detail?PublicationID=P20150915060</v>
      </c>
      <c r="K4648" s="13" t="str">
        <f>HYPERLINK("https://ntsu.idm.oclc.org/login?url=https://www.airitibooks.com/Detail/Detail?PublicationID=P20150915060", "https://ntsu.idm.oclc.org/login?url=https://www.airitibooks.com/Detail/Detail?PublicationID=P20150915060")</f>
        <v>https://ntsu.idm.oclc.org/login?url=https://www.airitibooks.com/Detail/Detail?PublicationID=P20150915060</v>
      </c>
    </row>
    <row r="4649" spans="1:11" ht="51" x14ac:dyDescent="0.4">
      <c r="A4649" s="10" t="s">
        <v>3384</v>
      </c>
      <c r="B4649" s="10" t="s">
        <v>3385</v>
      </c>
      <c r="C4649" s="10" t="s">
        <v>147</v>
      </c>
      <c r="D4649" s="10" t="s">
        <v>3386</v>
      </c>
      <c r="E4649" s="10" t="s">
        <v>64</v>
      </c>
      <c r="F4649" s="10" t="s">
        <v>144</v>
      </c>
      <c r="G4649" s="10" t="s">
        <v>87</v>
      </c>
      <c r="H4649" s="7" t="s">
        <v>24</v>
      </c>
      <c r="I4649" s="7" t="s">
        <v>25</v>
      </c>
      <c r="J4649" s="13" t="str">
        <f>HYPERLINK("https://www.airitibooks.com/Detail/Detail?PublicationID=P20150915068", "https://www.airitibooks.com/Detail/Detail?PublicationID=P20150915068")</f>
        <v>https://www.airitibooks.com/Detail/Detail?PublicationID=P20150915068</v>
      </c>
      <c r="K4649" s="13" t="str">
        <f>HYPERLINK("https://ntsu.idm.oclc.org/login?url=https://www.airitibooks.com/Detail/Detail?PublicationID=P20150915068", "https://ntsu.idm.oclc.org/login?url=https://www.airitibooks.com/Detail/Detail?PublicationID=P20150915068")</f>
        <v>https://ntsu.idm.oclc.org/login?url=https://www.airitibooks.com/Detail/Detail?PublicationID=P20150915068</v>
      </c>
    </row>
    <row r="4650" spans="1:11" ht="68" x14ac:dyDescent="0.4">
      <c r="A4650" s="10" t="s">
        <v>3390</v>
      </c>
      <c r="B4650" s="10" t="s">
        <v>3391</v>
      </c>
      <c r="C4650" s="10" t="s">
        <v>147</v>
      </c>
      <c r="D4650" s="10" t="s">
        <v>3392</v>
      </c>
      <c r="E4650" s="10" t="s">
        <v>64</v>
      </c>
      <c r="F4650" s="10" t="s">
        <v>1286</v>
      </c>
      <c r="G4650" s="10" t="s">
        <v>87</v>
      </c>
      <c r="H4650" s="7" t="s">
        <v>24</v>
      </c>
      <c r="I4650" s="7" t="s">
        <v>25</v>
      </c>
      <c r="J4650" s="13" t="str">
        <f>HYPERLINK("https://www.airitibooks.com/Detail/Detail?PublicationID=P20150915071", "https://www.airitibooks.com/Detail/Detail?PublicationID=P20150915071")</f>
        <v>https://www.airitibooks.com/Detail/Detail?PublicationID=P20150915071</v>
      </c>
      <c r="K4650" s="13" t="str">
        <f>HYPERLINK("https://ntsu.idm.oclc.org/login?url=https://www.airitibooks.com/Detail/Detail?PublicationID=P20150915071", "https://ntsu.idm.oclc.org/login?url=https://www.airitibooks.com/Detail/Detail?PublicationID=P20150915071")</f>
        <v>https://ntsu.idm.oclc.org/login?url=https://www.airitibooks.com/Detail/Detail?PublicationID=P20150915071</v>
      </c>
    </row>
    <row r="4651" spans="1:11" ht="51" x14ac:dyDescent="0.4">
      <c r="A4651" s="10" t="s">
        <v>3397</v>
      </c>
      <c r="B4651" s="10" t="s">
        <v>3398</v>
      </c>
      <c r="C4651" s="10" t="s">
        <v>147</v>
      </c>
      <c r="D4651" s="10" t="s">
        <v>3399</v>
      </c>
      <c r="E4651" s="10" t="s">
        <v>64</v>
      </c>
      <c r="F4651" s="10" t="s">
        <v>1208</v>
      </c>
      <c r="G4651" s="10" t="s">
        <v>87</v>
      </c>
      <c r="H4651" s="7" t="s">
        <v>24</v>
      </c>
      <c r="I4651" s="7" t="s">
        <v>25</v>
      </c>
      <c r="J4651" s="13" t="str">
        <f>HYPERLINK("https://www.airitibooks.com/Detail/Detail?PublicationID=P20150915074", "https://www.airitibooks.com/Detail/Detail?PublicationID=P20150915074")</f>
        <v>https://www.airitibooks.com/Detail/Detail?PublicationID=P20150915074</v>
      </c>
      <c r="K4651" s="13" t="str">
        <f>HYPERLINK("https://ntsu.idm.oclc.org/login?url=https://www.airitibooks.com/Detail/Detail?PublicationID=P20150915074", "https://ntsu.idm.oclc.org/login?url=https://www.airitibooks.com/Detail/Detail?PublicationID=P20150915074")</f>
        <v>https://ntsu.idm.oclc.org/login?url=https://www.airitibooks.com/Detail/Detail?PublicationID=P20150915074</v>
      </c>
    </row>
    <row r="4652" spans="1:11" ht="51" x14ac:dyDescent="0.4">
      <c r="A4652" s="10" t="s">
        <v>3400</v>
      </c>
      <c r="B4652" s="10" t="s">
        <v>3401</v>
      </c>
      <c r="C4652" s="10" t="s">
        <v>147</v>
      </c>
      <c r="D4652" s="10" t="s">
        <v>3402</v>
      </c>
      <c r="E4652" s="10" t="s">
        <v>64</v>
      </c>
      <c r="F4652" s="10" t="s">
        <v>1208</v>
      </c>
      <c r="G4652" s="10" t="s">
        <v>87</v>
      </c>
      <c r="H4652" s="7" t="s">
        <v>24</v>
      </c>
      <c r="I4652" s="7" t="s">
        <v>25</v>
      </c>
      <c r="J4652" s="13" t="str">
        <f>HYPERLINK("https://www.airitibooks.com/Detail/Detail?PublicationID=P20150915077", "https://www.airitibooks.com/Detail/Detail?PublicationID=P20150915077")</f>
        <v>https://www.airitibooks.com/Detail/Detail?PublicationID=P20150915077</v>
      </c>
      <c r="K4652" s="13" t="str">
        <f>HYPERLINK("https://ntsu.idm.oclc.org/login?url=https://www.airitibooks.com/Detail/Detail?PublicationID=P20150915077", "https://ntsu.idm.oclc.org/login?url=https://www.airitibooks.com/Detail/Detail?PublicationID=P20150915077")</f>
        <v>https://ntsu.idm.oclc.org/login?url=https://www.airitibooks.com/Detail/Detail?PublicationID=P20150915077</v>
      </c>
    </row>
    <row r="4653" spans="1:11" ht="51" x14ac:dyDescent="0.4">
      <c r="A4653" s="10" t="s">
        <v>3409</v>
      </c>
      <c r="B4653" s="10" t="s">
        <v>3410</v>
      </c>
      <c r="C4653" s="10" t="s">
        <v>147</v>
      </c>
      <c r="D4653" s="10" t="s">
        <v>3411</v>
      </c>
      <c r="E4653" s="10" t="s">
        <v>64</v>
      </c>
      <c r="F4653" s="10" t="s">
        <v>1208</v>
      </c>
      <c r="G4653" s="10" t="s">
        <v>87</v>
      </c>
      <c r="H4653" s="7" t="s">
        <v>24</v>
      </c>
      <c r="I4653" s="7" t="s">
        <v>25</v>
      </c>
      <c r="J4653" s="13" t="str">
        <f>HYPERLINK("https://www.airitibooks.com/Detail/Detail?PublicationID=P20150915084", "https://www.airitibooks.com/Detail/Detail?PublicationID=P20150915084")</f>
        <v>https://www.airitibooks.com/Detail/Detail?PublicationID=P20150915084</v>
      </c>
      <c r="K4653" s="13" t="str">
        <f>HYPERLINK("https://ntsu.idm.oclc.org/login?url=https://www.airitibooks.com/Detail/Detail?PublicationID=P20150915084", "https://ntsu.idm.oclc.org/login?url=https://www.airitibooks.com/Detail/Detail?PublicationID=P20150915084")</f>
        <v>https://ntsu.idm.oclc.org/login?url=https://www.airitibooks.com/Detail/Detail?PublicationID=P20150915084</v>
      </c>
    </row>
    <row r="4654" spans="1:11" ht="68" x14ac:dyDescent="0.4">
      <c r="A4654" s="10" t="s">
        <v>4357</v>
      </c>
      <c r="B4654" s="10" t="s">
        <v>4358</v>
      </c>
      <c r="C4654" s="10" t="s">
        <v>568</v>
      </c>
      <c r="D4654" s="10" t="s">
        <v>4359</v>
      </c>
      <c r="E4654" s="10" t="s">
        <v>64</v>
      </c>
      <c r="F4654" s="10" t="s">
        <v>4360</v>
      </c>
      <c r="G4654" s="10" t="s">
        <v>87</v>
      </c>
      <c r="H4654" s="7" t="s">
        <v>24</v>
      </c>
      <c r="I4654" s="7" t="s">
        <v>25</v>
      </c>
      <c r="J4654" s="13" t="str">
        <f>HYPERLINK("https://www.airitibooks.com/Detail/Detail?PublicationID=P20160315265", "https://www.airitibooks.com/Detail/Detail?PublicationID=P20160315265")</f>
        <v>https://www.airitibooks.com/Detail/Detail?PublicationID=P20160315265</v>
      </c>
      <c r="K4654" s="13" t="str">
        <f>HYPERLINK("https://ntsu.idm.oclc.org/login?url=https://www.airitibooks.com/Detail/Detail?PublicationID=P20160315265", "https://ntsu.idm.oclc.org/login?url=https://www.airitibooks.com/Detail/Detail?PublicationID=P20160315265")</f>
        <v>https://ntsu.idm.oclc.org/login?url=https://www.airitibooks.com/Detail/Detail?PublicationID=P20160315265</v>
      </c>
    </row>
    <row r="4655" spans="1:11" ht="51" x14ac:dyDescent="0.4">
      <c r="A4655" s="10" t="s">
        <v>5116</v>
      </c>
      <c r="B4655" s="10" t="s">
        <v>5117</v>
      </c>
      <c r="C4655" s="10" t="s">
        <v>3208</v>
      </c>
      <c r="D4655" s="10" t="s">
        <v>3209</v>
      </c>
      <c r="E4655" s="10" t="s">
        <v>64</v>
      </c>
      <c r="F4655" s="10" t="s">
        <v>3107</v>
      </c>
      <c r="G4655" s="10" t="s">
        <v>87</v>
      </c>
      <c r="H4655" s="7" t="s">
        <v>24</v>
      </c>
      <c r="I4655" s="7" t="s">
        <v>25</v>
      </c>
      <c r="J4655" s="13" t="str">
        <f>HYPERLINK("https://www.airitibooks.com/Detail/Detail?PublicationID=P20160806212", "https://www.airitibooks.com/Detail/Detail?PublicationID=P20160806212")</f>
        <v>https://www.airitibooks.com/Detail/Detail?PublicationID=P20160806212</v>
      </c>
      <c r="K4655" s="13" t="str">
        <f>HYPERLINK("https://ntsu.idm.oclc.org/login?url=https://www.airitibooks.com/Detail/Detail?PublicationID=P20160806212", "https://ntsu.idm.oclc.org/login?url=https://www.airitibooks.com/Detail/Detail?PublicationID=P20160806212")</f>
        <v>https://ntsu.idm.oclc.org/login?url=https://www.airitibooks.com/Detail/Detail?PublicationID=P20160806212</v>
      </c>
    </row>
    <row r="4656" spans="1:11" ht="51" x14ac:dyDescent="0.4">
      <c r="A4656" s="10" t="s">
        <v>5205</v>
      </c>
      <c r="B4656" s="10" t="s">
        <v>5206</v>
      </c>
      <c r="C4656" s="10" t="s">
        <v>499</v>
      </c>
      <c r="D4656" s="10" t="s">
        <v>5207</v>
      </c>
      <c r="E4656" s="10" t="s">
        <v>64</v>
      </c>
      <c r="F4656" s="10" t="s">
        <v>1100</v>
      </c>
      <c r="G4656" s="10" t="s">
        <v>87</v>
      </c>
      <c r="H4656" s="7" t="s">
        <v>24</v>
      </c>
      <c r="I4656" s="7" t="s">
        <v>25</v>
      </c>
      <c r="J4656" s="13" t="str">
        <f>HYPERLINK("https://www.airitibooks.com/Detail/Detail?PublicationID=P20160829018", "https://www.airitibooks.com/Detail/Detail?PublicationID=P20160829018")</f>
        <v>https://www.airitibooks.com/Detail/Detail?PublicationID=P20160829018</v>
      </c>
      <c r="K4656" s="13" t="str">
        <f>HYPERLINK("https://ntsu.idm.oclc.org/login?url=https://www.airitibooks.com/Detail/Detail?PublicationID=P20160829018", "https://ntsu.idm.oclc.org/login?url=https://www.airitibooks.com/Detail/Detail?PublicationID=P20160829018")</f>
        <v>https://ntsu.idm.oclc.org/login?url=https://www.airitibooks.com/Detail/Detail?PublicationID=P20160829018</v>
      </c>
    </row>
    <row r="4657" spans="1:11" ht="68" x14ac:dyDescent="0.4">
      <c r="A4657" s="10" t="s">
        <v>5555</v>
      </c>
      <c r="B4657" s="10" t="s">
        <v>5556</v>
      </c>
      <c r="C4657" s="10" t="s">
        <v>1484</v>
      </c>
      <c r="D4657" s="10" t="s">
        <v>5557</v>
      </c>
      <c r="E4657" s="10" t="s">
        <v>64</v>
      </c>
      <c r="F4657" s="10" t="s">
        <v>475</v>
      </c>
      <c r="G4657" s="10" t="s">
        <v>87</v>
      </c>
      <c r="H4657" s="7" t="s">
        <v>24</v>
      </c>
      <c r="I4657" s="7" t="s">
        <v>25</v>
      </c>
      <c r="J4657" s="13" t="str">
        <f>HYPERLINK("https://www.airitibooks.com/Detail/Detail?PublicationID=P20160913114", "https://www.airitibooks.com/Detail/Detail?PublicationID=P20160913114")</f>
        <v>https://www.airitibooks.com/Detail/Detail?PublicationID=P20160913114</v>
      </c>
      <c r="K4657" s="13" t="str">
        <f>HYPERLINK("https://ntsu.idm.oclc.org/login?url=https://www.airitibooks.com/Detail/Detail?PublicationID=P20160913114", "https://ntsu.idm.oclc.org/login?url=https://www.airitibooks.com/Detail/Detail?PublicationID=P20160913114")</f>
        <v>https://ntsu.idm.oclc.org/login?url=https://www.airitibooks.com/Detail/Detail?PublicationID=P20160913114</v>
      </c>
    </row>
    <row r="4658" spans="1:11" ht="51" x14ac:dyDescent="0.4">
      <c r="A4658" s="10" t="s">
        <v>611</v>
      </c>
      <c r="B4658" s="10" t="s">
        <v>612</v>
      </c>
      <c r="C4658" s="10" t="s">
        <v>613</v>
      </c>
      <c r="D4658" s="10" t="s">
        <v>614</v>
      </c>
      <c r="E4658" s="10" t="s">
        <v>64</v>
      </c>
      <c r="F4658" s="10" t="s">
        <v>565</v>
      </c>
      <c r="G4658" s="10" t="s">
        <v>23</v>
      </c>
      <c r="H4658" s="7" t="s">
        <v>24</v>
      </c>
      <c r="I4658" s="7" t="s">
        <v>25</v>
      </c>
      <c r="J4658" s="13" t="str">
        <f>HYPERLINK("https://www.airitibooks.com/Detail/Detail?PublicationID=P20130502161", "https://www.airitibooks.com/Detail/Detail?PublicationID=P20130502161")</f>
        <v>https://www.airitibooks.com/Detail/Detail?PublicationID=P20130502161</v>
      </c>
      <c r="K4658" s="13" t="str">
        <f>HYPERLINK("https://ntsu.idm.oclc.org/login?url=https://www.airitibooks.com/Detail/Detail?PublicationID=P20130502161", "https://ntsu.idm.oclc.org/login?url=https://www.airitibooks.com/Detail/Detail?PublicationID=P20130502161")</f>
        <v>https://ntsu.idm.oclc.org/login?url=https://www.airitibooks.com/Detail/Detail?PublicationID=P20130502161</v>
      </c>
    </row>
    <row r="4659" spans="1:11" ht="51" x14ac:dyDescent="0.4">
      <c r="A4659" s="10" t="s">
        <v>669</v>
      </c>
      <c r="B4659" s="10" t="s">
        <v>670</v>
      </c>
      <c r="C4659" s="10" t="s">
        <v>212</v>
      </c>
      <c r="D4659" s="10" t="s">
        <v>671</v>
      </c>
      <c r="E4659" s="10" t="s">
        <v>64</v>
      </c>
      <c r="F4659" s="10" t="s">
        <v>672</v>
      </c>
      <c r="G4659" s="10" t="s">
        <v>23</v>
      </c>
      <c r="H4659" s="7" t="s">
        <v>24</v>
      </c>
      <c r="I4659" s="7" t="s">
        <v>25</v>
      </c>
      <c r="J4659" s="13" t="str">
        <f>HYPERLINK("https://www.airitibooks.com/Detail/Detail?PublicationID=P20130627066", "https://www.airitibooks.com/Detail/Detail?PublicationID=P20130627066")</f>
        <v>https://www.airitibooks.com/Detail/Detail?PublicationID=P20130627066</v>
      </c>
      <c r="K4659" s="13" t="str">
        <f>HYPERLINK("https://ntsu.idm.oclc.org/login?url=https://www.airitibooks.com/Detail/Detail?PublicationID=P20130627066", "https://ntsu.idm.oclc.org/login?url=https://www.airitibooks.com/Detail/Detail?PublicationID=P20130627066")</f>
        <v>https://ntsu.idm.oclc.org/login?url=https://www.airitibooks.com/Detail/Detail?PublicationID=P20130627066</v>
      </c>
    </row>
    <row r="4660" spans="1:11" ht="51" x14ac:dyDescent="0.4">
      <c r="A4660" s="10" t="s">
        <v>736</v>
      </c>
      <c r="B4660" s="10" t="s">
        <v>737</v>
      </c>
      <c r="C4660" s="10" t="s">
        <v>738</v>
      </c>
      <c r="D4660" s="10" t="s">
        <v>739</v>
      </c>
      <c r="E4660" s="10" t="s">
        <v>64</v>
      </c>
      <c r="F4660" s="10" t="s">
        <v>565</v>
      </c>
      <c r="G4660" s="10" t="s">
        <v>23</v>
      </c>
      <c r="H4660" s="7" t="s">
        <v>24</v>
      </c>
      <c r="I4660" s="7" t="s">
        <v>25</v>
      </c>
      <c r="J4660" s="13" t="str">
        <f>HYPERLINK("https://www.airitibooks.com/Detail/Detail?PublicationID=P20130808011", "https://www.airitibooks.com/Detail/Detail?PublicationID=P20130808011")</f>
        <v>https://www.airitibooks.com/Detail/Detail?PublicationID=P20130808011</v>
      </c>
      <c r="K4660" s="13" t="str">
        <f>HYPERLINK("https://ntsu.idm.oclc.org/login?url=https://www.airitibooks.com/Detail/Detail?PublicationID=P20130808011", "https://ntsu.idm.oclc.org/login?url=https://www.airitibooks.com/Detail/Detail?PublicationID=P20130808011")</f>
        <v>https://ntsu.idm.oclc.org/login?url=https://www.airitibooks.com/Detail/Detail?PublicationID=P20130808011</v>
      </c>
    </row>
    <row r="4661" spans="1:11" ht="51" x14ac:dyDescent="0.4">
      <c r="A4661" s="10" t="s">
        <v>749</v>
      </c>
      <c r="B4661" s="10" t="s">
        <v>750</v>
      </c>
      <c r="C4661" s="10" t="s">
        <v>751</v>
      </c>
      <c r="D4661" s="10" t="s">
        <v>752</v>
      </c>
      <c r="E4661" s="10" t="s">
        <v>64</v>
      </c>
      <c r="F4661" s="10" t="s">
        <v>753</v>
      </c>
      <c r="G4661" s="10" t="s">
        <v>23</v>
      </c>
      <c r="H4661" s="7" t="s">
        <v>24</v>
      </c>
      <c r="I4661" s="7" t="s">
        <v>25</v>
      </c>
      <c r="J4661" s="13" t="str">
        <f>HYPERLINK("https://www.airitibooks.com/Detail/Detail?PublicationID=P20130816004", "https://www.airitibooks.com/Detail/Detail?PublicationID=P20130816004")</f>
        <v>https://www.airitibooks.com/Detail/Detail?PublicationID=P20130816004</v>
      </c>
      <c r="K4661" s="13" t="str">
        <f>HYPERLINK("https://ntsu.idm.oclc.org/login?url=https://www.airitibooks.com/Detail/Detail?PublicationID=P20130816004", "https://ntsu.idm.oclc.org/login?url=https://www.airitibooks.com/Detail/Detail?PublicationID=P20130816004")</f>
        <v>https://ntsu.idm.oclc.org/login?url=https://www.airitibooks.com/Detail/Detail?PublicationID=P20130816004</v>
      </c>
    </row>
    <row r="4662" spans="1:11" ht="51" x14ac:dyDescent="0.4">
      <c r="A4662" s="10" t="s">
        <v>763</v>
      </c>
      <c r="B4662" s="10" t="s">
        <v>764</v>
      </c>
      <c r="C4662" s="10" t="s">
        <v>756</v>
      </c>
      <c r="D4662" s="10" t="s">
        <v>765</v>
      </c>
      <c r="E4662" s="10" t="s">
        <v>64</v>
      </c>
      <c r="F4662" s="10" t="s">
        <v>766</v>
      </c>
      <c r="G4662" s="10" t="s">
        <v>23</v>
      </c>
      <c r="H4662" s="7" t="s">
        <v>24</v>
      </c>
      <c r="I4662" s="7" t="s">
        <v>25</v>
      </c>
      <c r="J4662" s="13" t="str">
        <f>HYPERLINK("https://www.airitibooks.com/Detail/Detail?PublicationID=P20130829073", "https://www.airitibooks.com/Detail/Detail?PublicationID=P20130829073")</f>
        <v>https://www.airitibooks.com/Detail/Detail?PublicationID=P20130829073</v>
      </c>
      <c r="K4662" s="13" t="str">
        <f>HYPERLINK("https://ntsu.idm.oclc.org/login?url=https://www.airitibooks.com/Detail/Detail?PublicationID=P20130829073", "https://ntsu.idm.oclc.org/login?url=https://www.airitibooks.com/Detail/Detail?PublicationID=P20130829073")</f>
        <v>https://ntsu.idm.oclc.org/login?url=https://www.airitibooks.com/Detail/Detail?PublicationID=P20130829073</v>
      </c>
    </row>
    <row r="4663" spans="1:11" ht="51" x14ac:dyDescent="0.4">
      <c r="A4663" s="10" t="s">
        <v>798</v>
      </c>
      <c r="B4663" s="10" t="s">
        <v>799</v>
      </c>
      <c r="C4663" s="10" t="s">
        <v>800</v>
      </c>
      <c r="D4663" s="10" t="s">
        <v>801</v>
      </c>
      <c r="E4663" s="10" t="s">
        <v>64</v>
      </c>
      <c r="F4663" s="10" t="s">
        <v>250</v>
      </c>
      <c r="G4663" s="10" t="s">
        <v>23</v>
      </c>
      <c r="H4663" s="7" t="s">
        <v>24</v>
      </c>
      <c r="I4663" s="7" t="s">
        <v>25</v>
      </c>
      <c r="J4663" s="13" t="str">
        <f>HYPERLINK("https://www.airitibooks.com/Detail/Detail?PublicationID=P20130918121", "https://www.airitibooks.com/Detail/Detail?PublicationID=P20130918121")</f>
        <v>https://www.airitibooks.com/Detail/Detail?PublicationID=P20130918121</v>
      </c>
      <c r="K4663" s="13" t="str">
        <f>HYPERLINK("https://ntsu.idm.oclc.org/login?url=https://www.airitibooks.com/Detail/Detail?PublicationID=P20130918121", "https://ntsu.idm.oclc.org/login?url=https://www.airitibooks.com/Detail/Detail?PublicationID=P20130918121")</f>
        <v>https://ntsu.idm.oclc.org/login?url=https://www.airitibooks.com/Detail/Detail?PublicationID=P20130918121</v>
      </c>
    </row>
    <row r="4664" spans="1:11" ht="51" x14ac:dyDescent="0.4">
      <c r="A4664" s="10" t="s">
        <v>802</v>
      </c>
      <c r="B4664" s="10" t="s">
        <v>803</v>
      </c>
      <c r="C4664" s="10" t="s">
        <v>804</v>
      </c>
      <c r="D4664" s="10" t="s">
        <v>805</v>
      </c>
      <c r="E4664" s="10" t="s">
        <v>64</v>
      </c>
      <c r="F4664" s="10" t="s">
        <v>565</v>
      </c>
      <c r="G4664" s="10" t="s">
        <v>23</v>
      </c>
      <c r="H4664" s="7" t="s">
        <v>24</v>
      </c>
      <c r="I4664" s="7" t="s">
        <v>25</v>
      </c>
      <c r="J4664" s="13" t="str">
        <f>HYPERLINK("https://www.airitibooks.com/Detail/Detail?PublicationID=P20130918122", "https://www.airitibooks.com/Detail/Detail?PublicationID=P20130918122")</f>
        <v>https://www.airitibooks.com/Detail/Detail?PublicationID=P20130918122</v>
      </c>
      <c r="K4664" s="13" t="str">
        <f>HYPERLINK("https://ntsu.idm.oclc.org/login?url=https://www.airitibooks.com/Detail/Detail?PublicationID=P20130918122", "https://ntsu.idm.oclc.org/login?url=https://www.airitibooks.com/Detail/Detail?PublicationID=P20130918122")</f>
        <v>https://ntsu.idm.oclc.org/login?url=https://www.airitibooks.com/Detail/Detail?PublicationID=P20130918122</v>
      </c>
    </row>
    <row r="4665" spans="1:11" ht="51" x14ac:dyDescent="0.4">
      <c r="A4665" s="10" t="s">
        <v>817</v>
      </c>
      <c r="B4665" s="10" t="s">
        <v>818</v>
      </c>
      <c r="C4665" s="10" t="s">
        <v>819</v>
      </c>
      <c r="D4665" s="10" t="s">
        <v>820</v>
      </c>
      <c r="E4665" s="10" t="s">
        <v>64</v>
      </c>
      <c r="F4665" s="10" t="s">
        <v>821</v>
      </c>
      <c r="G4665" s="10" t="s">
        <v>23</v>
      </c>
      <c r="H4665" s="7" t="s">
        <v>24</v>
      </c>
      <c r="I4665" s="7" t="s">
        <v>25</v>
      </c>
      <c r="J4665" s="13" t="str">
        <f>HYPERLINK("https://www.airitibooks.com/Detail/Detail?PublicationID=P20131004022", "https://www.airitibooks.com/Detail/Detail?PublicationID=P20131004022")</f>
        <v>https://www.airitibooks.com/Detail/Detail?PublicationID=P20131004022</v>
      </c>
      <c r="K4665" s="13" t="str">
        <f>HYPERLINK("https://ntsu.idm.oclc.org/login?url=https://www.airitibooks.com/Detail/Detail?PublicationID=P20131004022", "https://ntsu.idm.oclc.org/login?url=https://www.airitibooks.com/Detail/Detail?PublicationID=P20131004022")</f>
        <v>https://ntsu.idm.oclc.org/login?url=https://www.airitibooks.com/Detail/Detail?PublicationID=P20131004022</v>
      </c>
    </row>
    <row r="4666" spans="1:11" ht="51" x14ac:dyDescent="0.4">
      <c r="A4666" s="10" t="s">
        <v>822</v>
      </c>
      <c r="B4666" s="10" t="s">
        <v>823</v>
      </c>
      <c r="C4666" s="10" t="s">
        <v>819</v>
      </c>
      <c r="D4666" s="10" t="s">
        <v>820</v>
      </c>
      <c r="E4666" s="10" t="s">
        <v>64</v>
      </c>
      <c r="F4666" s="10" t="s">
        <v>821</v>
      </c>
      <c r="G4666" s="10" t="s">
        <v>23</v>
      </c>
      <c r="H4666" s="7" t="s">
        <v>24</v>
      </c>
      <c r="I4666" s="7" t="s">
        <v>25</v>
      </c>
      <c r="J4666" s="13" t="str">
        <f>HYPERLINK("https://www.airitibooks.com/Detail/Detail?PublicationID=P20131004023", "https://www.airitibooks.com/Detail/Detail?PublicationID=P20131004023")</f>
        <v>https://www.airitibooks.com/Detail/Detail?PublicationID=P20131004023</v>
      </c>
      <c r="K4666" s="13" t="str">
        <f>HYPERLINK("https://ntsu.idm.oclc.org/login?url=https://www.airitibooks.com/Detail/Detail?PublicationID=P20131004023", "https://ntsu.idm.oclc.org/login?url=https://www.airitibooks.com/Detail/Detail?PublicationID=P20131004023")</f>
        <v>https://ntsu.idm.oclc.org/login?url=https://www.airitibooks.com/Detail/Detail?PublicationID=P20131004023</v>
      </c>
    </row>
    <row r="4667" spans="1:11" ht="51" x14ac:dyDescent="0.4">
      <c r="A4667" s="10" t="s">
        <v>824</v>
      </c>
      <c r="B4667" s="10" t="s">
        <v>825</v>
      </c>
      <c r="C4667" s="10" t="s">
        <v>819</v>
      </c>
      <c r="D4667" s="10" t="s">
        <v>820</v>
      </c>
      <c r="E4667" s="10" t="s">
        <v>64</v>
      </c>
      <c r="F4667" s="10" t="s">
        <v>821</v>
      </c>
      <c r="G4667" s="10" t="s">
        <v>23</v>
      </c>
      <c r="H4667" s="7" t="s">
        <v>24</v>
      </c>
      <c r="I4667" s="7" t="s">
        <v>25</v>
      </c>
      <c r="J4667" s="13" t="str">
        <f>HYPERLINK("https://www.airitibooks.com/Detail/Detail?PublicationID=P20131004024", "https://www.airitibooks.com/Detail/Detail?PublicationID=P20131004024")</f>
        <v>https://www.airitibooks.com/Detail/Detail?PublicationID=P20131004024</v>
      </c>
      <c r="K4667" s="13" t="str">
        <f>HYPERLINK("https://ntsu.idm.oclc.org/login?url=https://www.airitibooks.com/Detail/Detail?PublicationID=P20131004024", "https://ntsu.idm.oclc.org/login?url=https://www.airitibooks.com/Detail/Detail?PublicationID=P20131004024")</f>
        <v>https://ntsu.idm.oclc.org/login?url=https://www.airitibooks.com/Detail/Detail?PublicationID=P20131004024</v>
      </c>
    </row>
    <row r="4668" spans="1:11" ht="51" x14ac:dyDescent="0.4">
      <c r="A4668" s="10" t="s">
        <v>826</v>
      </c>
      <c r="B4668" s="10" t="s">
        <v>827</v>
      </c>
      <c r="C4668" s="10" t="s">
        <v>819</v>
      </c>
      <c r="D4668" s="10" t="s">
        <v>820</v>
      </c>
      <c r="E4668" s="10" t="s">
        <v>64</v>
      </c>
      <c r="F4668" s="10" t="s">
        <v>821</v>
      </c>
      <c r="G4668" s="10" t="s">
        <v>23</v>
      </c>
      <c r="H4668" s="7" t="s">
        <v>24</v>
      </c>
      <c r="I4668" s="7" t="s">
        <v>25</v>
      </c>
      <c r="J4668" s="13" t="str">
        <f>HYPERLINK("https://www.airitibooks.com/Detail/Detail?PublicationID=P20131004025", "https://www.airitibooks.com/Detail/Detail?PublicationID=P20131004025")</f>
        <v>https://www.airitibooks.com/Detail/Detail?PublicationID=P20131004025</v>
      </c>
      <c r="K4668" s="13" t="str">
        <f>HYPERLINK("https://ntsu.idm.oclc.org/login?url=https://www.airitibooks.com/Detail/Detail?PublicationID=P20131004025", "https://ntsu.idm.oclc.org/login?url=https://www.airitibooks.com/Detail/Detail?PublicationID=P20131004025")</f>
        <v>https://ntsu.idm.oclc.org/login?url=https://www.airitibooks.com/Detail/Detail?PublicationID=P20131004025</v>
      </c>
    </row>
    <row r="4669" spans="1:11" ht="51" x14ac:dyDescent="0.4">
      <c r="A4669" s="10" t="s">
        <v>828</v>
      </c>
      <c r="B4669" s="10" t="s">
        <v>829</v>
      </c>
      <c r="C4669" s="10" t="s">
        <v>819</v>
      </c>
      <c r="D4669" s="10" t="s">
        <v>820</v>
      </c>
      <c r="E4669" s="10" t="s">
        <v>64</v>
      </c>
      <c r="F4669" s="10" t="s">
        <v>821</v>
      </c>
      <c r="G4669" s="10" t="s">
        <v>23</v>
      </c>
      <c r="H4669" s="7" t="s">
        <v>24</v>
      </c>
      <c r="I4669" s="7" t="s">
        <v>25</v>
      </c>
      <c r="J4669" s="13" t="str">
        <f>HYPERLINK("https://www.airitibooks.com/Detail/Detail?PublicationID=P20131004026", "https://www.airitibooks.com/Detail/Detail?PublicationID=P20131004026")</f>
        <v>https://www.airitibooks.com/Detail/Detail?PublicationID=P20131004026</v>
      </c>
      <c r="K4669" s="13" t="str">
        <f>HYPERLINK("https://ntsu.idm.oclc.org/login?url=https://www.airitibooks.com/Detail/Detail?PublicationID=P20131004026", "https://ntsu.idm.oclc.org/login?url=https://www.airitibooks.com/Detail/Detail?PublicationID=P20131004026")</f>
        <v>https://ntsu.idm.oclc.org/login?url=https://www.airitibooks.com/Detail/Detail?PublicationID=P20131004026</v>
      </c>
    </row>
    <row r="4670" spans="1:11" ht="51" x14ac:dyDescent="0.4">
      <c r="A4670" s="10" t="s">
        <v>830</v>
      </c>
      <c r="B4670" s="10" t="s">
        <v>831</v>
      </c>
      <c r="C4670" s="10" t="s">
        <v>819</v>
      </c>
      <c r="D4670" s="10" t="s">
        <v>820</v>
      </c>
      <c r="E4670" s="10" t="s">
        <v>64</v>
      </c>
      <c r="F4670" s="10" t="s">
        <v>821</v>
      </c>
      <c r="G4670" s="10" t="s">
        <v>23</v>
      </c>
      <c r="H4670" s="7" t="s">
        <v>24</v>
      </c>
      <c r="I4670" s="7" t="s">
        <v>25</v>
      </c>
      <c r="J4670" s="13" t="str">
        <f>HYPERLINK("https://www.airitibooks.com/Detail/Detail?PublicationID=P20131004027", "https://www.airitibooks.com/Detail/Detail?PublicationID=P20131004027")</f>
        <v>https://www.airitibooks.com/Detail/Detail?PublicationID=P20131004027</v>
      </c>
      <c r="K4670" s="13" t="str">
        <f>HYPERLINK("https://ntsu.idm.oclc.org/login?url=https://www.airitibooks.com/Detail/Detail?PublicationID=P20131004027", "https://ntsu.idm.oclc.org/login?url=https://www.airitibooks.com/Detail/Detail?PublicationID=P20131004027")</f>
        <v>https://ntsu.idm.oclc.org/login?url=https://www.airitibooks.com/Detail/Detail?PublicationID=P20131004027</v>
      </c>
    </row>
    <row r="4671" spans="1:11" ht="51" x14ac:dyDescent="0.4">
      <c r="A4671" s="10" t="s">
        <v>832</v>
      </c>
      <c r="B4671" s="10" t="s">
        <v>833</v>
      </c>
      <c r="C4671" s="10" t="s">
        <v>819</v>
      </c>
      <c r="D4671" s="10" t="s">
        <v>820</v>
      </c>
      <c r="E4671" s="10" t="s">
        <v>64</v>
      </c>
      <c r="F4671" s="10" t="s">
        <v>821</v>
      </c>
      <c r="G4671" s="10" t="s">
        <v>23</v>
      </c>
      <c r="H4671" s="7" t="s">
        <v>24</v>
      </c>
      <c r="I4671" s="7" t="s">
        <v>25</v>
      </c>
      <c r="J4671" s="13" t="str">
        <f>HYPERLINK("https://www.airitibooks.com/Detail/Detail?PublicationID=P20131004028", "https://www.airitibooks.com/Detail/Detail?PublicationID=P20131004028")</f>
        <v>https://www.airitibooks.com/Detail/Detail?PublicationID=P20131004028</v>
      </c>
      <c r="K4671" s="13" t="str">
        <f>HYPERLINK("https://ntsu.idm.oclc.org/login?url=https://www.airitibooks.com/Detail/Detail?PublicationID=P20131004028", "https://ntsu.idm.oclc.org/login?url=https://www.airitibooks.com/Detail/Detail?PublicationID=P20131004028")</f>
        <v>https://ntsu.idm.oclc.org/login?url=https://www.airitibooks.com/Detail/Detail?PublicationID=P20131004028</v>
      </c>
    </row>
    <row r="4672" spans="1:11" ht="51" x14ac:dyDescent="0.4">
      <c r="A4672" s="10" t="s">
        <v>834</v>
      </c>
      <c r="B4672" s="10" t="s">
        <v>835</v>
      </c>
      <c r="C4672" s="10" t="s">
        <v>819</v>
      </c>
      <c r="D4672" s="10" t="s">
        <v>820</v>
      </c>
      <c r="E4672" s="10" t="s">
        <v>64</v>
      </c>
      <c r="F4672" s="10" t="s">
        <v>821</v>
      </c>
      <c r="G4672" s="10" t="s">
        <v>23</v>
      </c>
      <c r="H4672" s="7" t="s">
        <v>24</v>
      </c>
      <c r="I4672" s="7" t="s">
        <v>25</v>
      </c>
      <c r="J4672" s="13" t="str">
        <f>HYPERLINK("https://www.airitibooks.com/Detail/Detail?PublicationID=P20131004029", "https://www.airitibooks.com/Detail/Detail?PublicationID=P20131004029")</f>
        <v>https://www.airitibooks.com/Detail/Detail?PublicationID=P20131004029</v>
      </c>
      <c r="K4672" s="13" t="str">
        <f>HYPERLINK("https://ntsu.idm.oclc.org/login?url=https://www.airitibooks.com/Detail/Detail?PublicationID=P20131004029", "https://ntsu.idm.oclc.org/login?url=https://www.airitibooks.com/Detail/Detail?PublicationID=P20131004029")</f>
        <v>https://ntsu.idm.oclc.org/login?url=https://www.airitibooks.com/Detail/Detail?PublicationID=P20131004029</v>
      </c>
    </row>
    <row r="4673" spans="1:11" ht="51" x14ac:dyDescent="0.4">
      <c r="A4673" s="10" t="s">
        <v>933</v>
      </c>
      <c r="B4673" s="10" t="s">
        <v>934</v>
      </c>
      <c r="C4673" s="10" t="s">
        <v>212</v>
      </c>
      <c r="D4673" s="10" t="s">
        <v>935</v>
      </c>
      <c r="E4673" s="10" t="s">
        <v>64</v>
      </c>
      <c r="F4673" s="10" t="s">
        <v>793</v>
      </c>
      <c r="G4673" s="10" t="s">
        <v>23</v>
      </c>
      <c r="H4673" s="7" t="s">
        <v>24</v>
      </c>
      <c r="I4673" s="7" t="s">
        <v>25</v>
      </c>
      <c r="J4673" s="13" t="str">
        <f>HYPERLINK("https://www.airitibooks.com/Detail/Detail?PublicationID=P20131017111", "https://www.airitibooks.com/Detail/Detail?PublicationID=P20131017111")</f>
        <v>https://www.airitibooks.com/Detail/Detail?PublicationID=P20131017111</v>
      </c>
      <c r="K4673" s="13" t="str">
        <f>HYPERLINK("https://ntsu.idm.oclc.org/login?url=https://www.airitibooks.com/Detail/Detail?PublicationID=P20131017111", "https://ntsu.idm.oclc.org/login?url=https://www.airitibooks.com/Detail/Detail?PublicationID=P20131017111")</f>
        <v>https://ntsu.idm.oclc.org/login?url=https://www.airitibooks.com/Detail/Detail?PublicationID=P20131017111</v>
      </c>
    </row>
    <row r="4674" spans="1:11" ht="51" x14ac:dyDescent="0.4">
      <c r="A4674" s="10" t="s">
        <v>976</v>
      </c>
      <c r="B4674" s="10" t="s">
        <v>977</v>
      </c>
      <c r="C4674" s="10" t="s">
        <v>661</v>
      </c>
      <c r="D4674" s="10" t="s">
        <v>978</v>
      </c>
      <c r="E4674" s="10" t="s">
        <v>64</v>
      </c>
      <c r="F4674" s="10" t="s">
        <v>546</v>
      </c>
      <c r="G4674" s="10" t="s">
        <v>23</v>
      </c>
      <c r="H4674" s="7" t="s">
        <v>24</v>
      </c>
      <c r="I4674" s="7" t="s">
        <v>25</v>
      </c>
      <c r="J4674" s="13" t="str">
        <f>HYPERLINK("https://www.airitibooks.com/Detail/Detail?PublicationID=P20131024058", "https://www.airitibooks.com/Detail/Detail?PublicationID=P20131024058")</f>
        <v>https://www.airitibooks.com/Detail/Detail?PublicationID=P20131024058</v>
      </c>
      <c r="K4674" s="13" t="str">
        <f>HYPERLINK("https://ntsu.idm.oclc.org/login?url=https://www.airitibooks.com/Detail/Detail?PublicationID=P20131024058", "https://ntsu.idm.oclc.org/login?url=https://www.airitibooks.com/Detail/Detail?PublicationID=P20131024058")</f>
        <v>https://ntsu.idm.oclc.org/login?url=https://www.airitibooks.com/Detail/Detail?PublicationID=P20131024058</v>
      </c>
    </row>
    <row r="4675" spans="1:11" ht="51" x14ac:dyDescent="0.4">
      <c r="A4675" s="10" t="s">
        <v>988</v>
      </c>
      <c r="B4675" s="10" t="s">
        <v>989</v>
      </c>
      <c r="C4675" s="10" t="s">
        <v>990</v>
      </c>
      <c r="D4675" s="10" t="s">
        <v>991</v>
      </c>
      <c r="E4675" s="10" t="s">
        <v>64</v>
      </c>
      <c r="F4675" s="10" t="s">
        <v>992</v>
      </c>
      <c r="G4675" s="10" t="s">
        <v>23</v>
      </c>
      <c r="H4675" s="7" t="s">
        <v>24</v>
      </c>
      <c r="I4675" s="7" t="s">
        <v>25</v>
      </c>
      <c r="J4675" s="13" t="str">
        <f>HYPERLINK("https://www.airitibooks.com/Detail/Detail?PublicationID=P20131101014", "https://www.airitibooks.com/Detail/Detail?PublicationID=P20131101014")</f>
        <v>https://www.airitibooks.com/Detail/Detail?PublicationID=P20131101014</v>
      </c>
      <c r="K4675" s="13" t="str">
        <f>HYPERLINK("https://ntsu.idm.oclc.org/login?url=https://www.airitibooks.com/Detail/Detail?PublicationID=P20131101014", "https://ntsu.idm.oclc.org/login?url=https://www.airitibooks.com/Detail/Detail?PublicationID=P20131101014")</f>
        <v>https://ntsu.idm.oclc.org/login?url=https://www.airitibooks.com/Detail/Detail?PublicationID=P20131101014</v>
      </c>
    </row>
    <row r="4676" spans="1:11" ht="51" x14ac:dyDescent="0.4">
      <c r="A4676" s="10" t="s">
        <v>1018</v>
      </c>
      <c r="B4676" s="10" t="s">
        <v>1019</v>
      </c>
      <c r="C4676" s="10" t="s">
        <v>1020</v>
      </c>
      <c r="D4676" s="10" t="s">
        <v>1021</v>
      </c>
      <c r="E4676" s="10" t="s">
        <v>64</v>
      </c>
      <c r="F4676" s="10" t="s">
        <v>1022</v>
      </c>
      <c r="G4676" s="10" t="s">
        <v>23</v>
      </c>
      <c r="H4676" s="7" t="s">
        <v>24</v>
      </c>
      <c r="I4676" s="7" t="s">
        <v>25</v>
      </c>
      <c r="J4676" s="13" t="str">
        <f>HYPERLINK("https://www.airitibooks.com/Detail/Detail?PublicationID=P20131106026", "https://www.airitibooks.com/Detail/Detail?PublicationID=P20131106026")</f>
        <v>https://www.airitibooks.com/Detail/Detail?PublicationID=P20131106026</v>
      </c>
      <c r="K4676" s="13" t="str">
        <f>HYPERLINK("https://ntsu.idm.oclc.org/login?url=https://www.airitibooks.com/Detail/Detail?PublicationID=P20131106026", "https://ntsu.idm.oclc.org/login?url=https://www.airitibooks.com/Detail/Detail?PublicationID=P20131106026")</f>
        <v>https://ntsu.idm.oclc.org/login?url=https://www.airitibooks.com/Detail/Detail?PublicationID=P20131106026</v>
      </c>
    </row>
    <row r="4677" spans="1:11" ht="51" x14ac:dyDescent="0.4">
      <c r="A4677" s="10" t="s">
        <v>1042</v>
      </c>
      <c r="B4677" s="10" t="s">
        <v>1043</v>
      </c>
      <c r="C4677" s="10" t="s">
        <v>800</v>
      </c>
      <c r="D4677" s="10" t="s">
        <v>1044</v>
      </c>
      <c r="E4677" s="10" t="s">
        <v>64</v>
      </c>
      <c r="F4677" s="10" t="s">
        <v>250</v>
      </c>
      <c r="G4677" s="10" t="s">
        <v>23</v>
      </c>
      <c r="H4677" s="7" t="s">
        <v>24</v>
      </c>
      <c r="I4677" s="7" t="s">
        <v>25</v>
      </c>
      <c r="J4677" s="13" t="str">
        <f>HYPERLINK("https://www.airitibooks.com/Detail/Detail?PublicationID=P20131128017", "https://www.airitibooks.com/Detail/Detail?PublicationID=P20131128017")</f>
        <v>https://www.airitibooks.com/Detail/Detail?PublicationID=P20131128017</v>
      </c>
      <c r="K4677" s="13" t="str">
        <f>HYPERLINK("https://ntsu.idm.oclc.org/login?url=https://www.airitibooks.com/Detail/Detail?PublicationID=P20131128017", "https://ntsu.idm.oclc.org/login?url=https://www.airitibooks.com/Detail/Detail?PublicationID=P20131128017")</f>
        <v>https://ntsu.idm.oclc.org/login?url=https://www.airitibooks.com/Detail/Detail?PublicationID=P20131128017</v>
      </c>
    </row>
    <row r="4678" spans="1:11" ht="85" x14ac:dyDescent="0.4">
      <c r="A4678" s="10" t="s">
        <v>1045</v>
      </c>
      <c r="B4678" s="10" t="s">
        <v>1046</v>
      </c>
      <c r="C4678" s="10" t="s">
        <v>1047</v>
      </c>
      <c r="D4678" s="10" t="s">
        <v>1048</v>
      </c>
      <c r="E4678" s="10" t="s">
        <v>64</v>
      </c>
      <c r="F4678" s="10" t="s">
        <v>1049</v>
      </c>
      <c r="G4678" s="10" t="s">
        <v>23</v>
      </c>
      <c r="H4678" s="7" t="s">
        <v>24</v>
      </c>
      <c r="I4678" s="7" t="s">
        <v>25</v>
      </c>
      <c r="J4678" s="13" t="str">
        <f>HYPERLINK("https://www.airitibooks.com/Detail/Detail?PublicationID=P20131206015", "https://www.airitibooks.com/Detail/Detail?PublicationID=P20131206015")</f>
        <v>https://www.airitibooks.com/Detail/Detail?PublicationID=P20131206015</v>
      </c>
      <c r="K4678" s="13" t="str">
        <f>HYPERLINK("https://ntsu.idm.oclc.org/login?url=https://www.airitibooks.com/Detail/Detail?PublicationID=P20131206015", "https://ntsu.idm.oclc.org/login?url=https://www.airitibooks.com/Detail/Detail?PublicationID=P20131206015")</f>
        <v>https://ntsu.idm.oclc.org/login?url=https://www.airitibooks.com/Detail/Detail?PublicationID=P20131206015</v>
      </c>
    </row>
    <row r="4679" spans="1:11" ht="51" x14ac:dyDescent="0.4">
      <c r="A4679" s="10" t="s">
        <v>1057</v>
      </c>
      <c r="B4679" s="10" t="s">
        <v>1058</v>
      </c>
      <c r="C4679" s="10" t="s">
        <v>1059</v>
      </c>
      <c r="D4679" s="10" t="s">
        <v>1060</v>
      </c>
      <c r="E4679" s="10" t="s">
        <v>64</v>
      </c>
      <c r="F4679" s="10" t="s">
        <v>762</v>
      </c>
      <c r="G4679" s="10" t="s">
        <v>23</v>
      </c>
      <c r="H4679" s="7" t="s">
        <v>24</v>
      </c>
      <c r="I4679" s="7" t="s">
        <v>25</v>
      </c>
      <c r="J4679" s="13" t="str">
        <f>HYPERLINK("https://www.airitibooks.com/Detail/Detail?PublicationID=P20131213541", "https://www.airitibooks.com/Detail/Detail?PublicationID=P20131213541")</f>
        <v>https://www.airitibooks.com/Detail/Detail?PublicationID=P20131213541</v>
      </c>
      <c r="K4679" s="13" t="str">
        <f>HYPERLINK("https://ntsu.idm.oclc.org/login?url=https://www.airitibooks.com/Detail/Detail?PublicationID=P20131213541", "https://ntsu.idm.oclc.org/login?url=https://www.airitibooks.com/Detail/Detail?PublicationID=P20131213541")</f>
        <v>https://ntsu.idm.oclc.org/login?url=https://www.airitibooks.com/Detail/Detail?PublicationID=P20131213541</v>
      </c>
    </row>
    <row r="4680" spans="1:11" ht="51" x14ac:dyDescent="0.4">
      <c r="A4680" s="10" t="s">
        <v>1079</v>
      </c>
      <c r="B4680" s="10" t="s">
        <v>1080</v>
      </c>
      <c r="C4680" s="10" t="s">
        <v>751</v>
      </c>
      <c r="D4680" s="10" t="s">
        <v>752</v>
      </c>
      <c r="E4680" s="10" t="s">
        <v>64</v>
      </c>
      <c r="F4680" s="10" t="s">
        <v>1081</v>
      </c>
      <c r="G4680" s="10" t="s">
        <v>23</v>
      </c>
      <c r="H4680" s="7" t="s">
        <v>24</v>
      </c>
      <c r="I4680" s="7" t="s">
        <v>25</v>
      </c>
      <c r="J4680" s="13" t="str">
        <f>HYPERLINK("https://www.airitibooks.com/Detail/Detail?PublicationID=P20131226044", "https://www.airitibooks.com/Detail/Detail?PublicationID=P20131226044")</f>
        <v>https://www.airitibooks.com/Detail/Detail?PublicationID=P20131226044</v>
      </c>
      <c r="K4680" s="13" t="str">
        <f>HYPERLINK("https://ntsu.idm.oclc.org/login?url=https://www.airitibooks.com/Detail/Detail?PublicationID=P20131226044", "https://ntsu.idm.oclc.org/login?url=https://www.airitibooks.com/Detail/Detail?PublicationID=P20131226044")</f>
        <v>https://ntsu.idm.oclc.org/login?url=https://www.airitibooks.com/Detail/Detail?PublicationID=P20131226044</v>
      </c>
    </row>
    <row r="4681" spans="1:11" ht="51" x14ac:dyDescent="0.4">
      <c r="A4681" s="10" t="s">
        <v>1082</v>
      </c>
      <c r="B4681" s="10" t="s">
        <v>1083</v>
      </c>
      <c r="C4681" s="10" t="s">
        <v>751</v>
      </c>
      <c r="D4681" s="10" t="s">
        <v>752</v>
      </c>
      <c r="E4681" s="10" t="s">
        <v>64</v>
      </c>
      <c r="F4681" s="10" t="s">
        <v>720</v>
      </c>
      <c r="G4681" s="10" t="s">
        <v>23</v>
      </c>
      <c r="H4681" s="7" t="s">
        <v>24</v>
      </c>
      <c r="I4681" s="7" t="s">
        <v>25</v>
      </c>
      <c r="J4681" s="13" t="str">
        <f>HYPERLINK("https://www.airitibooks.com/Detail/Detail?PublicationID=P20131226045", "https://www.airitibooks.com/Detail/Detail?PublicationID=P20131226045")</f>
        <v>https://www.airitibooks.com/Detail/Detail?PublicationID=P20131226045</v>
      </c>
      <c r="K4681" s="13" t="str">
        <f>HYPERLINK("https://ntsu.idm.oclc.org/login?url=https://www.airitibooks.com/Detail/Detail?PublicationID=P20131226045", "https://ntsu.idm.oclc.org/login?url=https://www.airitibooks.com/Detail/Detail?PublicationID=P20131226045")</f>
        <v>https://ntsu.idm.oclc.org/login?url=https://www.airitibooks.com/Detail/Detail?PublicationID=P20131226045</v>
      </c>
    </row>
    <row r="4682" spans="1:11" ht="68" x14ac:dyDescent="0.4">
      <c r="A4682" s="10" t="s">
        <v>1101</v>
      </c>
      <c r="B4682" s="10" t="s">
        <v>1102</v>
      </c>
      <c r="C4682" s="10" t="s">
        <v>791</v>
      </c>
      <c r="D4682" s="10" t="s">
        <v>1103</v>
      </c>
      <c r="E4682" s="10" t="s">
        <v>64</v>
      </c>
      <c r="F4682" s="10" t="s">
        <v>720</v>
      </c>
      <c r="G4682" s="10" t="s">
        <v>23</v>
      </c>
      <c r="H4682" s="7" t="s">
        <v>24</v>
      </c>
      <c r="I4682" s="7" t="s">
        <v>25</v>
      </c>
      <c r="J4682" s="13" t="str">
        <f>HYPERLINK("https://www.airitibooks.com/Detail/Detail?PublicationID=P20140115005", "https://www.airitibooks.com/Detail/Detail?PublicationID=P20140115005")</f>
        <v>https://www.airitibooks.com/Detail/Detail?PublicationID=P20140115005</v>
      </c>
      <c r="K4682" s="13" t="str">
        <f>HYPERLINK("https://ntsu.idm.oclc.org/login?url=https://www.airitibooks.com/Detail/Detail?PublicationID=P20140115005", "https://ntsu.idm.oclc.org/login?url=https://www.airitibooks.com/Detail/Detail?PublicationID=P20140115005")</f>
        <v>https://ntsu.idm.oclc.org/login?url=https://www.airitibooks.com/Detail/Detail?PublicationID=P20140115005</v>
      </c>
    </row>
    <row r="4683" spans="1:11" ht="51" x14ac:dyDescent="0.4">
      <c r="A4683" s="10" t="s">
        <v>1104</v>
      </c>
      <c r="B4683" s="10" t="s">
        <v>1105</v>
      </c>
      <c r="C4683" s="10" t="s">
        <v>791</v>
      </c>
      <c r="D4683" s="10" t="s">
        <v>1106</v>
      </c>
      <c r="E4683" s="10" t="s">
        <v>64</v>
      </c>
      <c r="F4683" s="10" t="s">
        <v>793</v>
      </c>
      <c r="G4683" s="10" t="s">
        <v>23</v>
      </c>
      <c r="H4683" s="7" t="s">
        <v>24</v>
      </c>
      <c r="I4683" s="7" t="s">
        <v>25</v>
      </c>
      <c r="J4683" s="13" t="str">
        <f>HYPERLINK("https://www.airitibooks.com/Detail/Detail?PublicationID=P20140115006", "https://www.airitibooks.com/Detail/Detail?PublicationID=P20140115006")</f>
        <v>https://www.airitibooks.com/Detail/Detail?PublicationID=P20140115006</v>
      </c>
      <c r="K4683" s="13" t="str">
        <f>HYPERLINK("https://ntsu.idm.oclc.org/login?url=https://www.airitibooks.com/Detail/Detail?PublicationID=P20140115006", "https://ntsu.idm.oclc.org/login?url=https://www.airitibooks.com/Detail/Detail?PublicationID=P20140115006")</f>
        <v>https://ntsu.idm.oclc.org/login?url=https://www.airitibooks.com/Detail/Detail?PublicationID=P20140115006</v>
      </c>
    </row>
    <row r="4684" spans="1:11" ht="51" x14ac:dyDescent="0.4">
      <c r="A4684" s="10" t="s">
        <v>1120</v>
      </c>
      <c r="B4684" s="10" t="s">
        <v>1121</v>
      </c>
      <c r="C4684" s="10" t="s">
        <v>212</v>
      </c>
      <c r="D4684" s="10" t="s">
        <v>671</v>
      </c>
      <c r="E4684" s="10" t="s">
        <v>64</v>
      </c>
      <c r="F4684" s="10" t="s">
        <v>1122</v>
      </c>
      <c r="G4684" s="10" t="s">
        <v>23</v>
      </c>
      <c r="H4684" s="7" t="s">
        <v>24</v>
      </c>
      <c r="I4684" s="7" t="s">
        <v>25</v>
      </c>
      <c r="J4684" s="13" t="str">
        <f>HYPERLINK("https://www.airitibooks.com/Detail/Detail?PublicationID=P20140120057", "https://www.airitibooks.com/Detail/Detail?PublicationID=P20140120057")</f>
        <v>https://www.airitibooks.com/Detail/Detail?PublicationID=P20140120057</v>
      </c>
      <c r="K4684" s="13" t="str">
        <f>HYPERLINK("https://ntsu.idm.oclc.org/login?url=https://www.airitibooks.com/Detail/Detail?PublicationID=P20140120057", "https://ntsu.idm.oclc.org/login?url=https://www.airitibooks.com/Detail/Detail?PublicationID=P20140120057")</f>
        <v>https://ntsu.idm.oclc.org/login?url=https://www.airitibooks.com/Detail/Detail?PublicationID=P20140120057</v>
      </c>
    </row>
    <row r="4685" spans="1:11" ht="51" x14ac:dyDescent="0.4">
      <c r="A4685" s="10" t="s">
        <v>1123</v>
      </c>
      <c r="B4685" s="10" t="s">
        <v>1124</v>
      </c>
      <c r="C4685" s="10" t="s">
        <v>1125</v>
      </c>
      <c r="D4685" s="10" t="s">
        <v>1126</v>
      </c>
      <c r="E4685" s="10" t="s">
        <v>64</v>
      </c>
      <c r="F4685" s="10" t="s">
        <v>1127</v>
      </c>
      <c r="G4685" s="10" t="s">
        <v>23</v>
      </c>
      <c r="H4685" s="7" t="s">
        <v>24</v>
      </c>
      <c r="I4685" s="7" t="s">
        <v>25</v>
      </c>
      <c r="J4685" s="13" t="str">
        <f>HYPERLINK("https://www.airitibooks.com/Detail/Detail?PublicationID=P20140120058", "https://www.airitibooks.com/Detail/Detail?PublicationID=P20140120058")</f>
        <v>https://www.airitibooks.com/Detail/Detail?PublicationID=P20140120058</v>
      </c>
      <c r="K4685" s="13" t="str">
        <f>HYPERLINK("https://ntsu.idm.oclc.org/login?url=https://www.airitibooks.com/Detail/Detail?PublicationID=P20140120058", "https://ntsu.idm.oclc.org/login?url=https://www.airitibooks.com/Detail/Detail?PublicationID=P20140120058")</f>
        <v>https://ntsu.idm.oclc.org/login?url=https://www.airitibooks.com/Detail/Detail?PublicationID=P20140120058</v>
      </c>
    </row>
    <row r="4686" spans="1:11" ht="51" x14ac:dyDescent="0.4">
      <c r="A4686" s="10" t="s">
        <v>1158</v>
      </c>
      <c r="B4686" s="10" t="s">
        <v>1159</v>
      </c>
      <c r="C4686" s="10" t="s">
        <v>1160</v>
      </c>
      <c r="D4686" s="10" t="s">
        <v>1161</v>
      </c>
      <c r="E4686" s="10" t="s">
        <v>64</v>
      </c>
      <c r="F4686" s="10" t="s">
        <v>565</v>
      </c>
      <c r="G4686" s="10" t="s">
        <v>23</v>
      </c>
      <c r="H4686" s="7" t="s">
        <v>24</v>
      </c>
      <c r="I4686" s="7" t="s">
        <v>25</v>
      </c>
      <c r="J4686" s="13" t="str">
        <f>HYPERLINK("https://www.airitibooks.com/Detail/Detail?PublicationID=P20140211047", "https://www.airitibooks.com/Detail/Detail?PublicationID=P20140211047")</f>
        <v>https://www.airitibooks.com/Detail/Detail?PublicationID=P20140211047</v>
      </c>
      <c r="K4686" s="13" t="str">
        <f>HYPERLINK("https://ntsu.idm.oclc.org/login?url=https://www.airitibooks.com/Detail/Detail?PublicationID=P20140211047", "https://ntsu.idm.oclc.org/login?url=https://www.airitibooks.com/Detail/Detail?PublicationID=P20140211047")</f>
        <v>https://ntsu.idm.oclc.org/login?url=https://www.airitibooks.com/Detail/Detail?PublicationID=P20140211047</v>
      </c>
    </row>
    <row r="4687" spans="1:11" ht="51" x14ac:dyDescent="0.4">
      <c r="A4687" s="10" t="s">
        <v>1162</v>
      </c>
      <c r="B4687" s="10" t="s">
        <v>1163</v>
      </c>
      <c r="C4687" s="10" t="s">
        <v>1160</v>
      </c>
      <c r="D4687" s="10" t="s">
        <v>1161</v>
      </c>
      <c r="E4687" s="10" t="s">
        <v>64</v>
      </c>
      <c r="F4687" s="10" t="s">
        <v>1164</v>
      </c>
      <c r="G4687" s="10" t="s">
        <v>23</v>
      </c>
      <c r="H4687" s="7" t="s">
        <v>24</v>
      </c>
      <c r="I4687" s="7" t="s">
        <v>25</v>
      </c>
      <c r="J4687" s="13" t="str">
        <f>HYPERLINK("https://www.airitibooks.com/Detail/Detail?PublicationID=P20140211048", "https://www.airitibooks.com/Detail/Detail?PublicationID=P20140211048")</f>
        <v>https://www.airitibooks.com/Detail/Detail?PublicationID=P20140211048</v>
      </c>
      <c r="K4687" s="13" t="str">
        <f>HYPERLINK("https://ntsu.idm.oclc.org/login?url=https://www.airitibooks.com/Detail/Detail?PublicationID=P20140211048", "https://ntsu.idm.oclc.org/login?url=https://www.airitibooks.com/Detail/Detail?PublicationID=P20140211048")</f>
        <v>https://ntsu.idm.oclc.org/login?url=https://www.airitibooks.com/Detail/Detail?PublicationID=P20140211048</v>
      </c>
    </row>
    <row r="4688" spans="1:11" ht="51" x14ac:dyDescent="0.4">
      <c r="A4688" s="10" t="s">
        <v>1183</v>
      </c>
      <c r="B4688" s="10" t="s">
        <v>1184</v>
      </c>
      <c r="C4688" s="10" t="s">
        <v>990</v>
      </c>
      <c r="D4688" s="10" t="s">
        <v>1185</v>
      </c>
      <c r="E4688" s="10" t="s">
        <v>64</v>
      </c>
      <c r="F4688" s="10" t="s">
        <v>1186</v>
      </c>
      <c r="G4688" s="10" t="s">
        <v>23</v>
      </c>
      <c r="H4688" s="7" t="s">
        <v>24</v>
      </c>
      <c r="I4688" s="7" t="s">
        <v>25</v>
      </c>
      <c r="J4688" s="13" t="str">
        <f>HYPERLINK("https://www.airitibooks.com/Detail/Detail?PublicationID=P20140307075", "https://www.airitibooks.com/Detail/Detail?PublicationID=P20140307075")</f>
        <v>https://www.airitibooks.com/Detail/Detail?PublicationID=P20140307075</v>
      </c>
      <c r="K4688" s="13" t="str">
        <f>HYPERLINK("https://ntsu.idm.oclc.org/login?url=https://www.airitibooks.com/Detail/Detail?PublicationID=P20140307075", "https://ntsu.idm.oclc.org/login?url=https://www.airitibooks.com/Detail/Detail?PublicationID=P20140307075")</f>
        <v>https://ntsu.idm.oclc.org/login?url=https://www.airitibooks.com/Detail/Detail?PublicationID=P20140307075</v>
      </c>
    </row>
    <row r="4689" spans="1:11" ht="51" x14ac:dyDescent="0.4">
      <c r="A4689" s="10" t="s">
        <v>1187</v>
      </c>
      <c r="B4689" s="10" t="s">
        <v>1188</v>
      </c>
      <c r="C4689" s="10" t="s">
        <v>990</v>
      </c>
      <c r="D4689" s="10" t="s">
        <v>1189</v>
      </c>
      <c r="E4689" s="10" t="s">
        <v>64</v>
      </c>
      <c r="F4689" s="10" t="s">
        <v>1190</v>
      </c>
      <c r="G4689" s="10" t="s">
        <v>23</v>
      </c>
      <c r="H4689" s="7" t="s">
        <v>24</v>
      </c>
      <c r="I4689" s="7" t="s">
        <v>25</v>
      </c>
      <c r="J4689" s="13" t="str">
        <f>HYPERLINK("https://www.airitibooks.com/Detail/Detail?PublicationID=P20140307076", "https://www.airitibooks.com/Detail/Detail?PublicationID=P20140307076")</f>
        <v>https://www.airitibooks.com/Detail/Detail?PublicationID=P20140307076</v>
      </c>
      <c r="K4689" s="13" t="str">
        <f>HYPERLINK("https://ntsu.idm.oclc.org/login?url=https://www.airitibooks.com/Detail/Detail?PublicationID=P20140307076", "https://ntsu.idm.oclc.org/login?url=https://www.airitibooks.com/Detail/Detail?PublicationID=P20140307076")</f>
        <v>https://ntsu.idm.oclc.org/login?url=https://www.airitibooks.com/Detail/Detail?PublicationID=P20140307076</v>
      </c>
    </row>
    <row r="4690" spans="1:11" ht="51" x14ac:dyDescent="0.4">
      <c r="A4690" s="10" t="s">
        <v>1220</v>
      </c>
      <c r="B4690" s="10" t="s">
        <v>1221</v>
      </c>
      <c r="C4690" s="10" t="s">
        <v>1222</v>
      </c>
      <c r="D4690" s="10" t="s">
        <v>1223</v>
      </c>
      <c r="E4690" s="10" t="s">
        <v>64</v>
      </c>
      <c r="F4690" s="10" t="s">
        <v>250</v>
      </c>
      <c r="G4690" s="10" t="s">
        <v>23</v>
      </c>
      <c r="H4690" s="7" t="s">
        <v>24</v>
      </c>
      <c r="I4690" s="7" t="s">
        <v>25</v>
      </c>
      <c r="J4690" s="13" t="str">
        <f>HYPERLINK("https://www.airitibooks.com/Detail/Detail?PublicationID=P20140513052", "https://www.airitibooks.com/Detail/Detail?PublicationID=P20140513052")</f>
        <v>https://www.airitibooks.com/Detail/Detail?PublicationID=P20140513052</v>
      </c>
      <c r="K4690" s="13" t="str">
        <f>HYPERLINK("https://ntsu.idm.oclc.org/login?url=https://www.airitibooks.com/Detail/Detail?PublicationID=P20140513052", "https://ntsu.idm.oclc.org/login?url=https://www.airitibooks.com/Detail/Detail?PublicationID=P20140513052")</f>
        <v>https://ntsu.idm.oclc.org/login?url=https://www.airitibooks.com/Detail/Detail?PublicationID=P20140513052</v>
      </c>
    </row>
    <row r="4691" spans="1:11" ht="51" x14ac:dyDescent="0.4">
      <c r="A4691" s="10" t="s">
        <v>1224</v>
      </c>
      <c r="B4691" s="10" t="s">
        <v>1225</v>
      </c>
      <c r="C4691" s="10" t="s">
        <v>108</v>
      </c>
      <c r="D4691" s="10" t="s">
        <v>1226</v>
      </c>
      <c r="E4691" s="10" t="s">
        <v>64</v>
      </c>
      <c r="F4691" s="10" t="s">
        <v>1227</v>
      </c>
      <c r="G4691" s="10" t="s">
        <v>23</v>
      </c>
      <c r="H4691" s="7" t="s">
        <v>24</v>
      </c>
      <c r="I4691" s="7" t="s">
        <v>25</v>
      </c>
      <c r="J4691" s="13" t="str">
        <f>HYPERLINK("https://www.airitibooks.com/Detail/Detail?PublicationID=P20140514021", "https://www.airitibooks.com/Detail/Detail?PublicationID=P20140514021")</f>
        <v>https://www.airitibooks.com/Detail/Detail?PublicationID=P20140514021</v>
      </c>
      <c r="K4691" s="13" t="str">
        <f>HYPERLINK("https://ntsu.idm.oclc.org/login?url=https://www.airitibooks.com/Detail/Detail?PublicationID=P20140514021", "https://ntsu.idm.oclc.org/login?url=https://www.airitibooks.com/Detail/Detail?PublicationID=P20140514021")</f>
        <v>https://ntsu.idm.oclc.org/login?url=https://www.airitibooks.com/Detail/Detail?PublicationID=P20140514021</v>
      </c>
    </row>
    <row r="4692" spans="1:11" ht="51" x14ac:dyDescent="0.4">
      <c r="A4692" s="10" t="s">
        <v>1269</v>
      </c>
      <c r="B4692" s="10" t="s">
        <v>1270</v>
      </c>
      <c r="C4692" s="10" t="s">
        <v>1271</v>
      </c>
      <c r="D4692" s="10" t="s">
        <v>1272</v>
      </c>
      <c r="E4692" s="10" t="s">
        <v>64</v>
      </c>
      <c r="F4692" s="10" t="s">
        <v>1273</v>
      </c>
      <c r="G4692" s="10" t="s">
        <v>23</v>
      </c>
      <c r="H4692" s="7" t="s">
        <v>24</v>
      </c>
      <c r="I4692" s="7" t="s">
        <v>25</v>
      </c>
      <c r="J4692" s="13" t="str">
        <f>HYPERLINK("https://www.airitibooks.com/Detail/Detail?PublicationID=P20140625024", "https://www.airitibooks.com/Detail/Detail?PublicationID=P20140625024")</f>
        <v>https://www.airitibooks.com/Detail/Detail?PublicationID=P20140625024</v>
      </c>
      <c r="K4692" s="13" t="str">
        <f>HYPERLINK("https://ntsu.idm.oclc.org/login?url=https://www.airitibooks.com/Detail/Detail?PublicationID=P20140625024", "https://ntsu.idm.oclc.org/login?url=https://www.airitibooks.com/Detail/Detail?PublicationID=P20140625024")</f>
        <v>https://ntsu.idm.oclc.org/login?url=https://www.airitibooks.com/Detail/Detail?PublicationID=P20140625024</v>
      </c>
    </row>
    <row r="4693" spans="1:11" ht="51" x14ac:dyDescent="0.4">
      <c r="A4693" s="10" t="s">
        <v>1301</v>
      </c>
      <c r="B4693" s="10" t="s">
        <v>1302</v>
      </c>
      <c r="C4693" s="10" t="s">
        <v>1296</v>
      </c>
      <c r="D4693" s="10" t="s">
        <v>1303</v>
      </c>
      <c r="E4693" s="10" t="s">
        <v>64</v>
      </c>
      <c r="F4693" s="10" t="s">
        <v>250</v>
      </c>
      <c r="G4693" s="10" t="s">
        <v>23</v>
      </c>
      <c r="H4693" s="7" t="s">
        <v>24</v>
      </c>
      <c r="I4693" s="7" t="s">
        <v>25</v>
      </c>
      <c r="J4693" s="13" t="str">
        <f>HYPERLINK("https://www.airitibooks.com/Detail/Detail?PublicationID=P20140702224", "https://www.airitibooks.com/Detail/Detail?PublicationID=P20140702224")</f>
        <v>https://www.airitibooks.com/Detail/Detail?PublicationID=P20140702224</v>
      </c>
      <c r="K4693" s="13" t="str">
        <f>HYPERLINK("https://ntsu.idm.oclc.org/login?url=https://www.airitibooks.com/Detail/Detail?PublicationID=P20140702224", "https://ntsu.idm.oclc.org/login?url=https://www.airitibooks.com/Detail/Detail?PublicationID=P20140702224")</f>
        <v>https://ntsu.idm.oclc.org/login?url=https://www.airitibooks.com/Detail/Detail?PublicationID=P20140702224</v>
      </c>
    </row>
    <row r="4694" spans="1:11" ht="51" x14ac:dyDescent="0.4">
      <c r="A4694" s="10" t="s">
        <v>1304</v>
      </c>
      <c r="B4694" s="10" t="s">
        <v>1305</v>
      </c>
      <c r="C4694" s="10" t="s">
        <v>457</v>
      </c>
      <c r="D4694" s="10" t="s">
        <v>1306</v>
      </c>
      <c r="E4694" s="10" t="s">
        <v>64</v>
      </c>
      <c r="F4694" s="10" t="s">
        <v>299</v>
      </c>
      <c r="G4694" s="10" t="s">
        <v>23</v>
      </c>
      <c r="H4694" s="7" t="s">
        <v>24</v>
      </c>
      <c r="I4694" s="7" t="s">
        <v>25</v>
      </c>
      <c r="J4694" s="13" t="str">
        <f>HYPERLINK("https://www.airitibooks.com/Detail/Detail?PublicationID=P20140702255", "https://www.airitibooks.com/Detail/Detail?PublicationID=P20140702255")</f>
        <v>https://www.airitibooks.com/Detail/Detail?PublicationID=P20140702255</v>
      </c>
      <c r="K4694" s="13" t="str">
        <f>HYPERLINK("https://ntsu.idm.oclc.org/login?url=https://www.airitibooks.com/Detail/Detail?PublicationID=P20140702255", "https://ntsu.idm.oclc.org/login?url=https://www.airitibooks.com/Detail/Detail?PublicationID=P20140702255")</f>
        <v>https://ntsu.idm.oclc.org/login?url=https://www.airitibooks.com/Detail/Detail?PublicationID=P20140702255</v>
      </c>
    </row>
    <row r="4695" spans="1:11" ht="51" x14ac:dyDescent="0.4">
      <c r="A4695" s="10" t="s">
        <v>1592</v>
      </c>
      <c r="B4695" s="10" t="s">
        <v>1593</v>
      </c>
      <c r="C4695" s="10" t="s">
        <v>212</v>
      </c>
      <c r="D4695" s="10" t="s">
        <v>935</v>
      </c>
      <c r="E4695" s="10" t="s">
        <v>64</v>
      </c>
      <c r="F4695" s="10" t="s">
        <v>821</v>
      </c>
      <c r="G4695" s="10" t="s">
        <v>23</v>
      </c>
      <c r="H4695" s="7" t="s">
        <v>24</v>
      </c>
      <c r="I4695" s="7" t="s">
        <v>25</v>
      </c>
      <c r="J4695" s="13" t="str">
        <f>HYPERLINK("https://www.airitibooks.com/Detail/Detail?PublicationID=P20141027171", "https://www.airitibooks.com/Detail/Detail?PublicationID=P20141027171")</f>
        <v>https://www.airitibooks.com/Detail/Detail?PublicationID=P20141027171</v>
      </c>
      <c r="K4695" s="13" t="str">
        <f>HYPERLINK("https://ntsu.idm.oclc.org/login?url=https://www.airitibooks.com/Detail/Detail?PublicationID=P20141027171", "https://ntsu.idm.oclc.org/login?url=https://www.airitibooks.com/Detail/Detail?PublicationID=P20141027171")</f>
        <v>https://ntsu.idm.oclc.org/login?url=https://www.airitibooks.com/Detail/Detail?PublicationID=P20141027171</v>
      </c>
    </row>
    <row r="4696" spans="1:11" ht="51" x14ac:dyDescent="0.4">
      <c r="A4696" s="10" t="s">
        <v>1834</v>
      </c>
      <c r="B4696" s="10" t="s">
        <v>1835</v>
      </c>
      <c r="C4696" s="10" t="s">
        <v>384</v>
      </c>
      <c r="D4696" s="10" t="s">
        <v>1836</v>
      </c>
      <c r="E4696" s="10" t="s">
        <v>64</v>
      </c>
      <c r="F4696" s="10" t="s">
        <v>1837</v>
      </c>
      <c r="G4696" s="10" t="s">
        <v>23</v>
      </c>
      <c r="H4696" s="7" t="s">
        <v>24</v>
      </c>
      <c r="I4696" s="7" t="s">
        <v>25</v>
      </c>
      <c r="J4696" s="13" t="str">
        <f>HYPERLINK("https://www.airitibooks.com/Detail/Detail?PublicationID=P201501152214", "https://www.airitibooks.com/Detail/Detail?PublicationID=P201501152214")</f>
        <v>https://www.airitibooks.com/Detail/Detail?PublicationID=P201501152214</v>
      </c>
      <c r="K4696" s="13" t="str">
        <f>HYPERLINK("https://ntsu.idm.oclc.org/login?url=https://www.airitibooks.com/Detail/Detail?PublicationID=P201501152214", "https://ntsu.idm.oclc.org/login?url=https://www.airitibooks.com/Detail/Detail?PublicationID=P201501152214")</f>
        <v>https://ntsu.idm.oclc.org/login?url=https://www.airitibooks.com/Detail/Detail?PublicationID=P201501152214</v>
      </c>
    </row>
    <row r="4697" spans="1:11" ht="51" x14ac:dyDescent="0.4">
      <c r="A4697" s="10" t="s">
        <v>1838</v>
      </c>
      <c r="B4697" s="10" t="s">
        <v>1839</v>
      </c>
      <c r="C4697" s="10" t="s">
        <v>384</v>
      </c>
      <c r="D4697" s="10" t="s">
        <v>1836</v>
      </c>
      <c r="E4697" s="10" t="s">
        <v>64</v>
      </c>
      <c r="F4697" s="10" t="s">
        <v>1840</v>
      </c>
      <c r="G4697" s="10" t="s">
        <v>23</v>
      </c>
      <c r="H4697" s="7" t="s">
        <v>24</v>
      </c>
      <c r="I4697" s="7" t="s">
        <v>25</v>
      </c>
      <c r="J4697" s="13" t="str">
        <f>HYPERLINK("https://www.airitibooks.com/Detail/Detail?PublicationID=P201501152215", "https://www.airitibooks.com/Detail/Detail?PublicationID=P201501152215")</f>
        <v>https://www.airitibooks.com/Detail/Detail?PublicationID=P201501152215</v>
      </c>
      <c r="K4697" s="13" t="str">
        <f>HYPERLINK("https://ntsu.idm.oclc.org/login?url=https://www.airitibooks.com/Detail/Detail?PublicationID=P201501152215", "https://ntsu.idm.oclc.org/login?url=https://www.airitibooks.com/Detail/Detail?PublicationID=P201501152215")</f>
        <v>https://ntsu.idm.oclc.org/login?url=https://www.airitibooks.com/Detail/Detail?PublicationID=P201501152215</v>
      </c>
    </row>
    <row r="4698" spans="1:11" ht="51" x14ac:dyDescent="0.4">
      <c r="A4698" s="10" t="s">
        <v>2297</v>
      </c>
      <c r="B4698" s="10" t="s">
        <v>2298</v>
      </c>
      <c r="C4698" s="10" t="s">
        <v>2299</v>
      </c>
      <c r="D4698" s="10" t="s">
        <v>2300</v>
      </c>
      <c r="E4698" s="10" t="s">
        <v>64</v>
      </c>
      <c r="F4698" s="10" t="s">
        <v>720</v>
      </c>
      <c r="G4698" s="10" t="s">
        <v>23</v>
      </c>
      <c r="H4698" s="7" t="s">
        <v>24</v>
      </c>
      <c r="I4698" s="7" t="s">
        <v>25</v>
      </c>
      <c r="J4698" s="13" t="str">
        <f>HYPERLINK("https://www.airitibooks.com/Detail/Detail?PublicationID=P20150330013", "https://www.airitibooks.com/Detail/Detail?PublicationID=P20150330013")</f>
        <v>https://www.airitibooks.com/Detail/Detail?PublicationID=P20150330013</v>
      </c>
      <c r="K4698" s="13" t="str">
        <f>HYPERLINK("https://ntsu.idm.oclc.org/login?url=https://www.airitibooks.com/Detail/Detail?PublicationID=P20150330013", "https://ntsu.idm.oclc.org/login?url=https://www.airitibooks.com/Detail/Detail?PublicationID=P20150330013")</f>
        <v>https://ntsu.idm.oclc.org/login?url=https://www.airitibooks.com/Detail/Detail?PublicationID=P20150330013</v>
      </c>
    </row>
    <row r="4699" spans="1:11" ht="51" x14ac:dyDescent="0.4">
      <c r="A4699" s="10" t="s">
        <v>2436</v>
      </c>
      <c r="B4699" s="10" t="s">
        <v>2437</v>
      </c>
      <c r="C4699" s="10" t="s">
        <v>738</v>
      </c>
      <c r="D4699" s="10" t="s">
        <v>2438</v>
      </c>
      <c r="E4699" s="10" t="s">
        <v>64</v>
      </c>
      <c r="F4699" s="10" t="s">
        <v>762</v>
      </c>
      <c r="G4699" s="10" t="s">
        <v>23</v>
      </c>
      <c r="H4699" s="7" t="s">
        <v>24</v>
      </c>
      <c r="I4699" s="7" t="s">
        <v>25</v>
      </c>
      <c r="J4699" s="13" t="str">
        <f>HYPERLINK("https://www.airitibooks.com/Detail/Detail?PublicationID=P20150504054", "https://www.airitibooks.com/Detail/Detail?PublicationID=P20150504054")</f>
        <v>https://www.airitibooks.com/Detail/Detail?PublicationID=P20150504054</v>
      </c>
      <c r="K4699" s="13" t="str">
        <f>HYPERLINK("https://ntsu.idm.oclc.org/login?url=https://www.airitibooks.com/Detail/Detail?PublicationID=P20150504054", "https://ntsu.idm.oclc.org/login?url=https://www.airitibooks.com/Detail/Detail?PublicationID=P20150504054")</f>
        <v>https://ntsu.idm.oclc.org/login?url=https://www.airitibooks.com/Detail/Detail?PublicationID=P20150504054</v>
      </c>
    </row>
    <row r="4700" spans="1:11" ht="51" x14ac:dyDescent="0.4">
      <c r="A4700" s="10" t="s">
        <v>2455</v>
      </c>
      <c r="B4700" s="10" t="s">
        <v>2456</v>
      </c>
      <c r="C4700" s="10" t="s">
        <v>738</v>
      </c>
      <c r="D4700" s="10" t="s">
        <v>2457</v>
      </c>
      <c r="E4700" s="10" t="s">
        <v>64</v>
      </c>
      <c r="F4700" s="10" t="s">
        <v>565</v>
      </c>
      <c r="G4700" s="10" t="s">
        <v>23</v>
      </c>
      <c r="H4700" s="7" t="s">
        <v>24</v>
      </c>
      <c r="I4700" s="7" t="s">
        <v>25</v>
      </c>
      <c r="J4700" s="13" t="str">
        <f>HYPERLINK("https://www.airitibooks.com/Detail/Detail?PublicationID=P20150504085", "https://www.airitibooks.com/Detail/Detail?PublicationID=P20150504085")</f>
        <v>https://www.airitibooks.com/Detail/Detail?PublicationID=P20150504085</v>
      </c>
      <c r="K4700" s="13" t="str">
        <f>HYPERLINK("https://ntsu.idm.oclc.org/login?url=https://www.airitibooks.com/Detail/Detail?PublicationID=P20150504085", "https://ntsu.idm.oclc.org/login?url=https://www.airitibooks.com/Detail/Detail?PublicationID=P20150504085")</f>
        <v>https://ntsu.idm.oclc.org/login?url=https://www.airitibooks.com/Detail/Detail?PublicationID=P20150504085</v>
      </c>
    </row>
    <row r="4701" spans="1:11" ht="51" x14ac:dyDescent="0.4">
      <c r="A4701" s="10" t="s">
        <v>2533</v>
      </c>
      <c r="B4701" s="10" t="s">
        <v>2534</v>
      </c>
      <c r="C4701" s="10" t="s">
        <v>2515</v>
      </c>
      <c r="D4701" s="10" t="s">
        <v>2535</v>
      </c>
      <c r="E4701" s="10" t="s">
        <v>64</v>
      </c>
      <c r="F4701" s="10" t="s">
        <v>2536</v>
      </c>
      <c r="G4701" s="10" t="s">
        <v>23</v>
      </c>
      <c r="H4701" s="7" t="s">
        <v>24</v>
      </c>
      <c r="I4701" s="7" t="s">
        <v>25</v>
      </c>
      <c r="J4701" s="13" t="str">
        <f>HYPERLINK("https://www.airitibooks.com/Detail/Detail?PublicationID=P20150508389", "https://www.airitibooks.com/Detail/Detail?PublicationID=P20150508389")</f>
        <v>https://www.airitibooks.com/Detail/Detail?PublicationID=P20150508389</v>
      </c>
      <c r="K4701" s="13" t="str">
        <f>HYPERLINK("https://ntsu.idm.oclc.org/login?url=https://www.airitibooks.com/Detail/Detail?PublicationID=P20150508389", "https://ntsu.idm.oclc.org/login?url=https://www.airitibooks.com/Detail/Detail?PublicationID=P20150508389")</f>
        <v>https://ntsu.idm.oclc.org/login?url=https://www.airitibooks.com/Detail/Detail?PublicationID=P20150508389</v>
      </c>
    </row>
    <row r="4702" spans="1:11" ht="51" x14ac:dyDescent="0.4">
      <c r="A4702" s="10" t="s">
        <v>2537</v>
      </c>
      <c r="B4702" s="10" t="s">
        <v>2538</v>
      </c>
      <c r="C4702" s="10" t="s">
        <v>2515</v>
      </c>
      <c r="D4702" s="10" t="s">
        <v>2539</v>
      </c>
      <c r="E4702" s="10" t="s">
        <v>64</v>
      </c>
      <c r="F4702" s="10" t="s">
        <v>2540</v>
      </c>
      <c r="G4702" s="10" t="s">
        <v>23</v>
      </c>
      <c r="H4702" s="7" t="s">
        <v>24</v>
      </c>
      <c r="I4702" s="7" t="s">
        <v>25</v>
      </c>
      <c r="J4702" s="13" t="str">
        <f>HYPERLINK("https://www.airitibooks.com/Detail/Detail?PublicationID=P20150508391", "https://www.airitibooks.com/Detail/Detail?PublicationID=P20150508391")</f>
        <v>https://www.airitibooks.com/Detail/Detail?PublicationID=P20150508391</v>
      </c>
      <c r="K4702" s="13" t="str">
        <f>HYPERLINK("https://ntsu.idm.oclc.org/login?url=https://www.airitibooks.com/Detail/Detail?PublicationID=P20150508391", "https://ntsu.idm.oclc.org/login?url=https://www.airitibooks.com/Detail/Detail?PublicationID=P20150508391")</f>
        <v>https://ntsu.idm.oclc.org/login?url=https://www.airitibooks.com/Detail/Detail?PublicationID=P20150508391</v>
      </c>
    </row>
    <row r="4703" spans="1:11" ht="51" x14ac:dyDescent="0.4">
      <c r="A4703" s="10" t="s">
        <v>2633</v>
      </c>
      <c r="B4703" s="10" t="s">
        <v>2634</v>
      </c>
      <c r="C4703" s="10" t="s">
        <v>796</v>
      </c>
      <c r="D4703" s="10" t="s">
        <v>2635</v>
      </c>
      <c r="E4703" s="10" t="s">
        <v>64</v>
      </c>
      <c r="F4703" s="10" t="s">
        <v>2636</v>
      </c>
      <c r="G4703" s="10" t="s">
        <v>23</v>
      </c>
      <c r="H4703" s="7" t="s">
        <v>24</v>
      </c>
      <c r="I4703" s="7" t="s">
        <v>25</v>
      </c>
      <c r="J4703" s="13" t="str">
        <f>HYPERLINK("https://www.airitibooks.com/Detail/Detail?PublicationID=P20150604043", "https://www.airitibooks.com/Detail/Detail?PublicationID=P20150604043")</f>
        <v>https://www.airitibooks.com/Detail/Detail?PublicationID=P20150604043</v>
      </c>
      <c r="K4703" s="13" t="str">
        <f>HYPERLINK("https://ntsu.idm.oclc.org/login?url=https://www.airitibooks.com/Detail/Detail?PublicationID=P20150604043", "https://ntsu.idm.oclc.org/login?url=https://www.airitibooks.com/Detail/Detail?PublicationID=P20150604043")</f>
        <v>https://ntsu.idm.oclc.org/login?url=https://www.airitibooks.com/Detail/Detail?PublicationID=P20150604043</v>
      </c>
    </row>
    <row r="4704" spans="1:11" ht="51" x14ac:dyDescent="0.4">
      <c r="A4704" s="10" t="s">
        <v>2910</v>
      </c>
      <c r="B4704" s="10" t="s">
        <v>2911</v>
      </c>
      <c r="C4704" s="10" t="s">
        <v>2912</v>
      </c>
      <c r="D4704" s="10" t="s">
        <v>2913</v>
      </c>
      <c r="E4704" s="10" t="s">
        <v>64</v>
      </c>
      <c r="F4704" s="10" t="s">
        <v>2914</v>
      </c>
      <c r="G4704" s="10" t="s">
        <v>23</v>
      </c>
      <c r="H4704" s="7" t="s">
        <v>24</v>
      </c>
      <c r="I4704" s="7" t="s">
        <v>25</v>
      </c>
      <c r="J4704" s="13" t="str">
        <f>HYPERLINK("https://www.airitibooks.com/Detail/Detail?PublicationID=P20150709014", "https://www.airitibooks.com/Detail/Detail?PublicationID=P20150709014")</f>
        <v>https://www.airitibooks.com/Detail/Detail?PublicationID=P20150709014</v>
      </c>
      <c r="K4704" s="13" t="str">
        <f>HYPERLINK("https://ntsu.idm.oclc.org/login?url=https://www.airitibooks.com/Detail/Detail?PublicationID=P20150709014", "https://ntsu.idm.oclc.org/login?url=https://www.airitibooks.com/Detail/Detail?PublicationID=P20150709014")</f>
        <v>https://ntsu.idm.oclc.org/login?url=https://www.airitibooks.com/Detail/Detail?PublicationID=P20150709014</v>
      </c>
    </row>
    <row r="4705" spans="1:11" ht="51" x14ac:dyDescent="0.4">
      <c r="A4705" s="10" t="s">
        <v>3853</v>
      </c>
      <c r="B4705" s="10" t="s">
        <v>3854</v>
      </c>
      <c r="C4705" s="10" t="s">
        <v>3473</v>
      </c>
      <c r="D4705" s="10" t="s">
        <v>3855</v>
      </c>
      <c r="E4705" s="10" t="s">
        <v>64</v>
      </c>
      <c r="F4705" s="10" t="s">
        <v>3856</v>
      </c>
      <c r="G4705" s="10" t="s">
        <v>23</v>
      </c>
      <c r="H4705" s="7" t="s">
        <v>24</v>
      </c>
      <c r="I4705" s="7" t="s">
        <v>25</v>
      </c>
      <c r="J4705" s="13" t="str">
        <f>HYPERLINK("https://www.airitibooks.com/Detail/Detail?PublicationID=P20151030005", "https://www.airitibooks.com/Detail/Detail?PublicationID=P20151030005")</f>
        <v>https://www.airitibooks.com/Detail/Detail?PublicationID=P20151030005</v>
      </c>
      <c r="K4705" s="13" t="str">
        <f>HYPERLINK("https://ntsu.idm.oclc.org/login?url=https://www.airitibooks.com/Detail/Detail?PublicationID=P20151030005", "https://ntsu.idm.oclc.org/login?url=https://www.airitibooks.com/Detail/Detail?PublicationID=P20151030005")</f>
        <v>https://ntsu.idm.oclc.org/login?url=https://www.airitibooks.com/Detail/Detail?PublicationID=P20151030005</v>
      </c>
    </row>
    <row r="4706" spans="1:11" ht="51" x14ac:dyDescent="0.4">
      <c r="A4706" s="10" t="s">
        <v>4952</v>
      </c>
      <c r="B4706" s="10" t="s">
        <v>4953</v>
      </c>
      <c r="C4706" s="10" t="s">
        <v>4903</v>
      </c>
      <c r="D4706" s="10" t="s">
        <v>4954</v>
      </c>
      <c r="E4706" s="10" t="s">
        <v>64</v>
      </c>
      <c r="F4706" s="10" t="s">
        <v>720</v>
      </c>
      <c r="G4706" s="10" t="s">
        <v>23</v>
      </c>
      <c r="H4706" s="7" t="s">
        <v>24</v>
      </c>
      <c r="I4706" s="7" t="s">
        <v>25</v>
      </c>
      <c r="J4706" s="13" t="str">
        <f>HYPERLINK("https://www.airitibooks.com/Detail/Detail?PublicationID=P20160715326", "https://www.airitibooks.com/Detail/Detail?PublicationID=P20160715326")</f>
        <v>https://www.airitibooks.com/Detail/Detail?PublicationID=P20160715326</v>
      </c>
      <c r="K4706" s="13" t="str">
        <f>HYPERLINK("https://ntsu.idm.oclc.org/login?url=https://www.airitibooks.com/Detail/Detail?PublicationID=P20160715326", "https://ntsu.idm.oclc.org/login?url=https://www.airitibooks.com/Detail/Detail?PublicationID=P20160715326")</f>
        <v>https://ntsu.idm.oclc.org/login?url=https://www.airitibooks.com/Detail/Detail?PublicationID=P20160715326</v>
      </c>
    </row>
    <row r="4707" spans="1:11" ht="51" x14ac:dyDescent="0.4">
      <c r="A4707" s="10" t="s">
        <v>5004</v>
      </c>
      <c r="B4707" s="10" t="s">
        <v>5005</v>
      </c>
      <c r="C4707" s="10" t="s">
        <v>1504</v>
      </c>
      <c r="D4707" s="10" t="s">
        <v>5006</v>
      </c>
      <c r="E4707" s="10" t="s">
        <v>64</v>
      </c>
      <c r="F4707" s="10" t="s">
        <v>4653</v>
      </c>
      <c r="G4707" s="10" t="s">
        <v>23</v>
      </c>
      <c r="H4707" s="7" t="s">
        <v>24</v>
      </c>
      <c r="I4707" s="7" t="s">
        <v>25</v>
      </c>
      <c r="J4707" s="13" t="str">
        <f>HYPERLINK("https://www.airitibooks.com/Detail/Detail?PublicationID=P20160723079", "https://www.airitibooks.com/Detail/Detail?PublicationID=P20160723079")</f>
        <v>https://www.airitibooks.com/Detail/Detail?PublicationID=P20160723079</v>
      </c>
      <c r="K4707" s="13" t="str">
        <f>HYPERLINK("https://ntsu.idm.oclc.org/login?url=https://www.airitibooks.com/Detail/Detail?PublicationID=P20160723079", "https://ntsu.idm.oclc.org/login?url=https://www.airitibooks.com/Detail/Detail?PublicationID=P20160723079")</f>
        <v>https://ntsu.idm.oclc.org/login?url=https://www.airitibooks.com/Detail/Detail?PublicationID=P20160723079</v>
      </c>
    </row>
    <row r="4708" spans="1:11" ht="51" x14ac:dyDescent="0.4">
      <c r="A4708" s="10" t="s">
        <v>5075</v>
      </c>
      <c r="B4708" s="10" t="s">
        <v>5076</v>
      </c>
      <c r="C4708" s="10" t="s">
        <v>5043</v>
      </c>
      <c r="D4708" s="10" t="s">
        <v>5077</v>
      </c>
      <c r="E4708" s="10" t="s">
        <v>64</v>
      </c>
      <c r="F4708" s="10" t="s">
        <v>565</v>
      </c>
      <c r="G4708" s="10" t="s">
        <v>23</v>
      </c>
      <c r="H4708" s="7" t="s">
        <v>24</v>
      </c>
      <c r="I4708" s="7" t="s">
        <v>25</v>
      </c>
      <c r="J4708" s="13" t="str">
        <f>HYPERLINK("https://www.airitibooks.com/Detail/Detail?PublicationID=P20160802008", "https://www.airitibooks.com/Detail/Detail?PublicationID=P20160802008")</f>
        <v>https://www.airitibooks.com/Detail/Detail?PublicationID=P20160802008</v>
      </c>
      <c r="K4708" s="13" t="str">
        <f>HYPERLINK("https://ntsu.idm.oclc.org/login?url=https://www.airitibooks.com/Detail/Detail?PublicationID=P20160802008", "https://ntsu.idm.oclc.org/login?url=https://www.airitibooks.com/Detail/Detail?PublicationID=P20160802008")</f>
        <v>https://ntsu.idm.oclc.org/login?url=https://www.airitibooks.com/Detail/Detail?PublicationID=P20160802008</v>
      </c>
    </row>
    <row r="4709" spans="1:11" ht="51" x14ac:dyDescent="0.4">
      <c r="A4709" s="10" t="s">
        <v>5109</v>
      </c>
      <c r="B4709" s="10" t="s">
        <v>5110</v>
      </c>
      <c r="C4709" s="10" t="s">
        <v>3208</v>
      </c>
      <c r="D4709" s="10" t="s">
        <v>5111</v>
      </c>
      <c r="E4709" s="10" t="s">
        <v>64</v>
      </c>
      <c r="F4709" s="10" t="s">
        <v>3719</v>
      </c>
      <c r="G4709" s="10" t="s">
        <v>23</v>
      </c>
      <c r="H4709" s="7" t="s">
        <v>24</v>
      </c>
      <c r="I4709" s="7" t="s">
        <v>25</v>
      </c>
      <c r="J4709" s="13" t="str">
        <f>HYPERLINK("https://www.airitibooks.com/Detail/Detail?PublicationID=P20160806205", "https://www.airitibooks.com/Detail/Detail?PublicationID=P20160806205")</f>
        <v>https://www.airitibooks.com/Detail/Detail?PublicationID=P20160806205</v>
      </c>
      <c r="K4709" s="13" t="str">
        <f>HYPERLINK("https://ntsu.idm.oclc.org/login?url=https://www.airitibooks.com/Detail/Detail?PublicationID=P20160806205", "https://ntsu.idm.oclc.org/login?url=https://www.airitibooks.com/Detail/Detail?PublicationID=P20160806205")</f>
        <v>https://ntsu.idm.oclc.org/login?url=https://www.airitibooks.com/Detail/Detail?PublicationID=P20160806205</v>
      </c>
    </row>
    <row r="4710" spans="1:11" ht="51" x14ac:dyDescent="0.4">
      <c r="A4710" s="10" t="s">
        <v>5112</v>
      </c>
      <c r="B4710" s="10" t="s">
        <v>5113</v>
      </c>
      <c r="C4710" s="10" t="s">
        <v>3208</v>
      </c>
      <c r="D4710" s="10" t="s">
        <v>5111</v>
      </c>
      <c r="E4710" s="10" t="s">
        <v>64</v>
      </c>
      <c r="F4710" s="10" t="s">
        <v>3719</v>
      </c>
      <c r="G4710" s="10" t="s">
        <v>23</v>
      </c>
      <c r="H4710" s="7" t="s">
        <v>24</v>
      </c>
      <c r="I4710" s="7" t="s">
        <v>25</v>
      </c>
      <c r="J4710" s="13" t="str">
        <f>HYPERLINK("https://www.airitibooks.com/Detail/Detail?PublicationID=P20160806206", "https://www.airitibooks.com/Detail/Detail?PublicationID=P20160806206")</f>
        <v>https://www.airitibooks.com/Detail/Detail?PublicationID=P20160806206</v>
      </c>
      <c r="K4710" s="13" t="str">
        <f>HYPERLINK("https://ntsu.idm.oclc.org/login?url=https://www.airitibooks.com/Detail/Detail?PublicationID=P20160806206", "https://ntsu.idm.oclc.org/login?url=https://www.airitibooks.com/Detail/Detail?PublicationID=P20160806206")</f>
        <v>https://ntsu.idm.oclc.org/login?url=https://www.airitibooks.com/Detail/Detail?PublicationID=P20160806206</v>
      </c>
    </row>
    <row r="4711" spans="1:11" ht="51" x14ac:dyDescent="0.4">
      <c r="A4711" s="10" t="s">
        <v>5114</v>
      </c>
      <c r="B4711" s="10" t="s">
        <v>5115</v>
      </c>
      <c r="C4711" s="10" t="s">
        <v>3208</v>
      </c>
      <c r="D4711" s="10" t="s">
        <v>5111</v>
      </c>
      <c r="E4711" s="10" t="s">
        <v>64</v>
      </c>
      <c r="F4711" s="10" t="s">
        <v>3719</v>
      </c>
      <c r="G4711" s="10" t="s">
        <v>23</v>
      </c>
      <c r="H4711" s="7" t="s">
        <v>24</v>
      </c>
      <c r="I4711" s="7" t="s">
        <v>25</v>
      </c>
      <c r="J4711" s="13" t="str">
        <f>HYPERLINK("https://www.airitibooks.com/Detail/Detail?PublicationID=P20160806207", "https://www.airitibooks.com/Detail/Detail?PublicationID=P20160806207")</f>
        <v>https://www.airitibooks.com/Detail/Detail?PublicationID=P20160806207</v>
      </c>
      <c r="K4711" s="13" t="str">
        <f>HYPERLINK("https://ntsu.idm.oclc.org/login?url=https://www.airitibooks.com/Detail/Detail?PublicationID=P20160806207", "https://ntsu.idm.oclc.org/login?url=https://www.airitibooks.com/Detail/Detail?PublicationID=P20160806207")</f>
        <v>https://ntsu.idm.oclc.org/login?url=https://www.airitibooks.com/Detail/Detail?PublicationID=P20160806207</v>
      </c>
    </row>
    <row r="4712" spans="1:11" ht="51" x14ac:dyDescent="0.4">
      <c r="A4712" s="10" t="s">
        <v>5622</v>
      </c>
      <c r="B4712" s="10" t="s">
        <v>5623</v>
      </c>
      <c r="C4712" s="10" t="s">
        <v>4628</v>
      </c>
      <c r="D4712" s="10" t="s">
        <v>5624</v>
      </c>
      <c r="E4712" s="10" t="s">
        <v>64</v>
      </c>
      <c r="F4712" s="10" t="s">
        <v>5625</v>
      </c>
      <c r="G4712" s="10" t="s">
        <v>23</v>
      </c>
      <c r="H4712" s="7" t="s">
        <v>24</v>
      </c>
      <c r="I4712" s="7" t="s">
        <v>25</v>
      </c>
      <c r="J4712" s="13" t="str">
        <f>HYPERLINK("https://www.airitibooks.com/Detail/Detail?PublicationID=P20161013002", "https://www.airitibooks.com/Detail/Detail?PublicationID=P20161013002")</f>
        <v>https://www.airitibooks.com/Detail/Detail?PublicationID=P20161013002</v>
      </c>
      <c r="K4712" s="13" t="str">
        <f>HYPERLINK("https://ntsu.idm.oclc.org/login?url=https://www.airitibooks.com/Detail/Detail?PublicationID=P20161013002", "https://ntsu.idm.oclc.org/login?url=https://www.airitibooks.com/Detail/Detail?PublicationID=P20161013002")</f>
        <v>https://ntsu.idm.oclc.org/login?url=https://www.airitibooks.com/Detail/Detail?PublicationID=P20161013002</v>
      </c>
    </row>
    <row r="4713" spans="1:11" ht="51" x14ac:dyDescent="0.4">
      <c r="A4713" s="10" t="s">
        <v>6350</v>
      </c>
      <c r="B4713" s="10" t="s">
        <v>6351</v>
      </c>
      <c r="C4713" s="10" t="s">
        <v>4120</v>
      </c>
      <c r="D4713" s="10" t="s">
        <v>6352</v>
      </c>
      <c r="E4713" s="10" t="s">
        <v>64</v>
      </c>
      <c r="F4713" s="10" t="s">
        <v>546</v>
      </c>
      <c r="G4713" s="10" t="s">
        <v>23</v>
      </c>
      <c r="H4713" s="7" t="s">
        <v>24</v>
      </c>
      <c r="I4713" s="7" t="s">
        <v>25</v>
      </c>
      <c r="J4713" s="13" t="str">
        <f>HYPERLINK("https://www.airitibooks.com/Detail/Detail?PublicationID=P20170327182", "https://www.airitibooks.com/Detail/Detail?PublicationID=P20170327182")</f>
        <v>https://www.airitibooks.com/Detail/Detail?PublicationID=P20170327182</v>
      </c>
      <c r="K4713" s="13" t="str">
        <f>HYPERLINK("https://ntsu.idm.oclc.org/login?url=https://www.airitibooks.com/Detail/Detail?PublicationID=P20170327182", "https://ntsu.idm.oclc.org/login?url=https://www.airitibooks.com/Detail/Detail?PublicationID=P20170327182")</f>
        <v>https://ntsu.idm.oclc.org/login?url=https://www.airitibooks.com/Detail/Detail?PublicationID=P20170327182</v>
      </c>
    </row>
    <row r="4714" spans="1:11" ht="51" x14ac:dyDescent="0.4">
      <c r="A4714" s="10" t="s">
        <v>7736</v>
      </c>
      <c r="B4714" s="10" t="s">
        <v>7737</v>
      </c>
      <c r="C4714" s="10" t="s">
        <v>738</v>
      </c>
      <c r="D4714" s="10" t="s">
        <v>742</v>
      </c>
      <c r="E4714" s="10" t="s">
        <v>64</v>
      </c>
      <c r="F4714" s="10" t="s">
        <v>565</v>
      </c>
      <c r="G4714" s="10" t="s">
        <v>23</v>
      </c>
      <c r="H4714" s="7" t="s">
        <v>24</v>
      </c>
      <c r="I4714" s="7" t="s">
        <v>25</v>
      </c>
      <c r="J4714" s="13" t="str">
        <f>HYPERLINK("https://www.airitibooks.com/Detail/Detail?PublicationID=P20171118074", "https://www.airitibooks.com/Detail/Detail?PublicationID=P20171118074")</f>
        <v>https://www.airitibooks.com/Detail/Detail?PublicationID=P20171118074</v>
      </c>
      <c r="K4714" s="13" t="str">
        <f>HYPERLINK("https://ntsu.idm.oclc.org/login?url=https://www.airitibooks.com/Detail/Detail?PublicationID=P20171118074", "https://ntsu.idm.oclc.org/login?url=https://www.airitibooks.com/Detail/Detail?PublicationID=P20171118074")</f>
        <v>https://ntsu.idm.oclc.org/login?url=https://www.airitibooks.com/Detail/Detail?PublicationID=P20171118074</v>
      </c>
    </row>
    <row r="4715" spans="1:11" ht="51" x14ac:dyDescent="0.4">
      <c r="A4715" s="10" t="s">
        <v>7877</v>
      </c>
      <c r="B4715" s="10" t="s">
        <v>7878</v>
      </c>
      <c r="C4715" s="10" t="s">
        <v>3473</v>
      </c>
      <c r="D4715" s="10" t="s">
        <v>7879</v>
      </c>
      <c r="E4715" s="10" t="s">
        <v>64</v>
      </c>
      <c r="F4715" s="10" t="s">
        <v>7880</v>
      </c>
      <c r="G4715" s="10" t="s">
        <v>23</v>
      </c>
      <c r="H4715" s="7" t="s">
        <v>24</v>
      </c>
      <c r="I4715" s="7" t="s">
        <v>25</v>
      </c>
      <c r="J4715" s="13" t="str">
        <f>HYPERLINK("https://www.airitibooks.com/Detail/Detail?PublicationID=P20171129030", "https://www.airitibooks.com/Detail/Detail?PublicationID=P20171129030")</f>
        <v>https://www.airitibooks.com/Detail/Detail?PublicationID=P20171129030</v>
      </c>
      <c r="K4715" s="13" t="str">
        <f>HYPERLINK("https://ntsu.idm.oclc.org/login?url=https://www.airitibooks.com/Detail/Detail?PublicationID=P20171129030", "https://ntsu.idm.oclc.org/login?url=https://www.airitibooks.com/Detail/Detail?PublicationID=P20171129030")</f>
        <v>https://ntsu.idm.oclc.org/login?url=https://www.airitibooks.com/Detail/Detail?PublicationID=P20171129030</v>
      </c>
    </row>
    <row r="4716" spans="1:11" ht="51" x14ac:dyDescent="0.4">
      <c r="A4716" s="10" t="s">
        <v>7881</v>
      </c>
      <c r="B4716" s="10" t="s">
        <v>7882</v>
      </c>
      <c r="C4716" s="10" t="s">
        <v>3473</v>
      </c>
      <c r="D4716" s="10" t="s">
        <v>3488</v>
      </c>
      <c r="E4716" s="10" t="s">
        <v>64</v>
      </c>
      <c r="F4716" s="10" t="s">
        <v>2660</v>
      </c>
      <c r="G4716" s="10" t="s">
        <v>23</v>
      </c>
      <c r="H4716" s="7" t="s">
        <v>24</v>
      </c>
      <c r="I4716" s="7" t="s">
        <v>25</v>
      </c>
      <c r="J4716" s="13" t="str">
        <f>HYPERLINK("https://www.airitibooks.com/Detail/Detail?PublicationID=P20171129031", "https://www.airitibooks.com/Detail/Detail?PublicationID=P20171129031")</f>
        <v>https://www.airitibooks.com/Detail/Detail?PublicationID=P20171129031</v>
      </c>
      <c r="K4716" s="13" t="str">
        <f>HYPERLINK("https://ntsu.idm.oclc.org/login?url=https://www.airitibooks.com/Detail/Detail?PublicationID=P20171129031", "https://ntsu.idm.oclc.org/login?url=https://www.airitibooks.com/Detail/Detail?PublicationID=P20171129031")</f>
        <v>https://ntsu.idm.oclc.org/login?url=https://www.airitibooks.com/Detail/Detail?PublicationID=P20171129031</v>
      </c>
    </row>
    <row r="4717" spans="1:11" ht="68" x14ac:dyDescent="0.4">
      <c r="A4717" s="10" t="s">
        <v>7883</v>
      </c>
      <c r="B4717" s="10" t="s">
        <v>7884</v>
      </c>
      <c r="C4717" s="10" t="s">
        <v>3473</v>
      </c>
      <c r="D4717" s="10" t="s">
        <v>7885</v>
      </c>
      <c r="E4717" s="10" t="s">
        <v>64</v>
      </c>
      <c r="F4717" s="10" t="s">
        <v>1844</v>
      </c>
      <c r="G4717" s="10" t="s">
        <v>23</v>
      </c>
      <c r="H4717" s="7" t="s">
        <v>24</v>
      </c>
      <c r="I4717" s="7" t="s">
        <v>25</v>
      </c>
      <c r="J4717" s="13" t="str">
        <f>HYPERLINK("https://www.airitibooks.com/Detail/Detail?PublicationID=P20171129032", "https://www.airitibooks.com/Detail/Detail?PublicationID=P20171129032")</f>
        <v>https://www.airitibooks.com/Detail/Detail?PublicationID=P20171129032</v>
      </c>
      <c r="K4717" s="13" t="str">
        <f>HYPERLINK("https://ntsu.idm.oclc.org/login?url=https://www.airitibooks.com/Detail/Detail?PublicationID=P20171129032", "https://ntsu.idm.oclc.org/login?url=https://www.airitibooks.com/Detail/Detail?PublicationID=P20171129032")</f>
        <v>https://ntsu.idm.oclc.org/login?url=https://www.airitibooks.com/Detail/Detail?PublicationID=P20171129032</v>
      </c>
    </row>
    <row r="4718" spans="1:11" ht="51" x14ac:dyDescent="0.4">
      <c r="A4718" s="10" t="s">
        <v>7886</v>
      </c>
      <c r="B4718" s="10" t="s">
        <v>7887</v>
      </c>
      <c r="C4718" s="10" t="s">
        <v>3473</v>
      </c>
      <c r="D4718" s="10" t="s">
        <v>3474</v>
      </c>
      <c r="E4718" s="10" t="s">
        <v>64</v>
      </c>
      <c r="F4718" s="10" t="s">
        <v>1122</v>
      </c>
      <c r="G4718" s="10" t="s">
        <v>23</v>
      </c>
      <c r="H4718" s="7" t="s">
        <v>24</v>
      </c>
      <c r="I4718" s="7" t="s">
        <v>25</v>
      </c>
      <c r="J4718" s="13" t="str">
        <f>HYPERLINK("https://www.airitibooks.com/Detail/Detail?PublicationID=P20171129033", "https://www.airitibooks.com/Detail/Detail?PublicationID=P20171129033")</f>
        <v>https://www.airitibooks.com/Detail/Detail?PublicationID=P20171129033</v>
      </c>
      <c r="K4718" s="13" t="str">
        <f>HYPERLINK("https://ntsu.idm.oclc.org/login?url=https://www.airitibooks.com/Detail/Detail?PublicationID=P20171129033", "https://ntsu.idm.oclc.org/login?url=https://www.airitibooks.com/Detail/Detail?PublicationID=P20171129033")</f>
        <v>https://ntsu.idm.oclc.org/login?url=https://www.airitibooks.com/Detail/Detail?PublicationID=P20171129033</v>
      </c>
    </row>
    <row r="4719" spans="1:11" ht="51" x14ac:dyDescent="0.4">
      <c r="A4719" s="10" t="s">
        <v>7888</v>
      </c>
      <c r="B4719" s="10" t="s">
        <v>7889</v>
      </c>
      <c r="C4719" s="10" t="s">
        <v>3473</v>
      </c>
      <c r="D4719" s="10" t="s">
        <v>7861</v>
      </c>
      <c r="E4719" s="10" t="s">
        <v>64</v>
      </c>
      <c r="F4719" s="10" t="s">
        <v>3181</v>
      </c>
      <c r="G4719" s="10" t="s">
        <v>23</v>
      </c>
      <c r="H4719" s="7" t="s">
        <v>24</v>
      </c>
      <c r="I4719" s="7" t="s">
        <v>25</v>
      </c>
      <c r="J4719" s="13" t="str">
        <f>HYPERLINK("https://www.airitibooks.com/Detail/Detail?PublicationID=P20171129034", "https://www.airitibooks.com/Detail/Detail?PublicationID=P20171129034")</f>
        <v>https://www.airitibooks.com/Detail/Detail?PublicationID=P20171129034</v>
      </c>
      <c r="K4719" s="13" t="str">
        <f>HYPERLINK("https://ntsu.idm.oclc.org/login?url=https://www.airitibooks.com/Detail/Detail?PublicationID=P20171129034", "https://ntsu.idm.oclc.org/login?url=https://www.airitibooks.com/Detail/Detail?PublicationID=P20171129034")</f>
        <v>https://ntsu.idm.oclc.org/login?url=https://www.airitibooks.com/Detail/Detail?PublicationID=P20171129034</v>
      </c>
    </row>
    <row r="4720" spans="1:11" ht="51" x14ac:dyDescent="0.4">
      <c r="A4720" s="10" t="s">
        <v>7890</v>
      </c>
      <c r="B4720" s="10" t="s">
        <v>7891</v>
      </c>
      <c r="C4720" s="10" t="s">
        <v>3473</v>
      </c>
      <c r="D4720" s="10" t="s">
        <v>7892</v>
      </c>
      <c r="E4720" s="10" t="s">
        <v>64</v>
      </c>
      <c r="F4720" s="10" t="s">
        <v>1837</v>
      </c>
      <c r="G4720" s="10" t="s">
        <v>23</v>
      </c>
      <c r="H4720" s="7" t="s">
        <v>24</v>
      </c>
      <c r="I4720" s="7" t="s">
        <v>25</v>
      </c>
      <c r="J4720" s="13" t="str">
        <f>HYPERLINK("https://www.airitibooks.com/Detail/Detail?PublicationID=P20171129035", "https://www.airitibooks.com/Detail/Detail?PublicationID=P20171129035")</f>
        <v>https://www.airitibooks.com/Detail/Detail?PublicationID=P20171129035</v>
      </c>
      <c r="K4720" s="13" t="str">
        <f>HYPERLINK("https://ntsu.idm.oclc.org/login?url=https://www.airitibooks.com/Detail/Detail?PublicationID=P20171129035", "https://ntsu.idm.oclc.org/login?url=https://www.airitibooks.com/Detail/Detail?PublicationID=P20171129035")</f>
        <v>https://ntsu.idm.oclc.org/login?url=https://www.airitibooks.com/Detail/Detail?PublicationID=P20171129035</v>
      </c>
    </row>
    <row r="4721" spans="1:11" ht="51" x14ac:dyDescent="0.4">
      <c r="A4721" s="10" t="s">
        <v>61</v>
      </c>
      <c r="B4721" s="10" t="s">
        <v>62</v>
      </c>
      <c r="C4721" s="10" t="s">
        <v>28</v>
      </c>
      <c r="D4721" s="10" t="s">
        <v>63</v>
      </c>
      <c r="E4721" s="10" t="s">
        <v>64</v>
      </c>
      <c r="F4721" s="10" t="s">
        <v>66</v>
      </c>
      <c r="G4721" s="10" t="s">
        <v>32</v>
      </c>
      <c r="H4721" s="7" t="s">
        <v>24</v>
      </c>
      <c r="I4721" s="7" t="s">
        <v>25</v>
      </c>
      <c r="J4721" s="13" t="str">
        <f>HYPERLINK("https://www.airitibooks.com/Detail/Detail?PublicationID=P20090620387", "https://www.airitibooks.com/Detail/Detail?PublicationID=P20090620387")</f>
        <v>https://www.airitibooks.com/Detail/Detail?PublicationID=P20090620387</v>
      </c>
      <c r="K4721" s="13" t="str">
        <f>HYPERLINK("https://ntsu.idm.oclc.org/login?url=https://www.airitibooks.com/Detail/Detail?PublicationID=P20090620387", "https://ntsu.idm.oclc.org/login?url=https://www.airitibooks.com/Detail/Detail?PublicationID=P20090620387")</f>
        <v>https://ntsu.idm.oclc.org/login?url=https://www.airitibooks.com/Detail/Detail?PublicationID=P20090620387</v>
      </c>
    </row>
    <row r="4722" spans="1:11" ht="68" x14ac:dyDescent="0.4">
      <c r="A4722" s="10" t="s">
        <v>552</v>
      </c>
      <c r="B4722" s="10" t="s">
        <v>553</v>
      </c>
      <c r="C4722" s="10" t="s">
        <v>549</v>
      </c>
      <c r="D4722" s="10" t="s">
        <v>554</v>
      </c>
      <c r="E4722" s="10" t="s">
        <v>64</v>
      </c>
      <c r="F4722" s="10" t="s">
        <v>555</v>
      </c>
      <c r="G4722" s="10" t="s">
        <v>32</v>
      </c>
      <c r="H4722" s="7" t="s">
        <v>24</v>
      </c>
      <c r="I4722" s="7" t="s">
        <v>25</v>
      </c>
      <c r="J4722" s="13" t="str">
        <f>HYPERLINK("https://www.airitibooks.com/Detail/Detail?PublicationID=P20130415008", "https://www.airitibooks.com/Detail/Detail?PublicationID=P20130415008")</f>
        <v>https://www.airitibooks.com/Detail/Detail?PublicationID=P20130415008</v>
      </c>
      <c r="K4722" s="13" t="str">
        <f>HYPERLINK("https://ntsu.idm.oclc.org/login?url=https://www.airitibooks.com/Detail/Detail?PublicationID=P20130415008", "https://ntsu.idm.oclc.org/login?url=https://www.airitibooks.com/Detail/Detail?PublicationID=P20130415008")</f>
        <v>https://ntsu.idm.oclc.org/login?url=https://www.airitibooks.com/Detail/Detail?PublicationID=P20130415008</v>
      </c>
    </row>
    <row r="4723" spans="1:11" ht="51" x14ac:dyDescent="0.4">
      <c r="A4723" s="10" t="s">
        <v>566</v>
      </c>
      <c r="B4723" s="10" t="s">
        <v>567</v>
      </c>
      <c r="C4723" s="10" t="s">
        <v>568</v>
      </c>
      <c r="D4723" s="10" t="s">
        <v>569</v>
      </c>
      <c r="E4723" s="10" t="s">
        <v>64</v>
      </c>
      <c r="F4723" s="10" t="s">
        <v>570</v>
      </c>
      <c r="G4723" s="10" t="s">
        <v>32</v>
      </c>
      <c r="H4723" s="7" t="s">
        <v>24</v>
      </c>
      <c r="I4723" s="7" t="s">
        <v>25</v>
      </c>
      <c r="J4723" s="13" t="str">
        <f>HYPERLINK("https://www.airitibooks.com/Detail/Detail?PublicationID=P20130415034", "https://www.airitibooks.com/Detail/Detail?PublicationID=P20130415034")</f>
        <v>https://www.airitibooks.com/Detail/Detail?PublicationID=P20130415034</v>
      </c>
      <c r="K4723" s="13" t="str">
        <f>HYPERLINK("https://ntsu.idm.oclc.org/login?url=https://www.airitibooks.com/Detail/Detail?PublicationID=P20130415034", "https://ntsu.idm.oclc.org/login?url=https://www.airitibooks.com/Detail/Detail?PublicationID=P20130415034")</f>
        <v>https://ntsu.idm.oclc.org/login?url=https://www.airitibooks.com/Detail/Detail?PublicationID=P20130415034</v>
      </c>
    </row>
    <row r="4724" spans="1:11" ht="51" x14ac:dyDescent="0.4">
      <c r="A4724" s="10" t="s">
        <v>571</v>
      </c>
      <c r="B4724" s="10" t="s">
        <v>572</v>
      </c>
      <c r="C4724" s="10" t="s">
        <v>573</v>
      </c>
      <c r="D4724" s="10" t="s">
        <v>574</v>
      </c>
      <c r="E4724" s="10" t="s">
        <v>64</v>
      </c>
      <c r="F4724" s="10" t="s">
        <v>575</v>
      </c>
      <c r="G4724" s="10" t="s">
        <v>32</v>
      </c>
      <c r="H4724" s="7" t="s">
        <v>24</v>
      </c>
      <c r="I4724" s="7" t="s">
        <v>25</v>
      </c>
      <c r="J4724" s="13" t="str">
        <f>HYPERLINK("https://www.airitibooks.com/Detail/Detail?PublicationID=P20130415037", "https://www.airitibooks.com/Detail/Detail?PublicationID=P20130415037")</f>
        <v>https://www.airitibooks.com/Detail/Detail?PublicationID=P20130415037</v>
      </c>
      <c r="K4724" s="13" t="str">
        <f>HYPERLINK("https://ntsu.idm.oclc.org/login?url=https://www.airitibooks.com/Detail/Detail?PublicationID=P20130415037", "https://ntsu.idm.oclc.org/login?url=https://www.airitibooks.com/Detail/Detail?PublicationID=P20130415037")</f>
        <v>https://ntsu.idm.oclc.org/login?url=https://www.airitibooks.com/Detail/Detail?PublicationID=P20130415037</v>
      </c>
    </row>
    <row r="4725" spans="1:11" ht="51" x14ac:dyDescent="0.4">
      <c r="A4725" s="10" t="s">
        <v>686</v>
      </c>
      <c r="B4725" s="10" t="s">
        <v>687</v>
      </c>
      <c r="C4725" s="10" t="s">
        <v>409</v>
      </c>
      <c r="D4725" s="10" t="s">
        <v>688</v>
      </c>
      <c r="E4725" s="10" t="s">
        <v>64</v>
      </c>
      <c r="F4725" s="10" t="s">
        <v>185</v>
      </c>
      <c r="G4725" s="10" t="s">
        <v>32</v>
      </c>
      <c r="H4725" s="7" t="s">
        <v>24</v>
      </c>
      <c r="I4725" s="7" t="s">
        <v>25</v>
      </c>
      <c r="J4725" s="13" t="str">
        <f>HYPERLINK("https://www.airitibooks.com/Detail/Detail?PublicationID=P20130711020", "https://www.airitibooks.com/Detail/Detail?PublicationID=P20130711020")</f>
        <v>https://www.airitibooks.com/Detail/Detail?PublicationID=P20130711020</v>
      </c>
      <c r="K4725" s="13" t="str">
        <f>HYPERLINK("https://ntsu.idm.oclc.org/login?url=https://www.airitibooks.com/Detail/Detail?PublicationID=P20130711020", "https://ntsu.idm.oclc.org/login?url=https://www.airitibooks.com/Detail/Detail?PublicationID=P20130711020")</f>
        <v>https://ntsu.idm.oclc.org/login?url=https://www.airitibooks.com/Detail/Detail?PublicationID=P20130711020</v>
      </c>
    </row>
    <row r="4726" spans="1:11" ht="51" x14ac:dyDescent="0.4">
      <c r="A4726" s="10" t="s">
        <v>689</v>
      </c>
      <c r="B4726" s="10" t="s">
        <v>690</v>
      </c>
      <c r="C4726" s="10" t="s">
        <v>409</v>
      </c>
      <c r="D4726" s="10" t="s">
        <v>688</v>
      </c>
      <c r="E4726" s="10" t="s">
        <v>64</v>
      </c>
      <c r="F4726" s="10" t="s">
        <v>691</v>
      </c>
      <c r="G4726" s="10" t="s">
        <v>32</v>
      </c>
      <c r="H4726" s="7" t="s">
        <v>24</v>
      </c>
      <c r="I4726" s="7" t="s">
        <v>25</v>
      </c>
      <c r="J4726" s="13" t="str">
        <f>HYPERLINK("https://www.airitibooks.com/Detail/Detail?PublicationID=P20130711021", "https://www.airitibooks.com/Detail/Detail?PublicationID=P20130711021")</f>
        <v>https://www.airitibooks.com/Detail/Detail?PublicationID=P20130711021</v>
      </c>
      <c r="K4726" s="13" t="str">
        <f>HYPERLINK("https://ntsu.idm.oclc.org/login?url=https://www.airitibooks.com/Detail/Detail?PublicationID=P20130711021", "https://ntsu.idm.oclc.org/login?url=https://www.airitibooks.com/Detail/Detail?PublicationID=P20130711021")</f>
        <v>https://ntsu.idm.oclc.org/login?url=https://www.airitibooks.com/Detail/Detail?PublicationID=P20130711021</v>
      </c>
    </row>
    <row r="4727" spans="1:11" ht="51" x14ac:dyDescent="0.4">
      <c r="A4727" s="10" t="s">
        <v>841</v>
      </c>
      <c r="B4727" s="10" t="s">
        <v>842</v>
      </c>
      <c r="C4727" s="10" t="s">
        <v>843</v>
      </c>
      <c r="D4727" s="10" t="s">
        <v>844</v>
      </c>
      <c r="E4727" s="10" t="s">
        <v>64</v>
      </c>
      <c r="F4727" s="10" t="s">
        <v>845</v>
      </c>
      <c r="G4727" s="10" t="s">
        <v>32</v>
      </c>
      <c r="H4727" s="7" t="s">
        <v>24</v>
      </c>
      <c r="I4727" s="7" t="s">
        <v>25</v>
      </c>
      <c r="J4727" s="13" t="str">
        <f>HYPERLINK("https://www.airitibooks.com/Detail/Detail?PublicationID=P20131009315", "https://www.airitibooks.com/Detail/Detail?PublicationID=P20131009315")</f>
        <v>https://www.airitibooks.com/Detail/Detail?PublicationID=P20131009315</v>
      </c>
      <c r="K4727" s="13" t="str">
        <f>HYPERLINK("https://ntsu.idm.oclc.org/login?url=https://www.airitibooks.com/Detail/Detail?PublicationID=P20131009315", "https://ntsu.idm.oclc.org/login?url=https://www.airitibooks.com/Detail/Detail?PublicationID=P20131009315")</f>
        <v>https://ntsu.idm.oclc.org/login?url=https://www.airitibooks.com/Detail/Detail?PublicationID=P20131009315</v>
      </c>
    </row>
    <row r="4728" spans="1:11" ht="51" x14ac:dyDescent="0.4">
      <c r="A4728" s="10" t="s">
        <v>969</v>
      </c>
      <c r="B4728" s="10" t="s">
        <v>970</v>
      </c>
      <c r="C4728" s="10" t="s">
        <v>938</v>
      </c>
      <c r="D4728" s="10" t="s">
        <v>971</v>
      </c>
      <c r="E4728" s="10" t="s">
        <v>64</v>
      </c>
      <c r="F4728" s="10" t="s">
        <v>972</v>
      </c>
      <c r="G4728" s="10" t="s">
        <v>32</v>
      </c>
      <c r="H4728" s="7" t="s">
        <v>24</v>
      </c>
      <c r="I4728" s="7" t="s">
        <v>25</v>
      </c>
      <c r="J4728" s="13" t="str">
        <f>HYPERLINK("https://www.airitibooks.com/Detail/Detail?PublicationID=P20131024041", "https://www.airitibooks.com/Detail/Detail?PublicationID=P20131024041")</f>
        <v>https://www.airitibooks.com/Detail/Detail?PublicationID=P20131024041</v>
      </c>
      <c r="K4728" s="13" t="str">
        <f>HYPERLINK("https://ntsu.idm.oclc.org/login?url=https://www.airitibooks.com/Detail/Detail?PublicationID=P20131024041", "https://ntsu.idm.oclc.org/login?url=https://www.airitibooks.com/Detail/Detail?PublicationID=P20131024041")</f>
        <v>https://ntsu.idm.oclc.org/login?url=https://www.airitibooks.com/Detail/Detail?PublicationID=P20131024041</v>
      </c>
    </row>
    <row r="4729" spans="1:11" ht="51" x14ac:dyDescent="0.4">
      <c r="A4729" s="10" t="s">
        <v>973</v>
      </c>
      <c r="B4729" s="10" t="s">
        <v>974</v>
      </c>
      <c r="C4729" s="10" t="s">
        <v>938</v>
      </c>
      <c r="D4729" s="10" t="s">
        <v>975</v>
      </c>
      <c r="E4729" s="10" t="s">
        <v>64</v>
      </c>
      <c r="F4729" s="10" t="s">
        <v>972</v>
      </c>
      <c r="G4729" s="10" t="s">
        <v>32</v>
      </c>
      <c r="H4729" s="7" t="s">
        <v>24</v>
      </c>
      <c r="I4729" s="7" t="s">
        <v>25</v>
      </c>
      <c r="J4729" s="13" t="str">
        <f>HYPERLINK("https://www.airitibooks.com/Detail/Detail?PublicationID=P20131024042", "https://www.airitibooks.com/Detail/Detail?PublicationID=P20131024042")</f>
        <v>https://www.airitibooks.com/Detail/Detail?PublicationID=P20131024042</v>
      </c>
      <c r="K4729" s="13" t="str">
        <f>HYPERLINK("https://ntsu.idm.oclc.org/login?url=https://www.airitibooks.com/Detail/Detail?PublicationID=P20131024042", "https://ntsu.idm.oclc.org/login?url=https://www.airitibooks.com/Detail/Detail?PublicationID=P20131024042")</f>
        <v>https://ntsu.idm.oclc.org/login?url=https://www.airitibooks.com/Detail/Detail?PublicationID=P20131024042</v>
      </c>
    </row>
    <row r="4730" spans="1:11" ht="51" x14ac:dyDescent="0.4">
      <c r="A4730" s="10" t="s">
        <v>1001</v>
      </c>
      <c r="B4730" s="10" t="s">
        <v>1002</v>
      </c>
      <c r="C4730" s="10" t="s">
        <v>1003</v>
      </c>
      <c r="D4730" s="10" t="s">
        <v>1004</v>
      </c>
      <c r="E4730" s="10" t="s">
        <v>64</v>
      </c>
      <c r="F4730" s="10" t="s">
        <v>1005</v>
      </c>
      <c r="G4730" s="10" t="s">
        <v>32</v>
      </c>
      <c r="H4730" s="7" t="s">
        <v>24</v>
      </c>
      <c r="I4730" s="7" t="s">
        <v>25</v>
      </c>
      <c r="J4730" s="13" t="str">
        <f>HYPERLINK("https://www.airitibooks.com/Detail/Detail?PublicationID=P20131101053", "https://www.airitibooks.com/Detail/Detail?PublicationID=P20131101053")</f>
        <v>https://www.airitibooks.com/Detail/Detail?PublicationID=P20131101053</v>
      </c>
      <c r="K4730" s="13" t="str">
        <f>HYPERLINK("https://ntsu.idm.oclc.org/login?url=https://www.airitibooks.com/Detail/Detail?PublicationID=P20131101053", "https://ntsu.idm.oclc.org/login?url=https://www.airitibooks.com/Detail/Detail?PublicationID=P20131101053")</f>
        <v>https://ntsu.idm.oclc.org/login?url=https://www.airitibooks.com/Detail/Detail?PublicationID=P20131101053</v>
      </c>
    </row>
    <row r="4731" spans="1:11" ht="51" x14ac:dyDescent="0.4">
      <c r="A4731" s="10" t="s">
        <v>1006</v>
      </c>
      <c r="B4731" s="10" t="s">
        <v>1007</v>
      </c>
      <c r="C4731" s="10" t="s">
        <v>287</v>
      </c>
      <c r="D4731" s="10" t="s">
        <v>1008</v>
      </c>
      <c r="E4731" s="10" t="s">
        <v>64</v>
      </c>
      <c r="F4731" s="10" t="s">
        <v>1009</v>
      </c>
      <c r="G4731" s="10" t="s">
        <v>32</v>
      </c>
      <c r="H4731" s="7" t="s">
        <v>24</v>
      </c>
      <c r="I4731" s="7" t="s">
        <v>25</v>
      </c>
      <c r="J4731" s="13" t="str">
        <f>HYPERLINK("https://www.airitibooks.com/Detail/Detail?PublicationID=P20131101055", "https://www.airitibooks.com/Detail/Detail?PublicationID=P20131101055")</f>
        <v>https://www.airitibooks.com/Detail/Detail?PublicationID=P20131101055</v>
      </c>
      <c r="K4731" s="13" t="str">
        <f>HYPERLINK("https://ntsu.idm.oclc.org/login?url=https://www.airitibooks.com/Detail/Detail?PublicationID=P20131101055", "https://ntsu.idm.oclc.org/login?url=https://www.airitibooks.com/Detail/Detail?PublicationID=P20131101055")</f>
        <v>https://ntsu.idm.oclc.org/login?url=https://www.airitibooks.com/Detail/Detail?PublicationID=P20131101055</v>
      </c>
    </row>
    <row r="4732" spans="1:11" ht="51" x14ac:dyDescent="0.4">
      <c r="A4732" s="10" t="s">
        <v>1023</v>
      </c>
      <c r="B4732" s="10" t="s">
        <v>1024</v>
      </c>
      <c r="C4732" s="10" t="s">
        <v>170</v>
      </c>
      <c r="D4732" s="10" t="s">
        <v>1025</v>
      </c>
      <c r="E4732" s="10" t="s">
        <v>64</v>
      </c>
      <c r="F4732" s="10" t="s">
        <v>176</v>
      </c>
      <c r="G4732" s="10" t="s">
        <v>32</v>
      </c>
      <c r="H4732" s="7" t="s">
        <v>24</v>
      </c>
      <c r="I4732" s="7" t="s">
        <v>25</v>
      </c>
      <c r="J4732" s="13" t="str">
        <f>HYPERLINK("https://www.airitibooks.com/Detail/Detail?PublicationID=P20131106048", "https://www.airitibooks.com/Detail/Detail?PublicationID=P20131106048")</f>
        <v>https://www.airitibooks.com/Detail/Detail?PublicationID=P20131106048</v>
      </c>
      <c r="K4732" s="13" t="str">
        <f>HYPERLINK("https://ntsu.idm.oclc.org/login?url=https://www.airitibooks.com/Detail/Detail?PublicationID=P20131106048", "https://ntsu.idm.oclc.org/login?url=https://www.airitibooks.com/Detail/Detail?PublicationID=P20131106048")</f>
        <v>https://ntsu.idm.oclc.org/login?url=https://www.airitibooks.com/Detail/Detail?PublicationID=P20131106048</v>
      </c>
    </row>
    <row r="4733" spans="1:11" ht="51" x14ac:dyDescent="0.4">
      <c r="A4733" s="10" t="s">
        <v>1061</v>
      </c>
      <c r="B4733" s="10" t="s">
        <v>1062</v>
      </c>
      <c r="C4733" s="10" t="s">
        <v>568</v>
      </c>
      <c r="D4733" s="10" t="s">
        <v>1063</v>
      </c>
      <c r="E4733" s="10" t="s">
        <v>64</v>
      </c>
      <c r="F4733" s="10" t="s">
        <v>1064</v>
      </c>
      <c r="G4733" s="10" t="s">
        <v>32</v>
      </c>
      <c r="H4733" s="7" t="s">
        <v>24</v>
      </c>
      <c r="I4733" s="7" t="s">
        <v>25</v>
      </c>
      <c r="J4733" s="13" t="str">
        <f>HYPERLINK("https://www.airitibooks.com/Detail/Detail?PublicationID=P20131213574", "https://www.airitibooks.com/Detail/Detail?PublicationID=P20131213574")</f>
        <v>https://www.airitibooks.com/Detail/Detail?PublicationID=P20131213574</v>
      </c>
      <c r="K4733" s="13" t="str">
        <f>HYPERLINK("https://ntsu.idm.oclc.org/login?url=https://www.airitibooks.com/Detail/Detail?PublicationID=P20131213574", "https://ntsu.idm.oclc.org/login?url=https://www.airitibooks.com/Detail/Detail?PublicationID=P20131213574")</f>
        <v>https://ntsu.idm.oclc.org/login?url=https://www.airitibooks.com/Detail/Detail?PublicationID=P20131213574</v>
      </c>
    </row>
    <row r="4734" spans="1:11" ht="68" x14ac:dyDescent="0.4">
      <c r="A4734" s="10" t="s">
        <v>1084</v>
      </c>
      <c r="B4734" s="10" t="s">
        <v>1085</v>
      </c>
      <c r="C4734" s="10" t="s">
        <v>1086</v>
      </c>
      <c r="D4734" s="10" t="s">
        <v>1087</v>
      </c>
      <c r="E4734" s="10" t="s">
        <v>64</v>
      </c>
      <c r="F4734" s="10" t="s">
        <v>1088</v>
      </c>
      <c r="G4734" s="10" t="s">
        <v>32</v>
      </c>
      <c r="H4734" s="7" t="s">
        <v>24</v>
      </c>
      <c r="I4734" s="7" t="s">
        <v>25</v>
      </c>
      <c r="J4734" s="13" t="str">
        <f>HYPERLINK("https://www.airitibooks.com/Detail/Detail?PublicationID=P20131226046", "https://www.airitibooks.com/Detail/Detail?PublicationID=P20131226046")</f>
        <v>https://www.airitibooks.com/Detail/Detail?PublicationID=P20131226046</v>
      </c>
      <c r="K4734" s="13" t="str">
        <f>HYPERLINK("https://ntsu.idm.oclc.org/login?url=https://www.airitibooks.com/Detail/Detail?PublicationID=P20131226046", "https://ntsu.idm.oclc.org/login?url=https://www.airitibooks.com/Detail/Detail?PublicationID=P20131226046")</f>
        <v>https://ntsu.idm.oclc.org/login?url=https://www.airitibooks.com/Detail/Detail?PublicationID=P20131226046</v>
      </c>
    </row>
    <row r="4735" spans="1:11" ht="51" x14ac:dyDescent="0.4">
      <c r="A4735" s="10" t="s">
        <v>1132</v>
      </c>
      <c r="B4735" s="10" t="s">
        <v>1133</v>
      </c>
      <c r="C4735" s="10" t="s">
        <v>527</v>
      </c>
      <c r="D4735" s="10" t="s">
        <v>1134</v>
      </c>
      <c r="E4735" s="10" t="s">
        <v>64</v>
      </c>
      <c r="F4735" s="10" t="s">
        <v>1135</v>
      </c>
      <c r="G4735" s="10" t="s">
        <v>32</v>
      </c>
      <c r="H4735" s="7" t="s">
        <v>24</v>
      </c>
      <c r="I4735" s="7" t="s">
        <v>25</v>
      </c>
      <c r="J4735" s="13" t="str">
        <f>HYPERLINK("https://www.airitibooks.com/Detail/Detail?PublicationID=P20140120094", "https://www.airitibooks.com/Detail/Detail?PublicationID=P20140120094")</f>
        <v>https://www.airitibooks.com/Detail/Detail?PublicationID=P20140120094</v>
      </c>
      <c r="K4735" s="13" t="str">
        <f>HYPERLINK("https://ntsu.idm.oclc.org/login?url=https://www.airitibooks.com/Detail/Detail?PublicationID=P20140120094", "https://ntsu.idm.oclc.org/login?url=https://www.airitibooks.com/Detail/Detail?PublicationID=P20140120094")</f>
        <v>https://ntsu.idm.oclc.org/login?url=https://www.airitibooks.com/Detail/Detail?PublicationID=P20140120094</v>
      </c>
    </row>
    <row r="4736" spans="1:11" ht="51" x14ac:dyDescent="0.4">
      <c r="A4736" s="10" t="s">
        <v>1239</v>
      </c>
      <c r="B4736" s="10" t="s">
        <v>1240</v>
      </c>
      <c r="C4736" s="10" t="s">
        <v>152</v>
      </c>
      <c r="D4736" s="10" t="s">
        <v>1241</v>
      </c>
      <c r="E4736" s="10" t="s">
        <v>64</v>
      </c>
      <c r="F4736" s="10" t="s">
        <v>1242</v>
      </c>
      <c r="G4736" s="10" t="s">
        <v>32</v>
      </c>
      <c r="H4736" s="7" t="s">
        <v>24</v>
      </c>
      <c r="I4736" s="7" t="s">
        <v>25</v>
      </c>
      <c r="J4736" s="13" t="str">
        <f>HYPERLINK("https://www.airitibooks.com/Detail/Detail?PublicationID=P20140520062", "https://www.airitibooks.com/Detail/Detail?PublicationID=P20140520062")</f>
        <v>https://www.airitibooks.com/Detail/Detail?PublicationID=P20140520062</v>
      </c>
      <c r="K4736" s="13" t="str">
        <f>HYPERLINK("https://ntsu.idm.oclc.org/login?url=https://www.airitibooks.com/Detail/Detail?PublicationID=P20140520062", "https://ntsu.idm.oclc.org/login?url=https://www.airitibooks.com/Detail/Detail?PublicationID=P20140520062")</f>
        <v>https://ntsu.idm.oclc.org/login?url=https://www.airitibooks.com/Detail/Detail?PublicationID=P20140520062</v>
      </c>
    </row>
    <row r="4737" spans="1:11" ht="51" x14ac:dyDescent="0.4">
      <c r="A4737" s="10" t="s">
        <v>1338</v>
      </c>
      <c r="B4737" s="10" t="s">
        <v>1339</v>
      </c>
      <c r="C4737" s="10" t="s">
        <v>1340</v>
      </c>
      <c r="D4737" s="10" t="s">
        <v>1341</v>
      </c>
      <c r="E4737" s="10" t="s">
        <v>64</v>
      </c>
      <c r="F4737" s="10" t="s">
        <v>1342</v>
      </c>
      <c r="G4737" s="10" t="s">
        <v>32</v>
      </c>
      <c r="H4737" s="7" t="s">
        <v>24</v>
      </c>
      <c r="I4737" s="7" t="s">
        <v>25</v>
      </c>
      <c r="J4737" s="13" t="str">
        <f>HYPERLINK("https://www.airitibooks.com/Detail/Detail?PublicationID=P20140819014", "https://www.airitibooks.com/Detail/Detail?PublicationID=P20140819014")</f>
        <v>https://www.airitibooks.com/Detail/Detail?PublicationID=P20140819014</v>
      </c>
      <c r="K4737" s="13" t="str">
        <f>HYPERLINK("https://ntsu.idm.oclc.org/login?url=https://www.airitibooks.com/Detail/Detail?PublicationID=P20140819014", "https://ntsu.idm.oclc.org/login?url=https://www.airitibooks.com/Detail/Detail?PublicationID=P20140819014")</f>
        <v>https://ntsu.idm.oclc.org/login?url=https://www.airitibooks.com/Detail/Detail?PublicationID=P20140819014</v>
      </c>
    </row>
    <row r="4738" spans="1:11" ht="51" x14ac:dyDescent="0.4">
      <c r="A4738" s="10" t="s">
        <v>1343</v>
      </c>
      <c r="B4738" s="10" t="s">
        <v>1344</v>
      </c>
      <c r="C4738" s="10" t="s">
        <v>1340</v>
      </c>
      <c r="D4738" s="10" t="s">
        <v>1341</v>
      </c>
      <c r="E4738" s="10" t="s">
        <v>64</v>
      </c>
      <c r="F4738" s="10" t="s">
        <v>1342</v>
      </c>
      <c r="G4738" s="10" t="s">
        <v>32</v>
      </c>
      <c r="H4738" s="7" t="s">
        <v>24</v>
      </c>
      <c r="I4738" s="7" t="s">
        <v>25</v>
      </c>
      <c r="J4738" s="13" t="str">
        <f>HYPERLINK("https://www.airitibooks.com/Detail/Detail?PublicationID=P20140819015", "https://www.airitibooks.com/Detail/Detail?PublicationID=P20140819015")</f>
        <v>https://www.airitibooks.com/Detail/Detail?PublicationID=P20140819015</v>
      </c>
      <c r="K4738" s="13" t="str">
        <f>HYPERLINK("https://ntsu.idm.oclc.org/login?url=https://www.airitibooks.com/Detail/Detail?PublicationID=P20140819015", "https://ntsu.idm.oclc.org/login?url=https://www.airitibooks.com/Detail/Detail?PublicationID=P20140819015")</f>
        <v>https://ntsu.idm.oclc.org/login?url=https://www.airitibooks.com/Detail/Detail?PublicationID=P20140819015</v>
      </c>
    </row>
    <row r="4739" spans="1:11" ht="51" x14ac:dyDescent="0.4">
      <c r="A4739" s="10" t="s">
        <v>1345</v>
      </c>
      <c r="B4739" s="10" t="s">
        <v>1346</v>
      </c>
      <c r="C4739" s="10" t="s">
        <v>1340</v>
      </c>
      <c r="D4739" s="10" t="s">
        <v>1341</v>
      </c>
      <c r="E4739" s="10" t="s">
        <v>64</v>
      </c>
      <c r="F4739" s="10" t="s">
        <v>1342</v>
      </c>
      <c r="G4739" s="10" t="s">
        <v>32</v>
      </c>
      <c r="H4739" s="7" t="s">
        <v>24</v>
      </c>
      <c r="I4739" s="7" t="s">
        <v>25</v>
      </c>
      <c r="J4739" s="13" t="str">
        <f>HYPERLINK("https://www.airitibooks.com/Detail/Detail?PublicationID=P20140819016", "https://www.airitibooks.com/Detail/Detail?PublicationID=P20140819016")</f>
        <v>https://www.airitibooks.com/Detail/Detail?PublicationID=P20140819016</v>
      </c>
      <c r="K4739" s="13" t="str">
        <f>HYPERLINK("https://ntsu.idm.oclc.org/login?url=https://www.airitibooks.com/Detail/Detail?PublicationID=P20140819016", "https://ntsu.idm.oclc.org/login?url=https://www.airitibooks.com/Detail/Detail?PublicationID=P20140819016")</f>
        <v>https://ntsu.idm.oclc.org/login?url=https://www.airitibooks.com/Detail/Detail?PublicationID=P20140819016</v>
      </c>
    </row>
    <row r="4740" spans="1:11" ht="51" x14ac:dyDescent="0.4">
      <c r="A4740" s="10" t="s">
        <v>1347</v>
      </c>
      <c r="B4740" s="10" t="s">
        <v>1348</v>
      </c>
      <c r="C4740" s="10" t="s">
        <v>1340</v>
      </c>
      <c r="D4740" s="10" t="s">
        <v>1341</v>
      </c>
      <c r="E4740" s="10" t="s">
        <v>64</v>
      </c>
      <c r="F4740" s="10" t="s">
        <v>1342</v>
      </c>
      <c r="G4740" s="10" t="s">
        <v>32</v>
      </c>
      <c r="H4740" s="7" t="s">
        <v>24</v>
      </c>
      <c r="I4740" s="7" t="s">
        <v>25</v>
      </c>
      <c r="J4740" s="13" t="str">
        <f>HYPERLINK("https://www.airitibooks.com/Detail/Detail?PublicationID=P20140819017", "https://www.airitibooks.com/Detail/Detail?PublicationID=P20140819017")</f>
        <v>https://www.airitibooks.com/Detail/Detail?PublicationID=P20140819017</v>
      </c>
      <c r="K4740" s="13" t="str">
        <f>HYPERLINK("https://ntsu.idm.oclc.org/login?url=https://www.airitibooks.com/Detail/Detail?PublicationID=P20140819017", "https://ntsu.idm.oclc.org/login?url=https://www.airitibooks.com/Detail/Detail?PublicationID=P20140819017")</f>
        <v>https://ntsu.idm.oclc.org/login?url=https://www.airitibooks.com/Detail/Detail?PublicationID=P20140819017</v>
      </c>
    </row>
    <row r="4741" spans="1:11" ht="51" x14ac:dyDescent="0.4">
      <c r="A4741" s="10" t="s">
        <v>1349</v>
      </c>
      <c r="B4741" s="10" t="s">
        <v>1350</v>
      </c>
      <c r="C4741" s="10" t="s">
        <v>1340</v>
      </c>
      <c r="D4741" s="10" t="s">
        <v>1341</v>
      </c>
      <c r="E4741" s="10" t="s">
        <v>64</v>
      </c>
      <c r="F4741" s="10" t="s">
        <v>1342</v>
      </c>
      <c r="G4741" s="10" t="s">
        <v>32</v>
      </c>
      <c r="H4741" s="7" t="s">
        <v>24</v>
      </c>
      <c r="I4741" s="7" t="s">
        <v>25</v>
      </c>
      <c r="J4741" s="13" t="str">
        <f>HYPERLINK("https://www.airitibooks.com/Detail/Detail?PublicationID=P20140819018", "https://www.airitibooks.com/Detail/Detail?PublicationID=P20140819018")</f>
        <v>https://www.airitibooks.com/Detail/Detail?PublicationID=P20140819018</v>
      </c>
      <c r="K4741" s="13" t="str">
        <f>HYPERLINK("https://ntsu.idm.oclc.org/login?url=https://www.airitibooks.com/Detail/Detail?PublicationID=P20140819018", "https://ntsu.idm.oclc.org/login?url=https://www.airitibooks.com/Detail/Detail?PublicationID=P20140819018")</f>
        <v>https://ntsu.idm.oclc.org/login?url=https://www.airitibooks.com/Detail/Detail?PublicationID=P20140819018</v>
      </c>
    </row>
    <row r="4742" spans="1:11" ht="51" x14ac:dyDescent="0.4">
      <c r="A4742" s="10" t="s">
        <v>1351</v>
      </c>
      <c r="B4742" s="10" t="s">
        <v>1352</v>
      </c>
      <c r="C4742" s="10" t="s">
        <v>1340</v>
      </c>
      <c r="D4742" s="10" t="s">
        <v>1341</v>
      </c>
      <c r="E4742" s="10" t="s">
        <v>64</v>
      </c>
      <c r="F4742" s="10" t="s">
        <v>1342</v>
      </c>
      <c r="G4742" s="10" t="s">
        <v>32</v>
      </c>
      <c r="H4742" s="7" t="s">
        <v>24</v>
      </c>
      <c r="I4742" s="7" t="s">
        <v>25</v>
      </c>
      <c r="J4742" s="13" t="str">
        <f>HYPERLINK("https://www.airitibooks.com/Detail/Detail?PublicationID=P20140819019", "https://www.airitibooks.com/Detail/Detail?PublicationID=P20140819019")</f>
        <v>https://www.airitibooks.com/Detail/Detail?PublicationID=P20140819019</v>
      </c>
      <c r="K4742" s="13" t="str">
        <f>HYPERLINK("https://ntsu.idm.oclc.org/login?url=https://www.airitibooks.com/Detail/Detail?PublicationID=P20140819019", "https://ntsu.idm.oclc.org/login?url=https://www.airitibooks.com/Detail/Detail?PublicationID=P20140819019")</f>
        <v>https://ntsu.idm.oclc.org/login?url=https://www.airitibooks.com/Detail/Detail?PublicationID=P20140819019</v>
      </c>
    </row>
    <row r="4743" spans="1:11" ht="51" x14ac:dyDescent="0.4">
      <c r="A4743" s="10" t="s">
        <v>1353</v>
      </c>
      <c r="B4743" s="10" t="s">
        <v>1354</v>
      </c>
      <c r="C4743" s="10" t="s">
        <v>1340</v>
      </c>
      <c r="D4743" s="10" t="s">
        <v>1341</v>
      </c>
      <c r="E4743" s="10" t="s">
        <v>64</v>
      </c>
      <c r="F4743" s="10" t="s">
        <v>1342</v>
      </c>
      <c r="G4743" s="10" t="s">
        <v>32</v>
      </c>
      <c r="H4743" s="7" t="s">
        <v>24</v>
      </c>
      <c r="I4743" s="7" t="s">
        <v>25</v>
      </c>
      <c r="J4743" s="13" t="str">
        <f>HYPERLINK("https://www.airitibooks.com/Detail/Detail?PublicationID=P20140819020", "https://www.airitibooks.com/Detail/Detail?PublicationID=P20140819020")</f>
        <v>https://www.airitibooks.com/Detail/Detail?PublicationID=P20140819020</v>
      </c>
      <c r="K4743" s="13" t="str">
        <f>HYPERLINK("https://ntsu.idm.oclc.org/login?url=https://www.airitibooks.com/Detail/Detail?PublicationID=P20140819020", "https://ntsu.idm.oclc.org/login?url=https://www.airitibooks.com/Detail/Detail?PublicationID=P20140819020")</f>
        <v>https://ntsu.idm.oclc.org/login?url=https://www.airitibooks.com/Detail/Detail?PublicationID=P20140819020</v>
      </c>
    </row>
    <row r="4744" spans="1:11" ht="51" x14ac:dyDescent="0.4">
      <c r="A4744" s="10" t="s">
        <v>1474</v>
      </c>
      <c r="B4744" s="10" t="s">
        <v>1475</v>
      </c>
      <c r="C4744" s="10" t="s">
        <v>985</v>
      </c>
      <c r="D4744" s="10" t="s">
        <v>1476</v>
      </c>
      <c r="E4744" s="10" t="s">
        <v>64</v>
      </c>
      <c r="F4744" s="10" t="s">
        <v>1477</v>
      </c>
      <c r="G4744" s="10" t="s">
        <v>32</v>
      </c>
      <c r="H4744" s="7" t="s">
        <v>24</v>
      </c>
      <c r="I4744" s="7" t="s">
        <v>25</v>
      </c>
      <c r="J4744" s="13" t="str">
        <f>HYPERLINK("https://www.airitibooks.com/Detail/Detail?PublicationID=P20140919126", "https://www.airitibooks.com/Detail/Detail?PublicationID=P20140919126")</f>
        <v>https://www.airitibooks.com/Detail/Detail?PublicationID=P20140919126</v>
      </c>
      <c r="K4744" s="13" t="str">
        <f>HYPERLINK("https://ntsu.idm.oclc.org/login?url=https://www.airitibooks.com/Detail/Detail?PublicationID=P20140919126", "https://ntsu.idm.oclc.org/login?url=https://www.airitibooks.com/Detail/Detail?PublicationID=P20140919126")</f>
        <v>https://ntsu.idm.oclc.org/login?url=https://www.airitibooks.com/Detail/Detail?PublicationID=P20140919126</v>
      </c>
    </row>
    <row r="4745" spans="1:11" ht="51" x14ac:dyDescent="0.4">
      <c r="A4745" s="10" t="s">
        <v>1549</v>
      </c>
      <c r="B4745" s="10" t="s">
        <v>1550</v>
      </c>
      <c r="C4745" s="10" t="s">
        <v>28</v>
      </c>
      <c r="D4745" s="10" t="s">
        <v>1551</v>
      </c>
      <c r="E4745" s="10" t="s">
        <v>64</v>
      </c>
      <c r="F4745" s="10" t="s">
        <v>1552</v>
      </c>
      <c r="G4745" s="10" t="s">
        <v>32</v>
      </c>
      <c r="H4745" s="7" t="s">
        <v>24</v>
      </c>
      <c r="I4745" s="7" t="s">
        <v>25</v>
      </c>
      <c r="J4745" s="13" t="str">
        <f>HYPERLINK("https://www.airitibooks.com/Detail/Detail?PublicationID=P20141027147", "https://www.airitibooks.com/Detail/Detail?PublicationID=P20141027147")</f>
        <v>https://www.airitibooks.com/Detail/Detail?PublicationID=P20141027147</v>
      </c>
      <c r="K4745" s="13" t="str">
        <f>HYPERLINK("https://ntsu.idm.oclc.org/login?url=https://www.airitibooks.com/Detail/Detail?PublicationID=P20141027147", "https://ntsu.idm.oclc.org/login?url=https://www.airitibooks.com/Detail/Detail?PublicationID=P20141027147")</f>
        <v>https://ntsu.idm.oclc.org/login?url=https://www.airitibooks.com/Detail/Detail?PublicationID=P20141027147</v>
      </c>
    </row>
    <row r="4746" spans="1:11" ht="51" x14ac:dyDescent="0.4">
      <c r="A4746" s="10" t="s">
        <v>1553</v>
      </c>
      <c r="B4746" s="10" t="s">
        <v>1554</v>
      </c>
      <c r="C4746" s="10" t="s">
        <v>28</v>
      </c>
      <c r="D4746" s="10" t="s">
        <v>1555</v>
      </c>
      <c r="E4746" s="10" t="s">
        <v>64</v>
      </c>
      <c r="F4746" s="10" t="s">
        <v>47</v>
      </c>
      <c r="G4746" s="10" t="s">
        <v>32</v>
      </c>
      <c r="H4746" s="7" t="s">
        <v>24</v>
      </c>
      <c r="I4746" s="7" t="s">
        <v>25</v>
      </c>
      <c r="J4746" s="13" t="str">
        <f>HYPERLINK("https://www.airitibooks.com/Detail/Detail?PublicationID=P20141027152", "https://www.airitibooks.com/Detail/Detail?PublicationID=P20141027152")</f>
        <v>https://www.airitibooks.com/Detail/Detail?PublicationID=P20141027152</v>
      </c>
      <c r="K4746" s="13" t="str">
        <f>HYPERLINK("https://ntsu.idm.oclc.org/login?url=https://www.airitibooks.com/Detail/Detail?PublicationID=P20141027152", "https://ntsu.idm.oclc.org/login?url=https://www.airitibooks.com/Detail/Detail?PublicationID=P20141027152")</f>
        <v>https://ntsu.idm.oclc.org/login?url=https://www.airitibooks.com/Detail/Detail?PublicationID=P20141027152</v>
      </c>
    </row>
    <row r="4747" spans="1:11" ht="51" x14ac:dyDescent="0.4">
      <c r="A4747" s="10" t="s">
        <v>1557</v>
      </c>
      <c r="B4747" s="10" t="s">
        <v>1558</v>
      </c>
      <c r="C4747" s="10" t="s">
        <v>28</v>
      </c>
      <c r="D4747" s="10" t="s">
        <v>1559</v>
      </c>
      <c r="E4747" s="10" t="s">
        <v>64</v>
      </c>
      <c r="F4747" s="10" t="s">
        <v>1560</v>
      </c>
      <c r="G4747" s="10" t="s">
        <v>32</v>
      </c>
      <c r="H4747" s="7" t="s">
        <v>24</v>
      </c>
      <c r="I4747" s="7" t="s">
        <v>25</v>
      </c>
      <c r="J4747" s="13" t="str">
        <f>HYPERLINK("https://www.airitibooks.com/Detail/Detail?PublicationID=P20141027153", "https://www.airitibooks.com/Detail/Detail?PublicationID=P20141027153")</f>
        <v>https://www.airitibooks.com/Detail/Detail?PublicationID=P20141027153</v>
      </c>
      <c r="K4747" s="13" t="str">
        <f>HYPERLINK("https://ntsu.idm.oclc.org/login?url=https://www.airitibooks.com/Detail/Detail?PublicationID=P20141027153", "https://ntsu.idm.oclc.org/login?url=https://www.airitibooks.com/Detail/Detail?PublicationID=P20141027153")</f>
        <v>https://ntsu.idm.oclc.org/login?url=https://www.airitibooks.com/Detail/Detail?PublicationID=P20141027153</v>
      </c>
    </row>
    <row r="4748" spans="1:11" ht="51" x14ac:dyDescent="0.4">
      <c r="A4748" s="10" t="s">
        <v>1938</v>
      </c>
      <c r="B4748" s="10" t="s">
        <v>1939</v>
      </c>
      <c r="C4748" s="10" t="s">
        <v>141</v>
      </c>
      <c r="D4748" s="10" t="s">
        <v>1940</v>
      </c>
      <c r="E4748" s="10" t="s">
        <v>64</v>
      </c>
      <c r="F4748" s="10" t="s">
        <v>1941</v>
      </c>
      <c r="G4748" s="10" t="s">
        <v>32</v>
      </c>
      <c r="H4748" s="7" t="s">
        <v>24</v>
      </c>
      <c r="I4748" s="7" t="s">
        <v>25</v>
      </c>
      <c r="J4748" s="13" t="str">
        <f>HYPERLINK("https://www.airitibooks.com/Detail/Detail?PublicationID=P20150205088", "https://www.airitibooks.com/Detail/Detail?PublicationID=P20150205088")</f>
        <v>https://www.airitibooks.com/Detail/Detail?PublicationID=P20150205088</v>
      </c>
      <c r="K4748" s="13" t="str">
        <f>HYPERLINK("https://ntsu.idm.oclc.org/login?url=https://www.airitibooks.com/Detail/Detail?PublicationID=P20150205088", "https://ntsu.idm.oclc.org/login?url=https://www.airitibooks.com/Detail/Detail?PublicationID=P20150205088")</f>
        <v>https://ntsu.idm.oclc.org/login?url=https://www.airitibooks.com/Detail/Detail?PublicationID=P20150205088</v>
      </c>
    </row>
    <row r="4749" spans="1:11" ht="51" x14ac:dyDescent="0.4">
      <c r="A4749" s="10" t="s">
        <v>1944</v>
      </c>
      <c r="B4749" s="10" t="s">
        <v>1945</v>
      </c>
      <c r="C4749" s="10" t="s">
        <v>1946</v>
      </c>
      <c r="D4749" s="10" t="s">
        <v>1947</v>
      </c>
      <c r="E4749" s="10" t="s">
        <v>64</v>
      </c>
      <c r="F4749" s="10" t="s">
        <v>42</v>
      </c>
      <c r="G4749" s="10" t="s">
        <v>32</v>
      </c>
      <c r="H4749" s="7" t="s">
        <v>24</v>
      </c>
      <c r="I4749" s="7" t="s">
        <v>25</v>
      </c>
      <c r="J4749" s="13" t="str">
        <f>HYPERLINK("https://www.airitibooks.com/Detail/Detail?PublicationID=P20150205094", "https://www.airitibooks.com/Detail/Detail?PublicationID=P20150205094")</f>
        <v>https://www.airitibooks.com/Detail/Detail?PublicationID=P20150205094</v>
      </c>
      <c r="K4749" s="13" t="str">
        <f>HYPERLINK("https://ntsu.idm.oclc.org/login?url=https://www.airitibooks.com/Detail/Detail?PublicationID=P20150205094", "https://ntsu.idm.oclc.org/login?url=https://www.airitibooks.com/Detail/Detail?PublicationID=P20150205094")</f>
        <v>https://ntsu.idm.oclc.org/login?url=https://www.airitibooks.com/Detail/Detail?PublicationID=P20150205094</v>
      </c>
    </row>
    <row r="4750" spans="1:11" ht="85" x14ac:dyDescent="0.4">
      <c r="A4750" s="10" t="s">
        <v>1951</v>
      </c>
      <c r="B4750" s="10" t="s">
        <v>1952</v>
      </c>
      <c r="C4750" s="10" t="s">
        <v>141</v>
      </c>
      <c r="D4750" s="10" t="s">
        <v>1953</v>
      </c>
      <c r="E4750" s="10" t="s">
        <v>64</v>
      </c>
      <c r="F4750" s="10" t="s">
        <v>274</v>
      </c>
      <c r="G4750" s="10" t="s">
        <v>32</v>
      </c>
      <c r="H4750" s="7" t="s">
        <v>24</v>
      </c>
      <c r="I4750" s="7" t="s">
        <v>25</v>
      </c>
      <c r="J4750" s="13" t="str">
        <f>HYPERLINK("https://www.airitibooks.com/Detail/Detail?PublicationID=P20150205105", "https://www.airitibooks.com/Detail/Detail?PublicationID=P20150205105")</f>
        <v>https://www.airitibooks.com/Detail/Detail?PublicationID=P20150205105</v>
      </c>
      <c r="K4750" s="13" t="str">
        <f>HYPERLINK("https://ntsu.idm.oclc.org/login?url=https://www.airitibooks.com/Detail/Detail?PublicationID=P20150205105", "https://ntsu.idm.oclc.org/login?url=https://www.airitibooks.com/Detail/Detail?PublicationID=P20150205105")</f>
        <v>https://ntsu.idm.oclc.org/login?url=https://www.airitibooks.com/Detail/Detail?PublicationID=P20150205105</v>
      </c>
    </row>
    <row r="4751" spans="1:11" ht="51" x14ac:dyDescent="0.4">
      <c r="A4751" s="10" t="s">
        <v>2149</v>
      </c>
      <c r="B4751" s="10" t="s">
        <v>2150</v>
      </c>
      <c r="C4751" s="10" t="s">
        <v>2146</v>
      </c>
      <c r="D4751" s="10" t="s">
        <v>2151</v>
      </c>
      <c r="E4751" s="10" t="s">
        <v>64</v>
      </c>
      <c r="F4751" s="10" t="s">
        <v>2152</v>
      </c>
      <c r="G4751" s="10" t="s">
        <v>32</v>
      </c>
      <c r="H4751" s="7" t="s">
        <v>24</v>
      </c>
      <c r="I4751" s="7" t="s">
        <v>25</v>
      </c>
      <c r="J4751" s="13" t="str">
        <f>HYPERLINK("https://www.airitibooks.com/Detail/Detail?PublicationID=P20150310048", "https://www.airitibooks.com/Detail/Detail?PublicationID=P20150310048")</f>
        <v>https://www.airitibooks.com/Detail/Detail?PublicationID=P20150310048</v>
      </c>
      <c r="K4751" s="13" t="str">
        <f>HYPERLINK("https://ntsu.idm.oclc.org/login?url=https://www.airitibooks.com/Detail/Detail?PublicationID=P20150310048", "https://ntsu.idm.oclc.org/login?url=https://www.airitibooks.com/Detail/Detail?PublicationID=P20150310048")</f>
        <v>https://ntsu.idm.oclc.org/login?url=https://www.airitibooks.com/Detail/Detail?PublicationID=P20150310048</v>
      </c>
    </row>
    <row r="4752" spans="1:11" ht="51" x14ac:dyDescent="0.4">
      <c r="A4752" s="10" t="s">
        <v>2355</v>
      </c>
      <c r="B4752" s="10" t="s">
        <v>2356</v>
      </c>
      <c r="C4752" s="10" t="s">
        <v>1067</v>
      </c>
      <c r="D4752" s="10" t="s">
        <v>2259</v>
      </c>
      <c r="E4752" s="10" t="s">
        <v>64</v>
      </c>
      <c r="F4752" s="10" t="s">
        <v>1903</v>
      </c>
      <c r="G4752" s="10" t="s">
        <v>32</v>
      </c>
      <c r="H4752" s="7" t="s">
        <v>24</v>
      </c>
      <c r="I4752" s="7" t="s">
        <v>25</v>
      </c>
      <c r="J4752" s="13" t="str">
        <f>HYPERLINK("https://www.airitibooks.com/Detail/Detail?PublicationID=P20150414170", "https://www.airitibooks.com/Detail/Detail?PublicationID=P20150414170")</f>
        <v>https://www.airitibooks.com/Detail/Detail?PublicationID=P20150414170</v>
      </c>
      <c r="K4752" s="13" t="str">
        <f>HYPERLINK("https://ntsu.idm.oclc.org/login?url=https://www.airitibooks.com/Detail/Detail?PublicationID=P20150414170", "https://ntsu.idm.oclc.org/login?url=https://www.airitibooks.com/Detail/Detail?PublicationID=P20150414170")</f>
        <v>https://ntsu.idm.oclc.org/login?url=https://www.airitibooks.com/Detail/Detail?PublicationID=P20150414170</v>
      </c>
    </row>
    <row r="4753" spans="1:11" ht="51" x14ac:dyDescent="0.4">
      <c r="A4753" s="10" t="s">
        <v>2649</v>
      </c>
      <c r="B4753" s="10" t="s">
        <v>2650</v>
      </c>
      <c r="C4753" s="10" t="s">
        <v>804</v>
      </c>
      <c r="D4753" s="10" t="s">
        <v>2651</v>
      </c>
      <c r="E4753" s="10" t="s">
        <v>64</v>
      </c>
      <c r="F4753" s="10" t="s">
        <v>2652</v>
      </c>
      <c r="G4753" s="10" t="s">
        <v>32</v>
      </c>
      <c r="H4753" s="7" t="s">
        <v>24</v>
      </c>
      <c r="I4753" s="7" t="s">
        <v>25</v>
      </c>
      <c r="J4753" s="13" t="str">
        <f>HYPERLINK("https://www.airitibooks.com/Detail/Detail?PublicationID=P20150604099", "https://www.airitibooks.com/Detail/Detail?PublicationID=P20150604099")</f>
        <v>https://www.airitibooks.com/Detail/Detail?PublicationID=P20150604099</v>
      </c>
      <c r="K4753" s="13" t="str">
        <f>HYPERLINK("https://ntsu.idm.oclc.org/login?url=https://www.airitibooks.com/Detail/Detail?PublicationID=P20150604099", "https://ntsu.idm.oclc.org/login?url=https://www.airitibooks.com/Detail/Detail?PublicationID=P20150604099")</f>
        <v>https://ntsu.idm.oclc.org/login?url=https://www.airitibooks.com/Detail/Detail?PublicationID=P20150604099</v>
      </c>
    </row>
    <row r="4754" spans="1:11" ht="85" x14ac:dyDescent="0.4">
      <c r="A4754" s="10" t="s">
        <v>2748</v>
      </c>
      <c r="B4754" s="10" t="s">
        <v>2749</v>
      </c>
      <c r="C4754" s="10" t="s">
        <v>141</v>
      </c>
      <c r="D4754" s="10" t="s">
        <v>1953</v>
      </c>
      <c r="E4754" s="10" t="s">
        <v>64</v>
      </c>
      <c r="F4754" s="10" t="s">
        <v>274</v>
      </c>
      <c r="G4754" s="10" t="s">
        <v>32</v>
      </c>
      <c r="H4754" s="7" t="s">
        <v>24</v>
      </c>
      <c r="I4754" s="7" t="s">
        <v>25</v>
      </c>
      <c r="J4754" s="13" t="str">
        <f>HYPERLINK("https://www.airitibooks.com/Detail/Detail?PublicationID=P20150624145", "https://www.airitibooks.com/Detail/Detail?PublicationID=P20150624145")</f>
        <v>https://www.airitibooks.com/Detail/Detail?PublicationID=P20150624145</v>
      </c>
      <c r="K4754" s="13" t="str">
        <f>HYPERLINK("https://ntsu.idm.oclc.org/login?url=https://www.airitibooks.com/Detail/Detail?PublicationID=P20150624145", "https://ntsu.idm.oclc.org/login?url=https://www.airitibooks.com/Detail/Detail?PublicationID=P20150624145")</f>
        <v>https://ntsu.idm.oclc.org/login?url=https://www.airitibooks.com/Detail/Detail?PublicationID=P20150624145</v>
      </c>
    </row>
    <row r="4755" spans="1:11" ht="51" x14ac:dyDescent="0.4">
      <c r="A4755" s="10" t="s">
        <v>2758</v>
      </c>
      <c r="B4755" s="10" t="s">
        <v>2759</v>
      </c>
      <c r="C4755" s="10" t="s">
        <v>499</v>
      </c>
      <c r="D4755" s="10" t="s">
        <v>2760</v>
      </c>
      <c r="E4755" s="10" t="s">
        <v>64</v>
      </c>
      <c r="F4755" s="10" t="s">
        <v>2580</v>
      </c>
      <c r="G4755" s="10" t="s">
        <v>32</v>
      </c>
      <c r="H4755" s="7" t="s">
        <v>24</v>
      </c>
      <c r="I4755" s="7" t="s">
        <v>25</v>
      </c>
      <c r="J4755" s="13" t="str">
        <f>HYPERLINK("https://www.airitibooks.com/Detail/Detail?PublicationID=P20150624202", "https://www.airitibooks.com/Detail/Detail?PublicationID=P20150624202")</f>
        <v>https://www.airitibooks.com/Detail/Detail?PublicationID=P20150624202</v>
      </c>
      <c r="K4755" s="13" t="str">
        <f>HYPERLINK("https://ntsu.idm.oclc.org/login?url=https://www.airitibooks.com/Detail/Detail?PublicationID=P20150624202", "https://ntsu.idm.oclc.org/login?url=https://www.airitibooks.com/Detail/Detail?PublicationID=P20150624202")</f>
        <v>https://ntsu.idm.oclc.org/login?url=https://www.airitibooks.com/Detail/Detail?PublicationID=P20150624202</v>
      </c>
    </row>
    <row r="4756" spans="1:11" ht="51" x14ac:dyDescent="0.4">
      <c r="A4756" s="10" t="s">
        <v>3365</v>
      </c>
      <c r="B4756" s="10" t="s">
        <v>3366</v>
      </c>
      <c r="C4756" s="10" t="s">
        <v>147</v>
      </c>
      <c r="D4756" s="10" t="s">
        <v>3367</v>
      </c>
      <c r="E4756" s="10" t="s">
        <v>64</v>
      </c>
      <c r="F4756" s="10" t="s">
        <v>2856</v>
      </c>
      <c r="G4756" s="10" t="s">
        <v>32</v>
      </c>
      <c r="H4756" s="7" t="s">
        <v>24</v>
      </c>
      <c r="I4756" s="7" t="s">
        <v>25</v>
      </c>
      <c r="J4756" s="13" t="str">
        <f>HYPERLINK("https://www.airitibooks.com/Detail/Detail?PublicationID=P20150915053", "https://www.airitibooks.com/Detail/Detail?PublicationID=P20150915053")</f>
        <v>https://www.airitibooks.com/Detail/Detail?PublicationID=P20150915053</v>
      </c>
      <c r="K4756" s="13" t="str">
        <f>HYPERLINK("https://ntsu.idm.oclc.org/login?url=https://www.airitibooks.com/Detail/Detail?PublicationID=P20150915053", "https://ntsu.idm.oclc.org/login?url=https://www.airitibooks.com/Detail/Detail?PublicationID=P20150915053")</f>
        <v>https://ntsu.idm.oclc.org/login?url=https://www.airitibooks.com/Detail/Detail?PublicationID=P20150915053</v>
      </c>
    </row>
    <row r="4757" spans="1:11" ht="51" x14ac:dyDescent="0.4">
      <c r="A4757" s="10" t="s">
        <v>3368</v>
      </c>
      <c r="B4757" s="10" t="s">
        <v>3369</v>
      </c>
      <c r="C4757" s="10" t="s">
        <v>147</v>
      </c>
      <c r="D4757" s="10" t="s">
        <v>3370</v>
      </c>
      <c r="E4757" s="10" t="s">
        <v>64</v>
      </c>
      <c r="F4757" s="10" t="s">
        <v>3371</v>
      </c>
      <c r="G4757" s="10" t="s">
        <v>32</v>
      </c>
      <c r="H4757" s="7" t="s">
        <v>24</v>
      </c>
      <c r="I4757" s="7" t="s">
        <v>25</v>
      </c>
      <c r="J4757" s="13" t="str">
        <f>HYPERLINK("https://www.airitibooks.com/Detail/Detail?PublicationID=P20150915054", "https://www.airitibooks.com/Detail/Detail?PublicationID=P20150915054")</f>
        <v>https://www.airitibooks.com/Detail/Detail?PublicationID=P20150915054</v>
      </c>
      <c r="K4757" s="13" t="str">
        <f>HYPERLINK("https://ntsu.idm.oclc.org/login?url=https://www.airitibooks.com/Detail/Detail?PublicationID=P20150915054", "https://ntsu.idm.oclc.org/login?url=https://www.airitibooks.com/Detail/Detail?PublicationID=P20150915054")</f>
        <v>https://ntsu.idm.oclc.org/login?url=https://www.airitibooks.com/Detail/Detail?PublicationID=P20150915054</v>
      </c>
    </row>
    <row r="4758" spans="1:11" ht="51" x14ac:dyDescent="0.4">
      <c r="A4758" s="10" t="s">
        <v>3375</v>
      </c>
      <c r="B4758" s="10" t="s">
        <v>3376</v>
      </c>
      <c r="C4758" s="10" t="s">
        <v>147</v>
      </c>
      <c r="D4758" s="10" t="s">
        <v>3377</v>
      </c>
      <c r="E4758" s="10" t="s">
        <v>64</v>
      </c>
      <c r="F4758" s="10" t="s">
        <v>1005</v>
      </c>
      <c r="G4758" s="10" t="s">
        <v>32</v>
      </c>
      <c r="H4758" s="7" t="s">
        <v>24</v>
      </c>
      <c r="I4758" s="7" t="s">
        <v>25</v>
      </c>
      <c r="J4758" s="13" t="str">
        <f>HYPERLINK("https://www.airitibooks.com/Detail/Detail?PublicationID=P20150915062", "https://www.airitibooks.com/Detail/Detail?PublicationID=P20150915062")</f>
        <v>https://www.airitibooks.com/Detail/Detail?PublicationID=P20150915062</v>
      </c>
      <c r="K4758" s="13" t="str">
        <f>HYPERLINK("https://ntsu.idm.oclc.org/login?url=https://www.airitibooks.com/Detail/Detail?PublicationID=P20150915062", "https://ntsu.idm.oclc.org/login?url=https://www.airitibooks.com/Detail/Detail?PublicationID=P20150915062")</f>
        <v>https://ntsu.idm.oclc.org/login?url=https://www.airitibooks.com/Detail/Detail?PublicationID=P20150915062</v>
      </c>
    </row>
    <row r="4759" spans="1:11" ht="51" x14ac:dyDescent="0.4">
      <c r="A4759" s="10" t="s">
        <v>3378</v>
      </c>
      <c r="B4759" s="10" t="s">
        <v>3379</v>
      </c>
      <c r="C4759" s="10" t="s">
        <v>147</v>
      </c>
      <c r="D4759" s="10" t="s">
        <v>3380</v>
      </c>
      <c r="E4759" s="10" t="s">
        <v>64</v>
      </c>
      <c r="F4759" s="10" t="s">
        <v>185</v>
      </c>
      <c r="G4759" s="10" t="s">
        <v>32</v>
      </c>
      <c r="H4759" s="7" t="s">
        <v>24</v>
      </c>
      <c r="I4759" s="7" t="s">
        <v>25</v>
      </c>
      <c r="J4759" s="13" t="str">
        <f>HYPERLINK("https://www.airitibooks.com/Detail/Detail?PublicationID=P20150915064", "https://www.airitibooks.com/Detail/Detail?PublicationID=P20150915064")</f>
        <v>https://www.airitibooks.com/Detail/Detail?PublicationID=P20150915064</v>
      </c>
      <c r="K4759" s="13" t="str">
        <f>HYPERLINK("https://ntsu.idm.oclc.org/login?url=https://www.airitibooks.com/Detail/Detail?PublicationID=P20150915064", "https://ntsu.idm.oclc.org/login?url=https://www.airitibooks.com/Detail/Detail?PublicationID=P20150915064")</f>
        <v>https://ntsu.idm.oclc.org/login?url=https://www.airitibooks.com/Detail/Detail?PublicationID=P20150915064</v>
      </c>
    </row>
    <row r="4760" spans="1:11" ht="85" x14ac:dyDescent="0.4">
      <c r="A4760" s="10" t="s">
        <v>3381</v>
      </c>
      <c r="B4760" s="10" t="s">
        <v>3382</v>
      </c>
      <c r="C4760" s="10" t="s">
        <v>147</v>
      </c>
      <c r="D4760" s="10" t="s">
        <v>3383</v>
      </c>
      <c r="E4760" s="10" t="s">
        <v>64</v>
      </c>
      <c r="F4760" s="10" t="s">
        <v>647</v>
      </c>
      <c r="G4760" s="10" t="s">
        <v>32</v>
      </c>
      <c r="H4760" s="7" t="s">
        <v>24</v>
      </c>
      <c r="I4760" s="7" t="s">
        <v>25</v>
      </c>
      <c r="J4760" s="13" t="str">
        <f>HYPERLINK("https://www.airitibooks.com/Detail/Detail?PublicationID=P20150915066", "https://www.airitibooks.com/Detail/Detail?PublicationID=P20150915066")</f>
        <v>https://www.airitibooks.com/Detail/Detail?PublicationID=P20150915066</v>
      </c>
      <c r="K4760" s="13" t="str">
        <f>HYPERLINK("https://ntsu.idm.oclc.org/login?url=https://www.airitibooks.com/Detail/Detail?PublicationID=P20150915066", "https://ntsu.idm.oclc.org/login?url=https://www.airitibooks.com/Detail/Detail?PublicationID=P20150915066")</f>
        <v>https://ntsu.idm.oclc.org/login?url=https://www.airitibooks.com/Detail/Detail?PublicationID=P20150915066</v>
      </c>
    </row>
    <row r="4761" spans="1:11" ht="51" x14ac:dyDescent="0.4">
      <c r="A4761" s="10" t="s">
        <v>3403</v>
      </c>
      <c r="B4761" s="10" t="s">
        <v>3404</v>
      </c>
      <c r="C4761" s="10" t="s">
        <v>147</v>
      </c>
      <c r="D4761" s="10" t="s">
        <v>3405</v>
      </c>
      <c r="E4761" s="10" t="s">
        <v>64</v>
      </c>
      <c r="F4761" s="10" t="s">
        <v>274</v>
      </c>
      <c r="G4761" s="10" t="s">
        <v>32</v>
      </c>
      <c r="H4761" s="7" t="s">
        <v>24</v>
      </c>
      <c r="I4761" s="7" t="s">
        <v>25</v>
      </c>
      <c r="J4761" s="13" t="str">
        <f>HYPERLINK("https://www.airitibooks.com/Detail/Detail?PublicationID=P20150915078", "https://www.airitibooks.com/Detail/Detail?PublicationID=P20150915078")</f>
        <v>https://www.airitibooks.com/Detail/Detail?PublicationID=P20150915078</v>
      </c>
      <c r="K4761" s="13" t="str">
        <f>HYPERLINK("https://ntsu.idm.oclc.org/login?url=https://www.airitibooks.com/Detail/Detail?PublicationID=P20150915078", "https://ntsu.idm.oclc.org/login?url=https://www.airitibooks.com/Detail/Detail?PublicationID=P20150915078")</f>
        <v>https://ntsu.idm.oclc.org/login?url=https://www.airitibooks.com/Detail/Detail?PublicationID=P20150915078</v>
      </c>
    </row>
    <row r="4762" spans="1:11" ht="51" x14ac:dyDescent="0.4">
      <c r="A4762" s="10" t="s">
        <v>3412</v>
      </c>
      <c r="B4762" s="10" t="s">
        <v>3413</v>
      </c>
      <c r="C4762" s="10" t="s">
        <v>147</v>
      </c>
      <c r="D4762" s="10" t="s">
        <v>3414</v>
      </c>
      <c r="E4762" s="10" t="s">
        <v>64</v>
      </c>
      <c r="F4762" s="10" t="s">
        <v>2856</v>
      </c>
      <c r="G4762" s="10" t="s">
        <v>32</v>
      </c>
      <c r="H4762" s="7" t="s">
        <v>24</v>
      </c>
      <c r="I4762" s="7" t="s">
        <v>25</v>
      </c>
      <c r="J4762" s="13" t="str">
        <f>HYPERLINK("https://www.airitibooks.com/Detail/Detail?PublicationID=P20150915085", "https://www.airitibooks.com/Detail/Detail?PublicationID=P20150915085")</f>
        <v>https://www.airitibooks.com/Detail/Detail?PublicationID=P20150915085</v>
      </c>
      <c r="K4762" s="13" t="str">
        <f>HYPERLINK("https://ntsu.idm.oclc.org/login?url=https://www.airitibooks.com/Detail/Detail?PublicationID=P20150915085", "https://ntsu.idm.oclc.org/login?url=https://www.airitibooks.com/Detail/Detail?PublicationID=P20150915085")</f>
        <v>https://ntsu.idm.oclc.org/login?url=https://www.airitibooks.com/Detail/Detail?PublicationID=P20150915085</v>
      </c>
    </row>
    <row r="4763" spans="1:11" ht="51" x14ac:dyDescent="0.4">
      <c r="A4763" s="10" t="s">
        <v>3415</v>
      </c>
      <c r="B4763" s="10" t="s">
        <v>3416</v>
      </c>
      <c r="C4763" s="10" t="s">
        <v>147</v>
      </c>
      <c r="D4763" s="10" t="s">
        <v>3414</v>
      </c>
      <c r="E4763" s="10" t="s">
        <v>64</v>
      </c>
      <c r="F4763" s="10" t="s">
        <v>274</v>
      </c>
      <c r="G4763" s="10" t="s">
        <v>32</v>
      </c>
      <c r="H4763" s="7" t="s">
        <v>24</v>
      </c>
      <c r="I4763" s="7" t="s">
        <v>25</v>
      </c>
      <c r="J4763" s="13" t="str">
        <f>HYPERLINK("https://www.airitibooks.com/Detail/Detail?PublicationID=P20150915087", "https://www.airitibooks.com/Detail/Detail?PublicationID=P20150915087")</f>
        <v>https://www.airitibooks.com/Detail/Detail?PublicationID=P20150915087</v>
      </c>
      <c r="K4763" s="13" t="str">
        <f>HYPERLINK("https://ntsu.idm.oclc.org/login?url=https://www.airitibooks.com/Detail/Detail?PublicationID=P20150915087", "https://ntsu.idm.oclc.org/login?url=https://www.airitibooks.com/Detail/Detail?PublicationID=P20150915087")</f>
        <v>https://ntsu.idm.oclc.org/login?url=https://www.airitibooks.com/Detail/Detail?PublicationID=P20150915087</v>
      </c>
    </row>
    <row r="4764" spans="1:11" ht="68" x14ac:dyDescent="0.4">
      <c r="A4764" s="10" t="s">
        <v>3432</v>
      </c>
      <c r="B4764" s="10" t="s">
        <v>3433</v>
      </c>
      <c r="C4764" s="10" t="s">
        <v>3426</v>
      </c>
      <c r="D4764" s="10" t="s">
        <v>3427</v>
      </c>
      <c r="E4764" s="10" t="s">
        <v>64</v>
      </c>
      <c r="F4764" s="10" t="s">
        <v>3434</v>
      </c>
      <c r="G4764" s="10" t="s">
        <v>32</v>
      </c>
      <c r="H4764" s="7" t="s">
        <v>24</v>
      </c>
      <c r="I4764" s="7" t="s">
        <v>25</v>
      </c>
      <c r="J4764" s="13" t="str">
        <f>HYPERLINK("https://www.airitibooks.com/Detail/Detail?PublicationID=P20150918058", "https://www.airitibooks.com/Detail/Detail?PublicationID=P20150918058")</f>
        <v>https://www.airitibooks.com/Detail/Detail?PublicationID=P20150918058</v>
      </c>
      <c r="K4764" s="13" t="str">
        <f>HYPERLINK("https://ntsu.idm.oclc.org/login?url=https://www.airitibooks.com/Detail/Detail?PublicationID=P20150918058", "https://ntsu.idm.oclc.org/login?url=https://www.airitibooks.com/Detail/Detail?PublicationID=P20150918058")</f>
        <v>https://ntsu.idm.oclc.org/login?url=https://www.airitibooks.com/Detail/Detail?PublicationID=P20150918058</v>
      </c>
    </row>
    <row r="4765" spans="1:11" ht="85" x14ac:dyDescent="0.4">
      <c r="A4765" s="10" t="s">
        <v>3457</v>
      </c>
      <c r="B4765" s="10" t="s">
        <v>3458</v>
      </c>
      <c r="C4765" s="10" t="s">
        <v>3426</v>
      </c>
      <c r="D4765" s="10" t="s">
        <v>3459</v>
      </c>
      <c r="E4765" s="10" t="s">
        <v>64</v>
      </c>
      <c r="F4765" s="10" t="s">
        <v>2959</v>
      </c>
      <c r="G4765" s="10" t="s">
        <v>32</v>
      </c>
      <c r="H4765" s="7" t="s">
        <v>24</v>
      </c>
      <c r="I4765" s="7" t="s">
        <v>25</v>
      </c>
      <c r="J4765" s="13" t="str">
        <f>HYPERLINK("https://www.airitibooks.com/Detail/Detail?PublicationID=P20150918070", "https://www.airitibooks.com/Detail/Detail?PublicationID=P20150918070")</f>
        <v>https://www.airitibooks.com/Detail/Detail?PublicationID=P20150918070</v>
      </c>
      <c r="K4765" s="13" t="str">
        <f>HYPERLINK("https://ntsu.idm.oclc.org/login?url=https://www.airitibooks.com/Detail/Detail?PublicationID=P20150918070", "https://ntsu.idm.oclc.org/login?url=https://www.airitibooks.com/Detail/Detail?PublicationID=P20150918070")</f>
        <v>https://ntsu.idm.oclc.org/login?url=https://www.airitibooks.com/Detail/Detail?PublicationID=P20150918070</v>
      </c>
    </row>
    <row r="4766" spans="1:11" ht="51" x14ac:dyDescent="0.4">
      <c r="A4766" s="10" t="s">
        <v>3675</v>
      </c>
      <c r="B4766" s="10" t="s">
        <v>3676</v>
      </c>
      <c r="C4766" s="10" t="s">
        <v>3426</v>
      </c>
      <c r="D4766" s="10" t="s">
        <v>3427</v>
      </c>
      <c r="E4766" s="10" t="s">
        <v>64</v>
      </c>
      <c r="F4766" s="10" t="s">
        <v>1317</v>
      </c>
      <c r="G4766" s="10" t="s">
        <v>32</v>
      </c>
      <c r="H4766" s="7" t="s">
        <v>24</v>
      </c>
      <c r="I4766" s="7" t="s">
        <v>25</v>
      </c>
      <c r="J4766" s="13" t="str">
        <f>HYPERLINK("https://www.airitibooks.com/Detail/Detail?PublicationID=P20150923005", "https://www.airitibooks.com/Detail/Detail?PublicationID=P20150923005")</f>
        <v>https://www.airitibooks.com/Detail/Detail?PublicationID=P20150923005</v>
      </c>
      <c r="K4766" s="13" t="str">
        <f>HYPERLINK("https://ntsu.idm.oclc.org/login?url=https://www.airitibooks.com/Detail/Detail?PublicationID=P20150923005", "https://ntsu.idm.oclc.org/login?url=https://www.airitibooks.com/Detail/Detail?PublicationID=P20150923005")</f>
        <v>https://ntsu.idm.oclc.org/login?url=https://www.airitibooks.com/Detail/Detail?PublicationID=P20150923005</v>
      </c>
    </row>
    <row r="4767" spans="1:11" ht="51" x14ac:dyDescent="0.4">
      <c r="A4767" s="10" t="s">
        <v>3760</v>
      </c>
      <c r="B4767" s="10" t="s">
        <v>3761</v>
      </c>
      <c r="C4767" s="10" t="s">
        <v>3762</v>
      </c>
      <c r="D4767" s="10" t="s">
        <v>3763</v>
      </c>
      <c r="E4767" s="10" t="s">
        <v>64</v>
      </c>
      <c r="F4767" s="10" t="s">
        <v>1005</v>
      </c>
      <c r="G4767" s="10" t="s">
        <v>32</v>
      </c>
      <c r="H4767" s="7" t="s">
        <v>24</v>
      </c>
      <c r="I4767" s="7" t="s">
        <v>25</v>
      </c>
      <c r="J4767" s="13" t="str">
        <f>HYPERLINK("https://www.airitibooks.com/Detail/Detail?PublicationID=P20151021094", "https://www.airitibooks.com/Detail/Detail?PublicationID=P20151021094")</f>
        <v>https://www.airitibooks.com/Detail/Detail?PublicationID=P20151021094</v>
      </c>
      <c r="K4767" s="13" t="str">
        <f>HYPERLINK("https://ntsu.idm.oclc.org/login?url=https://www.airitibooks.com/Detail/Detail?PublicationID=P20151021094", "https://ntsu.idm.oclc.org/login?url=https://www.airitibooks.com/Detail/Detail?PublicationID=P20151021094")</f>
        <v>https://ntsu.idm.oclc.org/login?url=https://www.airitibooks.com/Detail/Detail?PublicationID=P20151021094</v>
      </c>
    </row>
    <row r="4768" spans="1:11" ht="51" x14ac:dyDescent="0.4">
      <c r="A4768" s="10" t="s">
        <v>4211</v>
      </c>
      <c r="B4768" s="10" t="s">
        <v>4212</v>
      </c>
      <c r="C4768" s="10" t="s">
        <v>738</v>
      </c>
      <c r="D4768" s="10" t="s">
        <v>4213</v>
      </c>
      <c r="E4768" s="10" t="s">
        <v>64</v>
      </c>
      <c r="F4768" s="10" t="s">
        <v>4214</v>
      </c>
      <c r="G4768" s="10" t="s">
        <v>32</v>
      </c>
      <c r="H4768" s="7" t="s">
        <v>24</v>
      </c>
      <c r="I4768" s="7" t="s">
        <v>25</v>
      </c>
      <c r="J4768" s="13" t="str">
        <f>HYPERLINK("https://www.airitibooks.com/Detail/Detail?PublicationID=P20160309001", "https://www.airitibooks.com/Detail/Detail?PublicationID=P20160309001")</f>
        <v>https://www.airitibooks.com/Detail/Detail?PublicationID=P20160309001</v>
      </c>
      <c r="K4768" s="13" t="str">
        <f>HYPERLINK("https://ntsu.idm.oclc.org/login?url=https://www.airitibooks.com/Detail/Detail?PublicationID=P20160309001", "https://ntsu.idm.oclc.org/login?url=https://www.airitibooks.com/Detail/Detail?PublicationID=P20160309001")</f>
        <v>https://ntsu.idm.oclc.org/login?url=https://www.airitibooks.com/Detail/Detail?PublicationID=P20160309001</v>
      </c>
    </row>
    <row r="4769" spans="1:11" ht="51" x14ac:dyDescent="0.4">
      <c r="A4769" s="10" t="s">
        <v>4215</v>
      </c>
      <c r="B4769" s="10" t="s">
        <v>4216</v>
      </c>
      <c r="C4769" s="10" t="s">
        <v>738</v>
      </c>
      <c r="D4769" s="10" t="s">
        <v>4217</v>
      </c>
      <c r="E4769" s="10" t="s">
        <v>64</v>
      </c>
      <c r="F4769" s="10" t="s">
        <v>4218</v>
      </c>
      <c r="G4769" s="10" t="s">
        <v>32</v>
      </c>
      <c r="H4769" s="7" t="s">
        <v>24</v>
      </c>
      <c r="I4769" s="7" t="s">
        <v>25</v>
      </c>
      <c r="J4769" s="13" t="str">
        <f>HYPERLINK("https://www.airitibooks.com/Detail/Detail?PublicationID=P20160309002", "https://www.airitibooks.com/Detail/Detail?PublicationID=P20160309002")</f>
        <v>https://www.airitibooks.com/Detail/Detail?PublicationID=P20160309002</v>
      </c>
      <c r="K4769" s="13" t="str">
        <f>HYPERLINK("https://ntsu.idm.oclc.org/login?url=https://www.airitibooks.com/Detail/Detail?PublicationID=P20160309002", "https://ntsu.idm.oclc.org/login?url=https://www.airitibooks.com/Detail/Detail?PublicationID=P20160309002")</f>
        <v>https://ntsu.idm.oclc.org/login?url=https://www.airitibooks.com/Detail/Detail?PublicationID=P20160309002</v>
      </c>
    </row>
    <row r="4770" spans="1:11" ht="51" x14ac:dyDescent="0.4">
      <c r="A4770" s="10" t="s">
        <v>4928</v>
      </c>
      <c r="B4770" s="10" t="s">
        <v>4929</v>
      </c>
      <c r="C4770" s="10" t="s">
        <v>1034</v>
      </c>
      <c r="D4770" s="10" t="s">
        <v>4930</v>
      </c>
      <c r="E4770" s="10" t="s">
        <v>64</v>
      </c>
      <c r="F4770" s="10" t="s">
        <v>1775</v>
      </c>
      <c r="G4770" s="10" t="s">
        <v>32</v>
      </c>
      <c r="H4770" s="7" t="s">
        <v>24</v>
      </c>
      <c r="I4770" s="7" t="s">
        <v>25</v>
      </c>
      <c r="J4770" s="13" t="str">
        <f>HYPERLINK("https://www.airitibooks.com/Detail/Detail?PublicationID=P20160715262", "https://www.airitibooks.com/Detail/Detail?PublicationID=P20160715262")</f>
        <v>https://www.airitibooks.com/Detail/Detail?PublicationID=P20160715262</v>
      </c>
      <c r="K4770" s="13" t="str">
        <f>HYPERLINK("https://ntsu.idm.oclc.org/login?url=https://www.airitibooks.com/Detail/Detail?PublicationID=P20160715262", "https://ntsu.idm.oclc.org/login?url=https://www.airitibooks.com/Detail/Detail?PublicationID=P20160715262")</f>
        <v>https://ntsu.idm.oclc.org/login?url=https://www.airitibooks.com/Detail/Detail?PublicationID=P20160715262</v>
      </c>
    </row>
    <row r="4771" spans="1:11" ht="51" x14ac:dyDescent="0.4">
      <c r="A4771" s="10" t="s">
        <v>4945</v>
      </c>
      <c r="B4771" s="10" t="s">
        <v>4946</v>
      </c>
      <c r="C4771" s="10" t="s">
        <v>1034</v>
      </c>
      <c r="D4771" s="10" t="s">
        <v>4947</v>
      </c>
      <c r="E4771" s="10" t="s">
        <v>64</v>
      </c>
      <c r="F4771" s="10" t="s">
        <v>4948</v>
      </c>
      <c r="G4771" s="10" t="s">
        <v>32</v>
      </c>
      <c r="H4771" s="7" t="s">
        <v>24</v>
      </c>
      <c r="I4771" s="7" t="s">
        <v>25</v>
      </c>
      <c r="J4771" s="13" t="str">
        <f>HYPERLINK("https://www.airitibooks.com/Detail/Detail?PublicationID=P20160715305", "https://www.airitibooks.com/Detail/Detail?PublicationID=P20160715305")</f>
        <v>https://www.airitibooks.com/Detail/Detail?PublicationID=P20160715305</v>
      </c>
      <c r="K4771" s="13" t="str">
        <f>HYPERLINK("https://ntsu.idm.oclc.org/login?url=https://www.airitibooks.com/Detail/Detail?PublicationID=P20160715305", "https://ntsu.idm.oclc.org/login?url=https://www.airitibooks.com/Detail/Detail?PublicationID=P20160715305")</f>
        <v>https://ntsu.idm.oclc.org/login?url=https://www.airitibooks.com/Detail/Detail?PublicationID=P20160715305</v>
      </c>
    </row>
    <row r="4772" spans="1:11" ht="51" x14ac:dyDescent="0.4">
      <c r="A4772" s="10" t="s">
        <v>4949</v>
      </c>
      <c r="B4772" s="10" t="s">
        <v>4950</v>
      </c>
      <c r="C4772" s="10" t="s">
        <v>1034</v>
      </c>
      <c r="D4772" s="10" t="s">
        <v>4951</v>
      </c>
      <c r="E4772" s="10" t="s">
        <v>64</v>
      </c>
      <c r="F4772" s="10" t="s">
        <v>181</v>
      </c>
      <c r="G4772" s="10" t="s">
        <v>32</v>
      </c>
      <c r="H4772" s="7" t="s">
        <v>24</v>
      </c>
      <c r="I4772" s="7" t="s">
        <v>25</v>
      </c>
      <c r="J4772" s="13" t="str">
        <f>HYPERLINK("https://www.airitibooks.com/Detail/Detail?PublicationID=P20160715325", "https://www.airitibooks.com/Detail/Detail?PublicationID=P20160715325")</f>
        <v>https://www.airitibooks.com/Detail/Detail?PublicationID=P20160715325</v>
      </c>
      <c r="K4772" s="13" t="str">
        <f>HYPERLINK("https://ntsu.idm.oclc.org/login?url=https://www.airitibooks.com/Detail/Detail?PublicationID=P20160715325", "https://ntsu.idm.oclc.org/login?url=https://www.airitibooks.com/Detail/Detail?PublicationID=P20160715325")</f>
        <v>https://ntsu.idm.oclc.org/login?url=https://www.airitibooks.com/Detail/Detail?PublicationID=P20160715325</v>
      </c>
    </row>
    <row r="4773" spans="1:11" ht="51" x14ac:dyDescent="0.4">
      <c r="A4773" s="10" t="s">
        <v>5173</v>
      </c>
      <c r="B4773" s="10" t="s">
        <v>5174</v>
      </c>
      <c r="C4773" s="10" t="s">
        <v>4609</v>
      </c>
      <c r="D4773" s="10" t="s">
        <v>5175</v>
      </c>
      <c r="E4773" s="10" t="s">
        <v>64</v>
      </c>
      <c r="F4773" s="10" t="s">
        <v>266</v>
      </c>
      <c r="G4773" s="10" t="s">
        <v>32</v>
      </c>
      <c r="H4773" s="7" t="s">
        <v>24</v>
      </c>
      <c r="I4773" s="7" t="s">
        <v>25</v>
      </c>
      <c r="J4773" s="13" t="str">
        <f>HYPERLINK("https://www.airitibooks.com/Detail/Detail?PublicationID=P20160810043", "https://www.airitibooks.com/Detail/Detail?PublicationID=P20160810043")</f>
        <v>https://www.airitibooks.com/Detail/Detail?PublicationID=P20160810043</v>
      </c>
      <c r="K4773" s="13" t="str">
        <f>HYPERLINK("https://ntsu.idm.oclc.org/login?url=https://www.airitibooks.com/Detail/Detail?PublicationID=P20160810043", "https://ntsu.idm.oclc.org/login?url=https://www.airitibooks.com/Detail/Detail?PublicationID=P20160810043")</f>
        <v>https://ntsu.idm.oclc.org/login?url=https://www.airitibooks.com/Detail/Detail?PublicationID=P20160810043</v>
      </c>
    </row>
    <row r="4774" spans="1:11" ht="51" x14ac:dyDescent="0.4">
      <c r="A4774" s="10" t="s">
        <v>5637</v>
      </c>
      <c r="B4774" s="10" t="s">
        <v>5638</v>
      </c>
      <c r="C4774" s="10" t="s">
        <v>738</v>
      </c>
      <c r="D4774" s="10" t="s">
        <v>5639</v>
      </c>
      <c r="E4774" s="10" t="s">
        <v>64</v>
      </c>
      <c r="F4774" s="10" t="s">
        <v>176</v>
      </c>
      <c r="G4774" s="10" t="s">
        <v>32</v>
      </c>
      <c r="H4774" s="7" t="s">
        <v>24</v>
      </c>
      <c r="I4774" s="7" t="s">
        <v>25</v>
      </c>
      <c r="J4774" s="13" t="str">
        <f>HYPERLINK("https://www.airitibooks.com/Detail/Detail?PublicationID=P20161019007", "https://www.airitibooks.com/Detail/Detail?PublicationID=P20161019007")</f>
        <v>https://www.airitibooks.com/Detail/Detail?PublicationID=P20161019007</v>
      </c>
      <c r="K4774" s="13" t="str">
        <f>HYPERLINK("https://ntsu.idm.oclc.org/login?url=https://www.airitibooks.com/Detail/Detail?PublicationID=P20161019007", "https://ntsu.idm.oclc.org/login?url=https://www.airitibooks.com/Detail/Detail?PublicationID=P20161019007")</f>
        <v>https://ntsu.idm.oclc.org/login?url=https://www.airitibooks.com/Detail/Detail?PublicationID=P20161019007</v>
      </c>
    </row>
    <row r="4775" spans="1:11" ht="51" x14ac:dyDescent="0.4">
      <c r="A4775" s="10" t="s">
        <v>8025</v>
      </c>
      <c r="B4775" s="10" t="s">
        <v>8026</v>
      </c>
      <c r="C4775" s="10" t="s">
        <v>486</v>
      </c>
      <c r="D4775" s="10" t="s">
        <v>8027</v>
      </c>
      <c r="E4775" s="10" t="s">
        <v>64</v>
      </c>
      <c r="F4775" s="10" t="s">
        <v>110</v>
      </c>
      <c r="G4775" s="10" t="s">
        <v>32</v>
      </c>
      <c r="H4775" s="7" t="s">
        <v>24</v>
      </c>
      <c r="I4775" s="7" t="s">
        <v>25</v>
      </c>
      <c r="J4775" s="13" t="str">
        <f>HYPERLINK("https://www.airitibooks.com/Detail/Detail?PublicationID=P20171130099", "https://www.airitibooks.com/Detail/Detail?PublicationID=P20171130099")</f>
        <v>https://www.airitibooks.com/Detail/Detail?PublicationID=P20171130099</v>
      </c>
      <c r="K4775" s="13" t="str">
        <f>HYPERLINK("https://ntsu.idm.oclc.org/login?url=https://www.airitibooks.com/Detail/Detail?PublicationID=P20171130099", "https://ntsu.idm.oclc.org/login?url=https://www.airitibooks.com/Detail/Detail?PublicationID=P20171130099")</f>
        <v>https://ntsu.idm.oclc.org/login?url=https://www.airitibooks.com/Detail/Detail?PublicationID=P20171130099</v>
      </c>
    </row>
    <row r="4776" spans="1:11" ht="51" x14ac:dyDescent="0.4">
      <c r="A4776" s="10" t="s">
        <v>1178</v>
      </c>
      <c r="B4776" s="10" t="s">
        <v>1179</v>
      </c>
      <c r="C4776" s="10" t="s">
        <v>1180</v>
      </c>
      <c r="D4776" s="10" t="s">
        <v>1181</v>
      </c>
      <c r="E4776" s="10" t="s">
        <v>64</v>
      </c>
      <c r="F4776" s="10" t="s">
        <v>1182</v>
      </c>
      <c r="G4776" s="10" t="s">
        <v>502</v>
      </c>
      <c r="H4776" s="7" t="s">
        <v>24</v>
      </c>
      <c r="I4776" s="7" t="s">
        <v>25</v>
      </c>
      <c r="J4776" s="13" t="str">
        <f>HYPERLINK("https://www.airitibooks.com/Detail/Detail?PublicationID=P20140307006", "https://www.airitibooks.com/Detail/Detail?PublicationID=P20140307006")</f>
        <v>https://www.airitibooks.com/Detail/Detail?PublicationID=P20140307006</v>
      </c>
      <c r="K4776" s="13" t="str">
        <f>HYPERLINK("https://ntsu.idm.oclc.org/login?url=https://www.airitibooks.com/Detail/Detail?PublicationID=P20140307006", "https://ntsu.idm.oclc.org/login?url=https://www.airitibooks.com/Detail/Detail?PublicationID=P20140307006")</f>
        <v>https://ntsu.idm.oclc.org/login?url=https://www.airitibooks.com/Detail/Detail?PublicationID=P20140307006</v>
      </c>
    </row>
    <row r="4777" spans="1:11" ht="51" x14ac:dyDescent="0.4">
      <c r="A4777" s="10" t="s">
        <v>936</v>
      </c>
      <c r="B4777" s="10" t="s">
        <v>937</v>
      </c>
      <c r="C4777" s="10" t="s">
        <v>938</v>
      </c>
      <c r="D4777" s="10" t="s">
        <v>939</v>
      </c>
      <c r="E4777" s="10" t="s">
        <v>64</v>
      </c>
      <c r="F4777" s="10" t="s">
        <v>940</v>
      </c>
      <c r="G4777" s="10" t="s">
        <v>37</v>
      </c>
      <c r="H4777" s="7" t="s">
        <v>24</v>
      </c>
      <c r="I4777" s="7" t="s">
        <v>25</v>
      </c>
      <c r="J4777" s="13" t="str">
        <f>HYPERLINK("https://www.airitibooks.com/Detail/Detail?PublicationID=P20131024014", "https://www.airitibooks.com/Detail/Detail?PublicationID=P20131024014")</f>
        <v>https://www.airitibooks.com/Detail/Detail?PublicationID=P20131024014</v>
      </c>
      <c r="K4777" s="13" t="str">
        <f>HYPERLINK("https://ntsu.idm.oclc.org/login?url=https://www.airitibooks.com/Detail/Detail?PublicationID=P20131024014", "https://ntsu.idm.oclc.org/login?url=https://www.airitibooks.com/Detail/Detail?PublicationID=P20131024014")</f>
        <v>https://ntsu.idm.oclc.org/login?url=https://www.airitibooks.com/Detail/Detail?PublicationID=P20131024014</v>
      </c>
    </row>
    <row r="4778" spans="1:11" ht="51" x14ac:dyDescent="0.4">
      <c r="A4778" s="10" t="s">
        <v>941</v>
      </c>
      <c r="B4778" s="10" t="s">
        <v>942</v>
      </c>
      <c r="C4778" s="10" t="s">
        <v>938</v>
      </c>
      <c r="D4778" s="10" t="s">
        <v>943</v>
      </c>
      <c r="E4778" s="10" t="s">
        <v>64</v>
      </c>
      <c r="F4778" s="10" t="s">
        <v>940</v>
      </c>
      <c r="G4778" s="10" t="s">
        <v>37</v>
      </c>
      <c r="H4778" s="7" t="s">
        <v>24</v>
      </c>
      <c r="I4778" s="7" t="s">
        <v>25</v>
      </c>
      <c r="J4778" s="13" t="str">
        <f>HYPERLINK("https://www.airitibooks.com/Detail/Detail?PublicationID=P20131024015", "https://www.airitibooks.com/Detail/Detail?PublicationID=P20131024015")</f>
        <v>https://www.airitibooks.com/Detail/Detail?PublicationID=P20131024015</v>
      </c>
      <c r="K4778" s="13" t="str">
        <f>HYPERLINK("https://ntsu.idm.oclc.org/login?url=https://www.airitibooks.com/Detail/Detail?PublicationID=P20131024015", "https://ntsu.idm.oclc.org/login?url=https://www.airitibooks.com/Detail/Detail?PublicationID=P20131024015")</f>
        <v>https://ntsu.idm.oclc.org/login?url=https://www.airitibooks.com/Detail/Detail?PublicationID=P20131024015</v>
      </c>
    </row>
    <row r="4779" spans="1:11" ht="51" x14ac:dyDescent="0.4">
      <c r="A4779" s="10" t="s">
        <v>944</v>
      </c>
      <c r="B4779" s="10" t="s">
        <v>945</v>
      </c>
      <c r="C4779" s="10" t="s">
        <v>938</v>
      </c>
      <c r="D4779" s="10" t="s">
        <v>939</v>
      </c>
      <c r="E4779" s="10" t="s">
        <v>64</v>
      </c>
      <c r="F4779" s="10" t="s">
        <v>940</v>
      </c>
      <c r="G4779" s="10" t="s">
        <v>37</v>
      </c>
      <c r="H4779" s="7" t="s">
        <v>24</v>
      </c>
      <c r="I4779" s="7" t="s">
        <v>25</v>
      </c>
      <c r="J4779" s="13" t="str">
        <f>HYPERLINK("https://www.airitibooks.com/Detail/Detail?PublicationID=P20131024016", "https://www.airitibooks.com/Detail/Detail?PublicationID=P20131024016")</f>
        <v>https://www.airitibooks.com/Detail/Detail?PublicationID=P20131024016</v>
      </c>
      <c r="K4779" s="13" t="str">
        <f>HYPERLINK("https://ntsu.idm.oclc.org/login?url=https://www.airitibooks.com/Detail/Detail?PublicationID=P20131024016", "https://ntsu.idm.oclc.org/login?url=https://www.airitibooks.com/Detail/Detail?PublicationID=P20131024016")</f>
        <v>https://ntsu.idm.oclc.org/login?url=https://www.airitibooks.com/Detail/Detail?PublicationID=P20131024016</v>
      </c>
    </row>
    <row r="4780" spans="1:11" ht="51" x14ac:dyDescent="0.4">
      <c r="A4780" s="10" t="s">
        <v>947</v>
      </c>
      <c r="B4780" s="10" t="s">
        <v>948</v>
      </c>
      <c r="C4780" s="10" t="s">
        <v>938</v>
      </c>
      <c r="D4780" s="10" t="s">
        <v>943</v>
      </c>
      <c r="E4780" s="10" t="s">
        <v>64</v>
      </c>
      <c r="F4780" s="10" t="s">
        <v>940</v>
      </c>
      <c r="G4780" s="10" t="s">
        <v>37</v>
      </c>
      <c r="H4780" s="7" t="s">
        <v>24</v>
      </c>
      <c r="I4780" s="7" t="s">
        <v>25</v>
      </c>
      <c r="J4780" s="13" t="str">
        <f>HYPERLINK("https://www.airitibooks.com/Detail/Detail?PublicationID=P20131024017", "https://www.airitibooks.com/Detail/Detail?PublicationID=P20131024017")</f>
        <v>https://www.airitibooks.com/Detail/Detail?PublicationID=P20131024017</v>
      </c>
      <c r="K4780" s="13" t="str">
        <f>HYPERLINK("https://ntsu.idm.oclc.org/login?url=https://www.airitibooks.com/Detail/Detail?PublicationID=P20131024017", "https://ntsu.idm.oclc.org/login?url=https://www.airitibooks.com/Detail/Detail?PublicationID=P20131024017")</f>
        <v>https://ntsu.idm.oclc.org/login?url=https://www.airitibooks.com/Detail/Detail?PublicationID=P20131024017</v>
      </c>
    </row>
    <row r="4781" spans="1:11" ht="51" x14ac:dyDescent="0.4">
      <c r="A4781" s="10" t="s">
        <v>949</v>
      </c>
      <c r="B4781" s="10" t="s">
        <v>950</v>
      </c>
      <c r="C4781" s="10" t="s">
        <v>938</v>
      </c>
      <c r="D4781" s="10" t="s">
        <v>951</v>
      </c>
      <c r="E4781" s="10" t="s">
        <v>64</v>
      </c>
      <c r="F4781" s="10" t="s">
        <v>940</v>
      </c>
      <c r="G4781" s="10" t="s">
        <v>37</v>
      </c>
      <c r="H4781" s="7" t="s">
        <v>24</v>
      </c>
      <c r="I4781" s="7" t="s">
        <v>25</v>
      </c>
      <c r="J4781" s="13" t="str">
        <f>HYPERLINK("https://www.airitibooks.com/Detail/Detail?PublicationID=P20131024018", "https://www.airitibooks.com/Detail/Detail?PublicationID=P20131024018")</f>
        <v>https://www.airitibooks.com/Detail/Detail?PublicationID=P20131024018</v>
      </c>
      <c r="K4781" s="13" t="str">
        <f>HYPERLINK("https://ntsu.idm.oclc.org/login?url=https://www.airitibooks.com/Detail/Detail?PublicationID=P20131024018", "https://ntsu.idm.oclc.org/login?url=https://www.airitibooks.com/Detail/Detail?PublicationID=P20131024018")</f>
        <v>https://ntsu.idm.oclc.org/login?url=https://www.airitibooks.com/Detail/Detail?PublicationID=P20131024018</v>
      </c>
    </row>
    <row r="4782" spans="1:11" ht="51" x14ac:dyDescent="0.4">
      <c r="A4782" s="10" t="s">
        <v>952</v>
      </c>
      <c r="B4782" s="10" t="s">
        <v>953</v>
      </c>
      <c r="C4782" s="10" t="s">
        <v>938</v>
      </c>
      <c r="D4782" s="10" t="s">
        <v>954</v>
      </c>
      <c r="E4782" s="10" t="s">
        <v>64</v>
      </c>
      <c r="F4782" s="10" t="s">
        <v>955</v>
      </c>
      <c r="G4782" s="10" t="s">
        <v>37</v>
      </c>
      <c r="H4782" s="7" t="s">
        <v>24</v>
      </c>
      <c r="I4782" s="7" t="s">
        <v>25</v>
      </c>
      <c r="J4782" s="13" t="str">
        <f>HYPERLINK("https://www.airitibooks.com/Detail/Detail?PublicationID=P20131024019", "https://www.airitibooks.com/Detail/Detail?PublicationID=P20131024019")</f>
        <v>https://www.airitibooks.com/Detail/Detail?PublicationID=P20131024019</v>
      </c>
      <c r="K4782" s="13" t="str">
        <f>HYPERLINK("https://ntsu.idm.oclc.org/login?url=https://www.airitibooks.com/Detail/Detail?PublicationID=P20131024019", "https://ntsu.idm.oclc.org/login?url=https://www.airitibooks.com/Detail/Detail?PublicationID=P20131024019")</f>
        <v>https://ntsu.idm.oclc.org/login?url=https://www.airitibooks.com/Detail/Detail?PublicationID=P20131024019</v>
      </c>
    </row>
    <row r="4783" spans="1:11" ht="51" x14ac:dyDescent="0.4">
      <c r="A4783" s="10" t="s">
        <v>956</v>
      </c>
      <c r="B4783" s="10" t="s">
        <v>957</v>
      </c>
      <c r="C4783" s="10" t="s">
        <v>938</v>
      </c>
      <c r="D4783" s="10" t="s">
        <v>939</v>
      </c>
      <c r="E4783" s="10" t="s">
        <v>64</v>
      </c>
      <c r="F4783" s="10" t="s">
        <v>940</v>
      </c>
      <c r="G4783" s="10" t="s">
        <v>37</v>
      </c>
      <c r="H4783" s="7" t="s">
        <v>24</v>
      </c>
      <c r="I4783" s="7" t="s">
        <v>25</v>
      </c>
      <c r="J4783" s="13" t="str">
        <f>HYPERLINK("https://www.airitibooks.com/Detail/Detail?PublicationID=P20131024020", "https://www.airitibooks.com/Detail/Detail?PublicationID=P20131024020")</f>
        <v>https://www.airitibooks.com/Detail/Detail?PublicationID=P20131024020</v>
      </c>
      <c r="K4783" s="13" t="str">
        <f>HYPERLINK("https://ntsu.idm.oclc.org/login?url=https://www.airitibooks.com/Detail/Detail?PublicationID=P20131024020", "https://ntsu.idm.oclc.org/login?url=https://www.airitibooks.com/Detail/Detail?PublicationID=P20131024020")</f>
        <v>https://ntsu.idm.oclc.org/login?url=https://www.airitibooks.com/Detail/Detail?PublicationID=P20131024020</v>
      </c>
    </row>
    <row r="4784" spans="1:11" ht="51" x14ac:dyDescent="0.4">
      <c r="A4784" s="10" t="s">
        <v>958</v>
      </c>
      <c r="B4784" s="10" t="s">
        <v>959</v>
      </c>
      <c r="C4784" s="10" t="s">
        <v>938</v>
      </c>
      <c r="D4784" s="10" t="s">
        <v>943</v>
      </c>
      <c r="E4784" s="10" t="s">
        <v>64</v>
      </c>
      <c r="F4784" s="10" t="s">
        <v>940</v>
      </c>
      <c r="G4784" s="10" t="s">
        <v>37</v>
      </c>
      <c r="H4784" s="7" t="s">
        <v>24</v>
      </c>
      <c r="I4784" s="7" t="s">
        <v>25</v>
      </c>
      <c r="J4784" s="13" t="str">
        <f>HYPERLINK("https://www.airitibooks.com/Detail/Detail?PublicationID=P20131024021", "https://www.airitibooks.com/Detail/Detail?PublicationID=P20131024021")</f>
        <v>https://www.airitibooks.com/Detail/Detail?PublicationID=P20131024021</v>
      </c>
      <c r="K4784" s="13" t="str">
        <f>HYPERLINK("https://ntsu.idm.oclc.org/login?url=https://www.airitibooks.com/Detail/Detail?PublicationID=P20131024021", "https://ntsu.idm.oclc.org/login?url=https://www.airitibooks.com/Detail/Detail?PublicationID=P20131024021")</f>
        <v>https://ntsu.idm.oclc.org/login?url=https://www.airitibooks.com/Detail/Detail?PublicationID=P20131024021</v>
      </c>
    </row>
    <row r="4785" spans="1:11" ht="51" x14ac:dyDescent="0.4">
      <c r="A4785" s="10" t="s">
        <v>961</v>
      </c>
      <c r="B4785" s="10" t="s">
        <v>962</v>
      </c>
      <c r="C4785" s="10" t="s">
        <v>938</v>
      </c>
      <c r="D4785" s="10" t="s">
        <v>939</v>
      </c>
      <c r="E4785" s="10" t="s">
        <v>64</v>
      </c>
      <c r="F4785" s="10" t="s">
        <v>940</v>
      </c>
      <c r="G4785" s="10" t="s">
        <v>37</v>
      </c>
      <c r="H4785" s="7" t="s">
        <v>24</v>
      </c>
      <c r="I4785" s="7" t="s">
        <v>25</v>
      </c>
      <c r="J4785" s="13" t="str">
        <f>HYPERLINK("https://www.airitibooks.com/Detail/Detail?PublicationID=P20131024022", "https://www.airitibooks.com/Detail/Detail?PublicationID=P20131024022")</f>
        <v>https://www.airitibooks.com/Detail/Detail?PublicationID=P20131024022</v>
      </c>
      <c r="K4785" s="13" t="str">
        <f>HYPERLINK("https://ntsu.idm.oclc.org/login?url=https://www.airitibooks.com/Detail/Detail?PublicationID=P20131024022", "https://ntsu.idm.oclc.org/login?url=https://www.airitibooks.com/Detail/Detail?PublicationID=P20131024022")</f>
        <v>https://ntsu.idm.oclc.org/login?url=https://www.airitibooks.com/Detail/Detail?PublicationID=P20131024022</v>
      </c>
    </row>
    <row r="4786" spans="1:11" ht="51" x14ac:dyDescent="0.4">
      <c r="A4786" s="10" t="s">
        <v>963</v>
      </c>
      <c r="B4786" s="10" t="s">
        <v>964</v>
      </c>
      <c r="C4786" s="10" t="s">
        <v>938</v>
      </c>
      <c r="D4786" s="10" t="s">
        <v>943</v>
      </c>
      <c r="E4786" s="10" t="s">
        <v>64</v>
      </c>
      <c r="F4786" s="10" t="s">
        <v>940</v>
      </c>
      <c r="G4786" s="10" t="s">
        <v>37</v>
      </c>
      <c r="H4786" s="7" t="s">
        <v>24</v>
      </c>
      <c r="I4786" s="7" t="s">
        <v>25</v>
      </c>
      <c r="J4786" s="13" t="str">
        <f>HYPERLINK("https://www.airitibooks.com/Detail/Detail?PublicationID=P20131024023", "https://www.airitibooks.com/Detail/Detail?PublicationID=P20131024023")</f>
        <v>https://www.airitibooks.com/Detail/Detail?PublicationID=P20131024023</v>
      </c>
      <c r="K4786" s="13" t="str">
        <f>HYPERLINK("https://ntsu.idm.oclc.org/login?url=https://www.airitibooks.com/Detail/Detail?PublicationID=P20131024023", "https://ntsu.idm.oclc.org/login?url=https://www.airitibooks.com/Detail/Detail?PublicationID=P20131024023")</f>
        <v>https://ntsu.idm.oclc.org/login?url=https://www.airitibooks.com/Detail/Detail?PublicationID=P20131024023</v>
      </c>
    </row>
    <row r="4787" spans="1:11" ht="51" x14ac:dyDescent="0.4">
      <c r="A4787" s="10" t="s">
        <v>965</v>
      </c>
      <c r="B4787" s="10" t="s">
        <v>966</v>
      </c>
      <c r="C4787" s="10" t="s">
        <v>938</v>
      </c>
      <c r="D4787" s="10" t="s">
        <v>951</v>
      </c>
      <c r="E4787" s="10" t="s">
        <v>64</v>
      </c>
      <c r="F4787" s="10" t="s">
        <v>940</v>
      </c>
      <c r="G4787" s="10" t="s">
        <v>37</v>
      </c>
      <c r="H4787" s="7" t="s">
        <v>24</v>
      </c>
      <c r="I4787" s="7" t="s">
        <v>25</v>
      </c>
      <c r="J4787" s="13" t="str">
        <f>HYPERLINK("https://www.airitibooks.com/Detail/Detail?PublicationID=P20131024024", "https://www.airitibooks.com/Detail/Detail?PublicationID=P20131024024")</f>
        <v>https://www.airitibooks.com/Detail/Detail?PublicationID=P20131024024</v>
      </c>
      <c r="K4787" s="13" t="str">
        <f>HYPERLINK("https://ntsu.idm.oclc.org/login?url=https://www.airitibooks.com/Detail/Detail?PublicationID=P20131024024", "https://ntsu.idm.oclc.org/login?url=https://www.airitibooks.com/Detail/Detail?PublicationID=P20131024024")</f>
        <v>https://ntsu.idm.oclc.org/login?url=https://www.airitibooks.com/Detail/Detail?PublicationID=P20131024024</v>
      </c>
    </row>
    <row r="4788" spans="1:11" ht="51" x14ac:dyDescent="0.4">
      <c r="A4788" s="10" t="s">
        <v>967</v>
      </c>
      <c r="B4788" s="10" t="s">
        <v>968</v>
      </c>
      <c r="C4788" s="10" t="s">
        <v>938</v>
      </c>
      <c r="D4788" s="10" t="s">
        <v>954</v>
      </c>
      <c r="E4788" s="10" t="s">
        <v>64</v>
      </c>
      <c r="F4788" s="10" t="s">
        <v>955</v>
      </c>
      <c r="G4788" s="10" t="s">
        <v>37</v>
      </c>
      <c r="H4788" s="7" t="s">
        <v>24</v>
      </c>
      <c r="I4788" s="7" t="s">
        <v>25</v>
      </c>
      <c r="J4788" s="13" t="str">
        <f>HYPERLINK("https://www.airitibooks.com/Detail/Detail?PublicationID=P20131024025", "https://www.airitibooks.com/Detail/Detail?PublicationID=P20131024025")</f>
        <v>https://www.airitibooks.com/Detail/Detail?PublicationID=P20131024025</v>
      </c>
      <c r="K4788" s="13" t="str">
        <f>HYPERLINK("https://ntsu.idm.oclc.org/login?url=https://www.airitibooks.com/Detail/Detail?PublicationID=P20131024025", "https://ntsu.idm.oclc.org/login?url=https://www.airitibooks.com/Detail/Detail?PublicationID=P20131024025")</f>
        <v>https://ntsu.idm.oclc.org/login?url=https://www.airitibooks.com/Detail/Detail?PublicationID=P20131024025</v>
      </c>
    </row>
    <row r="4789" spans="1:11" ht="51" x14ac:dyDescent="0.4">
      <c r="A4789" s="10" t="s">
        <v>1112</v>
      </c>
      <c r="B4789" s="10" t="s">
        <v>1113</v>
      </c>
      <c r="C4789" s="10" t="s">
        <v>1114</v>
      </c>
      <c r="D4789" s="10" t="s">
        <v>1115</v>
      </c>
      <c r="E4789" s="10" t="s">
        <v>64</v>
      </c>
      <c r="F4789" s="10" t="s">
        <v>1116</v>
      </c>
      <c r="G4789" s="10" t="s">
        <v>37</v>
      </c>
      <c r="H4789" s="7" t="s">
        <v>24</v>
      </c>
      <c r="I4789" s="7" t="s">
        <v>25</v>
      </c>
      <c r="J4789" s="13" t="str">
        <f>HYPERLINK("https://www.airitibooks.com/Detail/Detail?PublicationID=P20140115012", "https://www.airitibooks.com/Detail/Detail?PublicationID=P20140115012")</f>
        <v>https://www.airitibooks.com/Detail/Detail?PublicationID=P20140115012</v>
      </c>
      <c r="K4789" s="13" t="str">
        <f>HYPERLINK("https://ntsu.idm.oclc.org/login?url=https://www.airitibooks.com/Detail/Detail?PublicationID=P20140115012", "https://ntsu.idm.oclc.org/login?url=https://www.airitibooks.com/Detail/Detail?PublicationID=P20140115012")</f>
        <v>https://ntsu.idm.oclc.org/login?url=https://www.airitibooks.com/Detail/Detail?PublicationID=P20140115012</v>
      </c>
    </row>
    <row r="4790" spans="1:11" ht="51" x14ac:dyDescent="0.4">
      <c r="A4790" s="10" t="s">
        <v>1507</v>
      </c>
      <c r="B4790" s="10" t="s">
        <v>1508</v>
      </c>
      <c r="C4790" s="10" t="s">
        <v>1504</v>
      </c>
      <c r="D4790" s="10" t="s">
        <v>1509</v>
      </c>
      <c r="E4790" s="10" t="s">
        <v>64</v>
      </c>
      <c r="F4790" s="10" t="s">
        <v>1510</v>
      </c>
      <c r="G4790" s="10" t="s">
        <v>37</v>
      </c>
      <c r="H4790" s="7" t="s">
        <v>24</v>
      </c>
      <c r="I4790" s="7" t="s">
        <v>25</v>
      </c>
      <c r="J4790" s="13" t="str">
        <f>HYPERLINK("https://www.airitibooks.com/Detail/Detail?PublicationID=P20141017052", "https://www.airitibooks.com/Detail/Detail?PublicationID=P20141017052")</f>
        <v>https://www.airitibooks.com/Detail/Detail?PublicationID=P20141017052</v>
      </c>
      <c r="K4790" s="13" t="str">
        <f>HYPERLINK("https://ntsu.idm.oclc.org/login?url=https://www.airitibooks.com/Detail/Detail?PublicationID=P20141017052", "https://ntsu.idm.oclc.org/login?url=https://www.airitibooks.com/Detail/Detail?PublicationID=P20141017052")</f>
        <v>https://ntsu.idm.oclc.org/login?url=https://www.airitibooks.com/Detail/Detail?PublicationID=P20141017052</v>
      </c>
    </row>
    <row r="4791" spans="1:11" ht="51" x14ac:dyDescent="0.4">
      <c r="A4791" s="10" t="s">
        <v>1511</v>
      </c>
      <c r="B4791" s="10" t="s">
        <v>1512</v>
      </c>
      <c r="C4791" s="10" t="s">
        <v>1504</v>
      </c>
      <c r="D4791" s="10" t="s">
        <v>1513</v>
      </c>
      <c r="E4791" s="10" t="s">
        <v>64</v>
      </c>
      <c r="F4791" s="10" t="s">
        <v>1510</v>
      </c>
      <c r="G4791" s="10" t="s">
        <v>37</v>
      </c>
      <c r="H4791" s="7" t="s">
        <v>24</v>
      </c>
      <c r="I4791" s="7" t="s">
        <v>25</v>
      </c>
      <c r="J4791" s="13" t="str">
        <f>HYPERLINK("https://www.airitibooks.com/Detail/Detail?PublicationID=P20141017053", "https://www.airitibooks.com/Detail/Detail?PublicationID=P20141017053")</f>
        <v>https://www.airitibooks.com/Detail/Detail?PublicationID=P20141017053</v>
      </c>
      <c r="K4791" s="13" t="str">
        <f>HYPERLINK("https://ntsu.idm.oclc.org/login?url=https://www.airitibooks.com/Detail/Detail?PublicationID=P20141017053", "https://ntsu.idm.oclc.org/login?url=https://www.airitibooks.com/Detail/Detail?PublicationID=P20141017053")</f>
        <v>https://ntsu.idm.oclc.org/login?url=https://www.airitibooks.com/Detail/Detail?PublicationID=P20141017053</v>
      </c>
    </row>
    <row r="4792" spans="1:11" ht="51" x14ac:dyDescent="0.4">
      <c r="A4792" s="10" t="s">
        <v>2465</v>
      </c>
      <c r="B4792" s="10" t="s">
        <v>2466</v>
      </c>
      <c r="C4792" s="10" t="s">
        <v>756</v>
      </c>
      <c r="D4792" s="10" t="s">
        <v>2467</v>
      </c>
      <c r="E4792" s="10" t="s">
        <v>64</v>
      </c>
      <c r="F4792" s="10" t="s">
        <v>2468</v>
      </c>
      <c r="G4792" s="10" t="s">
        <v>37</v>
      </c>
      <c r="H4792" s="7" t="s">
        <v>24</v>
      </c>
      <c r="I4792" s="7" t="s">
        <v>25</v>
      </c>
      <c r="J4792" s="13" t="str">
        <f>HYPERLINK("https://www.airitibooks.com/Detail/Detail?PublicationID=P20150505050", "https://www.airitibooks.com/Detail/Detail?PublicationID=P20150505050")</f>
        <v>https://www.airitibooks.com/Detail/Detail?PublicationID=P20150505050</v>
      </c>
      <c r="K4792" s="13" t="str">
        <f>HYPERLINK("https://ntsu.idm.oclc.org/login?url=https://www.airitibooks.com/Detail/Detail?PublicationID=P20150505050", "https://ntsu.idm.oclc.org/login?url=https://www.airitibooks.com/Detail/Detail?PublicationID=P20150505050")</f>
        <v>https://ntsu.idm.oclc.org/login?url=https://www.airitibooks.com/Detail/Detail?PublicationID=P20150505050</v>
      </c>
    </row>
    <row r="4793" spans="1:11" ht="51" x14ac:dyDescent="0.4">
      <c r="A4793" s="10" t="s">
        <v>2513</v>
      </c>
      <c r="B4793" s="10" t="s">
        <v>2514</v>
      </c>
      <c r="C4793" s="10" t="s">
        <v>2515</v>
      </c>
      <c r="D4793" s="10" t="s">
        <v>2516</v>
      </c>
      <c r="E4793" s="10" t="s">
        <v>64</v>
      </c>
      <c r="F4793" s="10" t="s">
        <v>2517</v>
      </c>
      <c r="G4793" s="10" t="s">
        <v>37</v>
      </c>
      <c r="H4793" s="7" t="s">
        <v>24</v>
      </c>
      <c r="I4793" s="7" t="s">
        <v>25</v>
      </c>
      <c r="J4793" s="13" t="str">
        <f>HYPERLINK("https://www.airitibooks.com/Detail/Detail?PublicationID=P20150508371", "https://www.airitibooks.com/Detail/Detail?PublicationID=P20150508371")</f>
        <v>https://www.airitibooks.com/Detail/Detail?PublicationID=P20150508371</v>
      </c>
      <c r="K4793" s="13" t="str">
        <f>HYPERLINK("https://ntsu.idm.oclc.org/login?url=https://www.airitibooks.com/Detail/Detail?PublicationID=P20150508371", "https://ntsu.idm.oclc.org/login?url=https://www.airitibooks.com/Detail/Detail?PublicationID=P20150508371")</f>
        <v>https://ntsu.idm.oclc.org/login?url=https://www.airitibooks.com/Detail/Detail?PublicationID=P20150508371</v>
      </c>
    </row>
    <row r="4794" spans="1:11" ht="51" x14ac:dyDescent="0.4">
      <c r="A4794" s="10" t="s">
        <v>2529</v>
      </c>
      <c r="B4794" s="10" t="s">
        <v>2530</v>
      </c>
      <c r="C4794" s="10" t="s">
        <v>2515</v>
      </c>
      <c r="D4794" s="10" t="s">
        <v>2531</v>
      </c>
      <c r="E4794" s="10" t="s">
        <v>64</v>
      </c>
      <c r="F4794" s="10" t="s">
        <v>2532</v>
      </c>
      <c r="G4794" s="10" t="s">
        <v>37</v>
      </c>
      <c r="H4794" s="7" t="s">
        <v>24</v>
      </c>
      <c r="I4794" s="7" t="s">
        <v>25</v>
      </c>
      <c r="J4794" s="13" t="str">
        <f>HYPERLINK("https://www.airitibooks.com/Detail/Detail?PublicationID=P20150508387", "https://www.airitibooks.com/Detail/Detail?PublicationID=P20150508387")</f>
        <v>https://www.airitibooks.com/Detail/Detail?PublicationID=P20150508387</v>
      </c>
      <c r="K4794" s="13" t="str">
        <f>HYPERLINK("https://ntsu.idm.oclc.org/login?url=https://www.airitibooks.com/Detail/Detail?PublicationID=P20150508387", "https://ntsu.idm.oclc.org/login?url=https://www.airitibooks.com/Detail/Detail?PublicationID=P20150508387")</f>
        <v>https://ntsu.idm.oclc.org/login?url=https://www.airitibooks.com/Detail/Detail?PublicationID=P20150508387</v>
      </c>
    </row>
    <row r="4795" spans="1:11" ht="51" x14ac:dyDescent="0.4">
      <c r="A4795" s="10" t="s">
        <v>2641</v>
      </c>
      <c r="B4795" s="10" t="s">
        <v>2642</v>
      </c>
      <c r="C4795" s="10" t="s">
        <v>804</v>
      </c>
      <c r="D4795" s="10" t="s">
        <v>2643</v>
      </c>
      <c r="E4795" s="10" t="s">
        <v>64</v>
      </c>
      <c r="F4795" s="10" t="s">
        <v>2644</v>
      </c>
      <c r="G4795" s="10" t="s">
        <v>37</v>
      </c>
      <c r="H4795" s="7" t="s">
        <v>24</v>
      </c>
      <c r="I4795" s="7" t="s">
        <v>25</v>
      </c>
      <c r="J4795" s="13" t="str">
        <f>HYPERLINK("https://www.airitibooks.com/Detail/Detail?PublicationID=P20150604083", "https://www.airitibooks.com/Detail/Detail?PublicationID=P20150604083")</f>
        <v>https://www.airitibooks.com/Detail/Detail?PublicationID=P20150604083</v>
      </c>
      <c r="K4795" s="13" t="str">
        <f>HYPERLINK("https://ntsu.idm.oclc.org/login?url=https://www.airitibooks.com/Detail/Detail?PublicationID=P20150604083", "https://ntsu.idm.oclc.org/login?url=https://www.airitibooks.com/Detail/Detail?PublicationID=P20150604083")</f>
        <v>https://ntsu.idm.oclc.org/login?url=https://www.airitibooks.com/Detail/Detail?PublicationID=P20150604083</v>
      </c>
    </row>
    <row r="4796" spans="1:11" ht="51" x14ac:dyDescent="0.4">
      <c r="A4796" s="10" t="s">
        <v>2645</v>
      </c>
      <c r="B4796" s="10" t="s">
        <v>2646</v>
      </c>
      <c r="C4796" s="10" t="s">
        <v>804</v>
      </c>
      <c r="D4796" s="10" t="s">
        <v>2647</v>
      </c>
      <c r="E4796" s="10" t="s">
        <v>64</v>
      </c>
      <c r="F4796" s="10" t="s">
        <v>2648</v>
      </c>
      <c r="G4796" s="10" t="s">
        <v>37</v>
      </c>
      <c r="H4796" s="7" t="s">
        <v>24</v>
      </c>
      <c r="I4796" s="7" t="s">
        <v>25</v>
      </c>
      <c r="J4796" s="13" t="str">
        <f>HYPERLINK("https://www.airitibooks.com/Detail/Detail?PublicationID=P20150604087", "https://www.airitibooks.com/Detail/Detail?PublicationID=P20150604087")</f>
        <v>https://www.airitibooks.com/Detail/Detail?PublicationID=P20150604087</v>
      </c>
      <c r="K4796" s="13" t="str">
        <f>HYPERLINK("https://ntsu.idm.oclc.org/login?url=https://www.airitibooks.com/Detail/Detail?PublicationID=P20150604087", "https://ntsu.idm.oclc.org/login?url=https://www.airitibooks.com/Detail/Detail?PublicationID=P20150604087")</f>
        <v>https://ntsu.idm.oclc.org/login?url=https://www.airitibooks.com/Detail/Detail?PublicationID=P20150604087</v>
      </c>
    </row>
    <row r="4797" spans="1:11" ht="51" x14ac:dyDescent="0.4">
      <c r="A4797" s="10" t="s">
        <v>3672</v>
      </c>
      <c r="B4797" s="10" t="s">
        <v>3673</v>
      </c>
      <c r="C4797" s="10" t="s">
        <v>3426</v>
      </c>
      <c r="D4797" s="10" t="s">
        <v>3674</v>
      </c>
      <c r="E4797" s="10" t="s">
        <v>64</v>
      </c>
      <c r="F4797" s="10" t="s">
        <v>3449</v>
      </c>
      <c r="G4797" s="10" t="s">
        <v>37</v>
      </c>
      <c r="H4797" s="7" t="s">
        <v>24</v>
      </c>
      <c r="I4797" s="7" t="s">
        <v>25</v>
      </c>
      <c r="J4797" s="13" t="str">
        <f>HYPERLINK("https://www.airitibooks.com/Detail/Detail?PublicationID=P20150923004", "https://www.airitibooks.com/Detail/Detail?PublicationID=P20150923004")</f>
        <v>https://www.airitibooks.com/Detail/Detail?PublicationID=P20150923004</v>
      </c>
      <c r="K4797" s="13" t="str">
        <f>HYPERLINK("https://ntsu.idm.oclc.org/login?url=https://www.airitibooks.com/Detail/Detail?PublicationID=P20150923004", "https://ntsu.idm.oclc.org/login?url=https://www.airitibooks.com/Detail/Detail?PublicationID=P20150923004")</f>
        <v>https://ntsu.idm.oclc.org/login?url=https://www.airitibooks.com/Detail/Detail?PublicationID=P20150923004</v>
      </c>
    </row>
    <row r="4798" spans="1:11" ht="51" x14ac:dyDescent="0.4">
      <c r="A4798" s="10" t="s">
        <v>5217</v>
      </c>
      <c r="B4798" s="10" t="s">
        <v>5218</v>
      </c>
      <c r="C4798" s="10" t="s">
        <v>791</v>
      </c>
      <c r="D4798" s="10" t="s">
        <v>5219</v>
      </c>
      <c r="E4798" s="10" t="s">
        <v>64</v>
      </c>
      <c r="F4798" s="10" t="s">
        <v>5220</v>
      </c>
      <c r="G4798" s="10" t="s">
        <v>37</v>
      </c>
      <c r="H4798" s="7" t="s">
        <v>24</v>
      </c>
      <c r="I4798" s="7" t="s">
        <v>25</v>
      </c>
      <c r="J4798" s="13" t="str">
        <f>HYPERLINK("https://www.airitibooks.com/Detail/Detail?PublicationID=P20160829105", "https://www.airitibooks.com/Detail/Detail?PublicationID=P20160829105")</f>
        <v>https://www.airitibooks.com/Detail/Detail?PublicationID=P20160829105</v>
      </c>
      <c r="K4798" s="13" t="str">
        <f>HYPERLINK("https://ntsu.idm.oclc.org/login?url=https://www.airitibooks.com/Detail/Detail?PublicationID=P20160829105", "https://ntsu.idm.oclc.org/login?url=https://www.airitibooks.com/Detail/Detail?PublicationID=P20160829105")</f>
        <v>https://ntsu.idm.oclc.org/login?url=https://www.airitibooks.com/Detail/Detail?PublicationID=P20160829105</v>
      </c>
    </row>
    <row r="4799" spans="1:11" ht="51" x14ac:dyDescent="0.4">
      <c r="A4799" s="10" t="s">
        <v>411</v>
      </c>
      <c r="B4799" s="10" t="s">
        <v>412</v>
      </c>
      <c r="C4799" s="10" t="s">
        <v>413</v>
      </c>
      <c r="D4799" s="10" t="s">
        <v>414</v>
      </c>
      <c r="E4799" s="10" t="s">
        <v>103</v>
      </c>
      <c r="F4799" s="10" t="s">
        <v>416</v>
      </c>
      <c r="G4799" s="10" t="s">
        <v>237</v>
      </c>
      <c r="H4799" s="7" t="s">
        <v>24</v>
      </c>
      <c r="I4799" s="7" t="s">
        <v>25</v>
      </c>
      <c r="J4799" s="13" t="str">
        <f>HYPERLINK("https://www.airitibooks.com/Detail/Detail?PublicationID=P20121025022", "https://www.airitibooks.com/Detail/Detail?PublicationID=P20121025022")</f>
        <v>https://www.airitibooks.com/Detail/Detail?PublicationID=P20121025022</v>
      </c>
      <c r="K4799" s="13" t="str">
        <f>HYPERLINK("https://ntsu.idm.oclc.org/login?url=https://www.airitibooks.com/Detail/Detail?PublicationID=P20121025022", "https://ntsu.idm.oclc.org/login?url=https://www.airitibooks.com/Detail/Detail?PublicationID=P20121025022")</f>
        <v>https://ntsu.idm.oclc.org/login?url=https://www.airitibooks.com/Detail/Detail?PublicationID=P20121025022</v>
      </c>
    </row>
    <row r="4800" spans="1:11" ht="51" x14ac:dyDescent="0.4">
      <c r="A4800" s="10" t="s">
        <v>476</v>
      </c>
      <c r="B4800" s="10" t="s">
        <v>477</v>
      </c>
      <c r="C4800" s="10" t="s">
        <v>473</v>
      </c>
      <c r="D4800" s="10" t="s">
        <v>478</v>
      </c>
      <c r="E4800" s="10" t="s">
        <v>103</v>
      </c>
      <c r="F4800" s="10" t="s">
        <v>479</v>
      </c>
      <c r="G4800" s="10" t="s">
        <v>237</v>
      </c>
      <c r="H4800" s="7" t="s">
        <v>24</v>
      </c>
      <c r="I4800" s="7" t="s">
        <v>25</v>
      </c>
      <c r="J4800" s="13" t="str">
        <f>HYPERLINK("https://www.airitibooks.com/Detail/Detail?PublicationID=P20130109022", "https://www.airitibooks.com/Detail/Detail?PublicationID=P20130109022")</f>
        <v>https://www.airitibooks.com/Detail/Detail?PublicationID=P20130109022</v>
      </c>
      <c r="K4800" s="13" t="str">
        <f>HYPERLINK("https://ntsu.idm.oclc.org/login?url=https://www.airitibooks.com/Detail/Detail?PublicationID=P20130109022", "https://ntsu.idm.oclc.org/login?url=https://www.airitibooks.com/Detail/Detail?PublicationID=P20130109022")</f>
        <v>https://ntsu.idm.oclc.org/login?url=https://www.airitibooks.com/Detail/Detail?PublicationID=P20130109022</v>
      </c>
    </row>
    <row r="4801" spans="1:11" ht="51" x14ac:dyDescent="0.4">
      <c r="A4801" s="10" t="s">
        <v>480</v>
      </c>
      <c r="B4801" s="10" t="s">
        <v>481</v>
      </c>
      <c r="C4801" s="10" t="s">
        <v>473</v>
      </c>
      <c r="D4801" s="10" t="s">
        <v>482</v>
      </c>
      <c r="E4801" s="10" t="s">
        <v>103</v>
      </c>
      <c r="F4801" s="10" t="s">
        <v>483</v>
      </c>
      <c r="G4801" s="10" t="s">
        <v>237</v>
      </c>
      <c r="H4801" s="7" t="s">
        <v>24</v>
      </c>
      <c r="I4801" s="7" t="s">
        <v>25</v>
      </c>
      <c r="J4801" s="13" t="str">
        <f>HYPERLINK("https://www.airitibooks.com/Detail/Detail?PublicationID=P20130109024", "https://www.airitibooks.com/Detail/Detail?PublicationID=P20130109024")</f>
        <v>https://www.airitibooks.com/Detail/Detail?PublicationID=P20130109024</v>
      </c>
      <c r="K4801" s="13" t="str">
        <f>HYPERLINK("https://ntsu.idm.oclc.org/login?url=https://www.airitibooks.com/Detail/Detail?PublicationID=P20130109024", "https://ntsu.idm.oclc.org/login?url=https://www.airitibooks.com/Detail/Detail?PublicationID=P20130109024")</f>
        <v>https://ntsu.idm.oclc.org/login?url=https://www.airitibooks.com/Detail/Detail?PublicationID=P20130109024</v>
      </c>
    </row>
    <row r="4802" spans="1:11" ht="68" x14ac:dyDescent="0.4">
      <c r="A4802" s="10" t="s">
        <v>556</v>
      </c>
      <c r="B4802" s="10" t="s">
        <v>557</v>
      </c>
      <c r="C4802" s="10" t="s">
        <v>371</v>
      </c>
      <c r="D4802" s="10" t="s">
        <v>558</v>
      </c>
      <c r="E4802" s="10" t="s">
        <v>103</v>
      </c>
      <c r="F4802" s="10" t="s">
        <v>559</v>
      </c>
      <c r="G4802" s="10" t="s">
        <v>237</v>
      </c>
      <c r="H4802" s="7" t="s">
        <v>24</v>
      </c>
      <c r="I4802" s="7" t="s">
        <v>25</v>
      </c>
      <c r="J4802" s="13" t="str">
        <f>HYPERLINK("https://www.airitibooks.com/Detail/Detail?PublicationID=P20130415014", "https://www.airitibooks.com/Detail/Detail?PublicationID=P20130415014")</f>
        <v>https://www.airitibooks.com/Detail/Detail?PublicationID=P20130415014</v>
      </c>
      <c r="K4802" s="13" t="str">
        <f>HYPERLINK("https://ntsu.idm.oclc.org/login?url=https://www.airitibooks.com/Detail/Detail?PublicationID=P20130415014", "https://ntsu.idm.oclc.org/login?url=https://www.airitibooks.com/Detail/Detail?PublicationID=P20130415014")</f>
        <v>https://ntsu.idm.oclc.org/login?url=https://www.airitibooks.com/Detail/Detail?PublicationID=P20130415014</v>
      </c>
    </row>
    <row r="4803" spans="1:11" ht="68" x14ac:dyDescent="0.4">
      <c r="A4803" s="10" t="s">
        <v>560</v>
      </c>
      <c r="B4803" s="10" t="s">
        <v>561</v>
      </c>
      <c r="C4803" s="10" t="s">
        <v>371</v>
      </c>
      <c r="D4803" s="10" t="s">
        <v>558</v>
      </c>
      <c r="E4803" s="10" t="s">
        <v>103</v>
      </c>
      <c r="F4803" s="10" t="s">
        <v>559</v>
      </c>
      <c r="G4803" s="10" t="s">
        <v>237</v>
      </c>
      <c r="H4803" s="7" t="s">
        <v>24</v>
      </c>
      <c r="I4803" s="7" t="s">
        <v>25</v>
      </c>
      <c r="J4803" s="13" t="str">
        <f>HYPERLINK("https://www.airitibooks.com/Detail/Detail?PublicationID=P20130415015", "https://www.airitibooks.com/Detail/Detail?PublicationID=P20130415015")</f>
        <v>https://www.airitibooks.com/Detail/Detail?PublicationID=P20130415015</v>
      </c>
      <c r="K4803" s="13" t="str">
        <f>HYPERLINK("https://ntsu.idm.oclc.org/login?url=https://www.airitibooks.com/Detail/Detail?PublicationID=P20130415015", "https://ntsu.idm.oclc.org/login?url=https://www.airitibooks.com/Detail/Detail?PublicationID=P20130415015")</f>
        <v>https://ntsu.idm.oclc.org/login?url=https://www.airitibooks.com/Detail/Detail?PublicationID=P20130415015</v>
      </c>
    </row>
    <row r="4804" spans="1:11" ht="51" x14ac:dyDescent="0.4">
      <c r="A4804" s="10" t="s">
        <v>2585</v>
      </c>
      <c r="B4804" s="10" t="s">
        <v>2586</v>
      </c>
      <c r="C4804" s="10" t="s">
        <v>2583</v>
      </c>
      <c r="D4804" s="10" t="s">
        <v>2584</v>
      </c>
      <c r="E4804" s="10" t="s">
        <v>103</v>
      </c>
      <c r="F4804" s="10" t="s">
        <v>788</v>
      </c>
      <c r="G4804" s="10" t="s">
        <v>237</v>
      </c>
      <c r="H4804" s="7" t="s">
        <v>24</v>
      </c>
      <c r="I4804" s="7" t="s">
        <v>25</v>
      </c>
      <c r="J4804" s="13" t="str">
        <f>HYPERLINK("https://www.airitibooks.com/Detail/Detail?PublicationID=P20150513107", "https://www.airitibooks.com/Detail/Detail?PublicationID=P20150513107")</f>
        <v>https://www.airitibooks.com/Detail/Detail?PublicationID=P20150513107</v>
      </c>
      <c r="K4804" s="13" t="str">
        <f>HYPERLINK("https://ntsu.idm.oclc.org/login?url=https://www.airitibooks.com/Detail/Detail?PublicationID=P20150513107", "https://ntsu.idm.oclc.org/login?url=https://www.airitibooks.com/Detail/Detail?PublicationID=P20150513107")</f>
        <v>https://ntsu.idm.oclc.org/login?url=https://www.airitibooks.com/Detail/Detail?PublicationID=P20150513107</v>
      </c>
    </row>
    <row r="4805" spans="1:11" ht="51" x14ac:dyDescent="0.4">
      <c r="A4805" s="10" t="s">
        <v>4626</v>
      </c>
      <c r="B4805" s="10" t="s">
        <v>4627</v>
      </c>
      <c r="C4805" s="10" t="s">
        <v>4628</v>
      </c>
      <c r="D4805" s="10" t="s">
        <v>4629</v>
      </c>
      <c r="E4805" s="10" t="s">
        <v>103</v>
      </c>
      <c r="F4805" s="10" t="s">
        <v>788</v>
      </c>
      <c r="G4805" s="10" t="s">
        <v>237</v>
      </c>
      <c r="H4805" s="7" t="s">
        <v>24</v>
      </c>
      <c r="I4805" s="7" t="s">
        <v>25</v>
      </c>
      <c r="J4805" s="13" t="str">
        <f>HYPERLINK("https://www.airitibooks.com/Detail/Detail?PublicationID=P20160531016", "https://www.airitibooks.com/Detail/Detail?PublicationID=P20160531016")</f>
        <v>https://www.airitibooks.com/Detail/Detail?PublicationID=P20160531016</v>
      </c>
      <c r="K4805" s="13" t="str">
        <f>HYPERLINK("https://ntsu.idm.oclc.org/login?url=https://www.airitibooks.com/Detail/Detail?PublicationID=P20160531016", "https://ntsu.idm.oclc.org/login?url=https://www.airitibooks.com/Detail/Detail?PublicationID=P20160531016")</f>
        <v>https://ntsu.idm.oclc.org/login?url=https://www.airitibooks.com/Detail/Detail?PublicationID=P20160531016</v>
      </c>
    </row>
    <row r="4806" spans="1:11" ht="51" x14ac:dyDescent="0.4">
      <c r="A4806" s="10" t="s">
        <v>5048</v>
      </c>
      <c r="B4806" s="10" t="s">
        <v>5049</v>
      </c>
      <c r="C4806" s="10" t="s">
        <v>5050</v>
      </c>
      <c r="D4806" s="10" t="s">
        <v>5051</v>
      </c>
      <c r="E4806" s="10" t="s">
        <v>103</v>
      </c>
      <c r="F4806" s="10" t="s">
        <v>5052</v>
      </c>
      <c r="G4806" s="10" t="s">
        <v>237</v>
      </c>
      <c r="H4806" s="7" t="s">
        <v>24</v>
      </c>
      <c r="I4806" s="7" t="s">
        <v>25</v>
      </c>
      <c r="J4806" s="13" t="str">
        <f>HYPERLINK("https://www.airitibooks.com/Detail/Detail?PublicationID=P20160801201", "https://www.airitibooks.com/Detail/Detail?PublicationID=P20160801201")</f>
        <v>https://www.airitibooks.com/Detail/Detail?PublicationID=P20160801201</v>
      </c>
      <c r="K4806" s="13" t="str">
        <f>HYPERLINK("https://ntsu.idm.oclc.org/login?url=https://www.airitibooks.com/Detail/Detail?PublicationID=P20160801201", "https://ntsu.idm.oclc.org/login?url=https://www.airitibooks.com/Detail/Detail?PublicationID=P20160801201")</f>
        <v>https://ntsu.idm.oclc.org/login?url=https://www.airitibooks.com/Detail/Detail?PublicationID=P20160801201</v>
      </c>
    </row>
    <row r="4807" spans="1:11" ht="85" x14ac:dyDescent="0.4">
      <c r="A4807" s="10" t="s">
        <v>5098</v>
      </c>
      <c r="B4807" s="10" t="s">
        <v>5099</v>
      </c>
      <c r="C4807" s="10" t="s">
        <v>3208</v>
      </c>
      <c r="D4807" s="10" t="s">
        <v>5100</v>
      </c>
      <c r="E4807" s="10" t="s">
        <v>103</v>
      </c>
      <c r="F4807" s="10" t="s">
        <v>5101</v>
      </c>
      <c r="G4807" s="10" t="s">
        <v>237</v>
      </c>
      <c r="H4807" s="7" t="s">
        <v>24</v>
      </c>
      <c r="I4807" s="7" t="s">
        <v>25</v>
      </c>
      <c r="J4807" s="13" t="str">
        <f>HYPERLINK("https://www.airitibooks.com/Detail/Detail?PublicationID=P20160806196", "https://www.airitibooks.com/Detail/Detail?PublicationID=P20160806196")</f>
        <v>https://www.airitibooks.com/Detail/Detail?PublicationID=P20160806196</v>
      </c>
      <c r="K4807" s="13" t="str">
        <f>HYPERLINK("https://ntsu.idm.oclc.org/login?url=https://www.airitibooks.com/Detail/Detail?PublicationID=P20160806196", "https://ntsu.idm.oclc.org/login?url=https://www.airitibooks.com/Detail/Detail?PublicationID=P20160806196")</f>
        <v>https://ntsu.idm.oclc.org/login?url=https://www.airitibooks.com/Detail/Detail?PublicationID=P20160806196</v>
      </c>
    </row>
    <row r="4808" spans="1:11" ht="51" x14ac:dyDescent="0.4">
      <c r="A4808" s="10" t="s">
        <v>6343</v>
      </c>
      <c r="B4808" s="10" t="s">
        <v>6344</v>
      </c>
      <c r="C4808" s="10" t="s">
        <v>4120</v>
      </c>
      <c r="D4808" s="10" t="s">
        <v>6345</v>
      </c>
      <c r="E4808" s="10" t="s">
        <v>103</v>
      </c>
      <c r="F4808" s="10" t="s">
        <v>4143</v>
      </c>
      <c r="G4808" s="10" t="s">
        <v>237</v>
      </c>
      <c r="H4808" s="7" t="s">
        <v>24</v>
      </c>
      <c r="I4808" s="7" t="s">
        <v>25</v>
      </c>
      <c r="J4808" s="13" t="str">
        <f>HYPERLINK("https://www.airitibooks.com/Detail/Detail?PublicationID=P20170327152", "https://www.airitibooks.com/Detail/Detail?PublicationID=P20170327152")</f>
        <v>https://www.airitibooks.com/Detail/Detail?PublicationID=P20170327152</v>
      </c>
      <c r="K4808" s="13" t="str">
        <f>HYPERLINK("https://ntsu.idm.oclc.org/login?url=https://www.airitibooks.com/Detail/Detail?PublicationID=P20170327152", "https://ntsu.idm.oclc.org/login?url=https://www.airitibooks.com/Detail/Detail?PublicationID=P20170327152")</f>
        <v>https://ntsu.idm.oclc.org/login?url=https://www.airitibooks.com/Detail/Detail?PublicationID=P20170327152</v>
      </c>
    </row>
    <row r="4809" spans="1:11" ht="51" x14ac:dyDescent="0.4">
      <c r="A4809" s="10" t="s">
        <v>8798</v>
      </c>
      <c r="B4809" s="10" t="s">
        <v>8799</v>
      </c>
      <c r="C4809" s="10" t="s">
        <v>848</v>
      </c>
      <c r="D4809" s="10" t="s">
        <v>8800</v>
      </c>
      <c r="E4809" s="10" t="s">
        <v>103</v>
      </c>
      <c r="F4809" s="10" t="s">
        <v>1539</v>
      </c>
      <c r="G4809" s="10" t="s">
        <v>237</v>
      </c>
      <c r="H4809" s="7" t="s">
        <v>24</v>
      </c>
      <c r="I4809" s="7" t="s">
        <v>25</v>
      </c>
      <c r="J4809" s="13" t="str">
        <f>HYPERLINK("https://www.airitibooks.com/Detail/Detail?PublicationID=P20180323082", "https://www.airitibooks.com/Detail/Detail?PublicationID=P20180323082")</f>
        <v>https://www.airitibooks.com/Detail/Detail?PublicationID=P20180323082</v>
      </c>
      <c r="K4809" s="13" t="str">
        <f>HYPERLINK("https://ntsu.idm.oclc.org/login?url=https://www.airitibooks.com/Detail/Detail?PublicationID=P20180323082", "https://ntsu.idm.oclc.org/login?url=https://www.airitibooks.com/Detail/Detail?PublicationID=P20180323082")</f>
        <v>https://ntsu.idm.oclc.org/login?url=https://www.airitibooks.com/Detail/Detail?PublicationID=P20180323082</v>
      </c>
    </row>
    <row r="4810" spans="1:11" ht="51" x14ac:dyDescent="0.4">
      <c r="A4810" s="10" t="s">
        <v>9885</v>
      </c>
      <c r="B4810" s="10" t="s">
        <v>9886</v>
      </c>
      <c r="C4810" s="10" t="s">
        <v>9828</v>
      </c>
      <c r="D4810" s="10" t="s">
        <v>9887</v>
      </c>
      <c r="E4810" s="10" t="s">
        <v>103</v>
      </c>
      <c r="F4810" s="10" t="s">
        <v>982</v>
      </c>
      <c r="G4810" s="10" t="s">
        <v>237</v>
      </c>
      <c r="H4810" s="7" t="s">
        <v>1031</v>
      </c>
      <c r="I4810" s="7" t="s">
        <v>25</v>
      </c>
      <c r="J4810" s="13" t="str">
        <f>HYPERLINK("https://www.airitibooks.com/Detail/Detail?PublicationID=P20181017010", "https://www.airitibooks.com/Detail/Detail?PublicationID=P20181017010")</f>
        <v>https://www.airitibooks.com/Detail/Detail?PublicationID=P20181017010</v>
      </c>
      <c r="K4810" s="13" t="str">
        <f>HYPERLINK("https://ntsu.idm.oclc.org/login?url=https://www.airitibooks.com/Detail/Detail?PublicationID=P20181017010", "https://ntsu.idm.oclc.org/login?url=https://www.airitibooks.com/Detail/Detail?PublicationID=P20181017010")</f>
        <v>https://ntsu.idm.oclc.org/login?url=https://www.airitibooks.com/Detail/Detail?PublicationID=P20181017010</v>
      </c>
    </row>
    <row r="4811" spans="1:11" ht="51" x14ac:dyDescent="0.4">
      <c r="A4811" s="10" t="s">
        <v>9888</v>
      </c>
      <c r="B4811" s="10" t="s">
        <v>9889</v>
      </c>
      <c r="C4811" s="10" t="s">
        <v>9828</v>
      </c>
      <c r="D4811" s="10" t="s">
        <v>9890</v>
      </c>
      <c r="E4811" s="10" t="s">
        <v>103</v>
      </c>
      <c r="F4811" s="10" t="s">
        <v>982</v>
      </c>
      <c r="G4811" s="10" t="s">
        <v>237</v>
      </c>
      <c r="H4811" s="7" t="s">
        <v>1031</v>
      </c>
      <c r="I4811" s="7" t="s">
        <v>25</v>
      </c>
      <c r="J4811" s="13" t="str">
        <f>HYPERLINK("https://www.airitibooks.com/Detail/Detail?PublicationID=P20181017012", "https://www.airitibooks.com/Detail/Detail?PublicationID=P20181017012")</f>
        <v>https://www.airitibooks.com/Detail/Detail?PublicationID=P20181017012</v>
      </c>
      <c r="K4811" s="13" t="str">
        <f>HYPERLINK("https://ntsu.idm.oclc.org/login?url=https://www.airitibooks.com/Detail/Detail?PublicationID=P20181017012", "https://ntsu.idm.oclc.org/login?url=https://www.airitibooks.com/Detail/Detail?PublicationID=P20181017012")</f>
        <v>https://ntsu.idm.oclc.org/login?url=https://www.airitibooks.com/Detail/Detail?PublicationID=P20181017012</v>
      </c>
    </row>
    <row r="4812" spans="1:11" ht="51" x14ac:dyDescent="0.4">
      <c r="A4812" s="10" t="s">
        <v>9966</v>
      </c>
      <c r="B4812" s="10" t="s">
        <v>9967</v>
      </c>
      <c r="C4812" s="10" t="s">
        <v>9828</v>
      </c>
      <c r="D4812" s="10" t="s">
        <v>9968</v>
      </c>
      <c r="E4812" s="10" t="s">
        <v>103</v>
      </c>
      <c r="F4812" s="10" t="s">
        <v>9969</v>
      </c>
      <c r="G4812" s="10" t="s">
        <v>237</v>
      </c>
      <c r="H4812" s="7" t="s">
        <v>1031</v>
      </c>
      <c r="I4812" s="7" t="s">
        <v>25</v>
      </c>
      <c r="J4812" s="13" t="str">
        <f>HYPERLINK("https://www.airitibooks.com/Detail/Detail?PublicationID=P20181102032", "https://www.airitibooks.com/Detail/Detail?PublicationID=P20181102032")</f>
        <v>https://www.airitibooks.com/Detail/Detail?PublicationID=P20181102032</v>
      </c>
      <c r="K4812" s="13" t="str">
        <f>HYPERLINK("https://ntsu.idm.oclc.org/login?url=https://www.airitibooks.com/Detail/Detail?PublicationID=P20181102032", "https://ntsu.idm.oclc.org/login?url=https://www.airitibooks.com/Detail/Detail?PublicationID=P20181102032")</f>
        <v>https://ntsu.idm.oclc.org/login?url=https://www.airitibooks.com/Detail/Detail?PublicationID=P20181102032</v>
      </c>
    </row>
    <row r="4813" spans="1:11" ht="51" x14ac:dyDescent="0.4">
      <c r="A4813" s="10" t="s">
        <v>489</v>
      </c>
      <c r="B4813" s="10" t="s">
        <v>490</v>
      </c>
      <c r="C4813" s="10" t="s">
        <v>486</v>
      </c>
      <c r="D4813" s="10" t="s">
        <v>491</v>
      </c>
      <c r="E4813" s="10" t="s">
        <v>103</v>
      </c>
      <c r="F4813" s="10" t="s">
        <v>492</v>
      </c>
      <c r="G4813" s="10" t="s">
        <v>209</v>
      </c>
      <c r="H4813" s="7" t="s">
        <v>24</v>
      </c>
      <c r="I4813" s="7" t="s">
        <v>25</v>
      </c>
      <c r="J4813" s="13" t="str">
        <f>HYPERLINK("https://www.airitibooks.com/Detail/Detail?PublicationID=P20130125082", "https://www.airitibooks.com/Detail/Detail?PublicationID=P20130125082")</f>
        <v>https://www.airitibooks.com/Detail/Detail?PublicationID=P20130125082</v>
      </c>
      <c r="K4813" s="13" t="str">
        <f>HYPERLINK("https://ntsu.idm.oclc.org/login?url=https://www.airitibooks.com/Detail/Detail?PublicationID=P20130125082", "https://ntsu.idm.oclc.org/login?url=https://www.airitibooks.com/Detail/Detail?PublicationID=P20130125082")</f>
        <v>https://ntsu.idm.oclc.org/login?url=https://www.airitibooks.com/Detail/Detail?PublicationID=P20130125082</v>
      </c>
    </row>
    <row r="4814" spans="1:11" ht="51" x14ac:dyDescent="0.4">
      <c r="A4814" s="10" t="s">
        <v>493</v>
      </c>
      <c r="B4814" s="10" t="s">
        <v>494</v>
      </c>
      <c r="C4814" s="10" t="s">
        <v>486</v>
      </c>
      <c r="D4814" s="10" t="s">
        <v>495</v>
      </c>
      <c r="E4814" s="10" t="s">
        <v>103</v>
      </c>
      <c r="F4814" s="10" t="s">
        <v>496</v>
      </c>
      <c r="G4814" s="10" t="s">
        <v>209</v>
      </c>
      <c r="H4814" s="7" t="s">
        <v>24</v>
      </c>
      <c r="I4814" s="7" t="s">
        <v>25</v>
      </c>
      <c r="J4814" s="13" t="str">
        <f>HYPERLINK("https://www.airitibooks.com/Detail/Detail?PublicationID=P20130125087", "https://www.airitibooks.com/Detail/Detail?PublicationID=P20130125087")</f>
        <v>https://www.airitibooks.com/Detail/Detail?PublicationID=P20130125087</v>
      </c>
      <c r="K4814" s="13" t="str">
        <f>HYPERLINK("https://ntsu.idm.oclc.org/login?url=https://www.airitibooks.com/Detail/Detail?PublicationID=P20130125087", "https://ntsu.idm.oclc.org/login?url=https://www.airitibooks.com/Detail/Detail?PublicationID=P20130125087")</f>
        <v>https://ntsu.idm.oclc.org/login?url=https://www.airitibooks.com/Detail/Detail?PublicationID=P20130125087</v>
      </c>
    </row>
    <row r="4815" spans="1:11" ht="51" x14ac:dyDescent="0.4">
      <c r="A4815" s="10" t="s">
        <v>514</v>
      </c>
      <c r="B4815" s="10" t="s">
        <v>515</v>
      </c>
      <c r="C4815" s="10" t="s">
        <v>165</v>
      </c>
      <c r="D4815" s="10" t="s">
        <v>516</v>
      </c>
      <c r="E4815" s="10" t="s">
        <v>103</v>
      </c>
      <c r="F4815" s="10" t="s">
        <v>517</v>
      </c>
      <c r="G4815" s="10" t="s">
        <v>209</v>
      </c>
      <c r="H4815" s="7" t="s">
        <v>24</v>
      </c>
      <c r="I4815" s="7" t="s">
        <v>25</v>
      </c>
      <c r="J4815" s="13" t="str">
        <f>HYPERLINK("https://www.airitibooks.com/Detail/Detail?PublicationID=P20130227097", "https://www.airitibooks.com/Detail/Detail?PublicationID=P20130227097")</f>
        <v>https://www.airitibooks.com/Detail/Detail?PublicationID=P20130227097</v>
      </c>
      <c r="K4815" s="13" t="str">
        <f>HYPERLINK("https://ntsu.idm.oclc.org/login?url=https://www.airitibooks.com/Detail/Detail?PublicationID=P20130227097", "https://ntsu.idm.oclc.org/login?url=https://www.airitibooks.com/Detail/Detail?PublicationID=P20130227097")</f>
        <v>https://ntsu.idm.oclc.org/login?url=https://www.airitibooks.com/Detail/Detail?PublicationID=P20130227097</v>
      </c>
    </row>
    <row r="4816" spans="1:11" ht="51" x14ac:dyDescent="0.4">
      <c r="A4816" s="10" t="s">
        <v>518</v>
      </c>
      <c r="B4816" s="10" t="s">
        <v>519</v>
      </c>
      <c r="C4816" s="10" t="s">
        <v>165</v>
      </c>
      <c r="D4816" s="10" t="s">
        <v>516</v>
      </c>
      <c r="E4816" s="10" t="s">
        <v>103</v>
      </c>
      <c r="F4816" s="10" t="s">
        <v>517</v>
      </c>
      <c r="G4816" s="10" t="s">
        <v>209</v>
      </c>
      <c r="H4816" s="7" t="s">
        <v>24</v>
      </c>
      <c r="I4816" s="7" t="s">
        <v>25</v>
      </c>
      <c r="J4816" s="13" t="str">
        <f>HYPERLINK("https://www.airitibooks.com/Detail/Detail?PublicationID=P20130227098", "https://www.airitibooks.com/Detail/Detail?PublicationID=P20130227098")</f>
        <v>https://www.airitibooks.com/Detail/Detail?PublicationID=P20130227098</v>
      </c>
      <c r="K4816" s="13" t="str">
        <f>HYPERLINK("https://ntsu.idm.oclc.org/login?url=https://www.airitibooks.com/Detail/Detail?PublicationID=P20130227098", "https://ntsu.idm.oclc.org/login?url=https://www.airitibooks.com/Detail/Detail?PublicationID=P20130227098")</f>
        <v>https://ntsu.idm.oclc.org/login?url=https://www.airitibooks.com/Detail/Detail?PublicationID=P20130227098</v>
      </c>
    </row>
    <row r="4817" spans="1:11" ht="51" x14ac:dyDescent="0.4">
      <c r="A4817" s="10" t="s">
        <v>529</v>
      </c>
      <c r="B4817" s="10" t="s">
        <v>530</v>
      </c>
      <c r="C4817" s="10" t="s">
        <v>531</v>
      </c>
      <c r="D4817" s="10" t="s">
        <v>532</v>
      </c>
      <c r="E4817" s="10" t="s">
        <v>103</v>
      </c>
      <c r="F4817" s="10" t="s">
        <v>533</v>
      </c>
      <c r="G4817" s="10" t="s">
        <v>209</v>
      </c>
      <c r="H4817" s="7" t="s">
        <v>24</v>
      </c>
      <c r="I4817" s="7" t="s">
        <v>25</v>
      </c>
      <c r="J4817" s="13" t="str">
        <f>HYPERLINK("https://www.airitibooks.com/Detail/Detail?PublicationID=P20130322009", "https://www.airitibooks.com/Detail/Detail?PublicationID=P20130322009")</f>
        <v>https://www.airitibooks.com/Detail/Detail?PublicationID=P20130322009</v>
      </c>
      <c r="K4817" s="13" t="str">
        <f>HYPERLINK("https://ntsu.idm.oclc.org/login?url=https://www.airitibooks.com/Detail/Detail?PublicationID=P20130322009", "https://ntsu.idm.oclc.org/login?url=https://www.airitibooks.com/Detail/Detail?PublicationID=P20130322009")</f>
        <v>https://ntsu.idm.oclc.org/login?url=https://www.airitibooks.com/Detail/Detail?PublicationID=P20130322009</v>
      </c>
    </row>
    <row r="4818" spans="1:11" ht="51" x14ac:dyDescent="0.4">
      <c r="A4818" s="10" t="s">
        <v>547</v>
      </c>
      <c r="B4818" s="10" t="s">
        <v>548</v>
      </c>
      <c r="C4818" s="10" t="s">
        <v>549</v>
      </c>
      <c r="D4818" s="10" t="s">
        <v>550</v>
      </c>
      <c r="E4818" s="10" t="s">
        <v>103</v>
      </c>
      <c r="F4818" s="10" t="s">
        <v>551</v>
      </c>
      <c r="G4818" s="10" t="s">
        <v>209</v>
      </c>
      <c r="H4818" s="7" t="s">
        <v>24</v>
      </c>
      <c r="I4818" s="7" t="s">
        <v>25</v>
      </c>
      <c r="J4818" s="13" t="str">
        <f>HYPERLINK("https://www.airitibooks.com/Detail/Detail?PublicationID=P20130415005", "https://www.airitibooks.com/Detail/Detail?PublicationID=P20130415005")</f>
        <v>https://www.airitibooks.com/Detail/Detail?PublicationID=P20130415005</v>
      </c>
      <c r="K4818" s="13" t="str">
        <f>HYPERLINK("https://ntsu.idm.oclc.org/login?url=https://www.airitibooks.com/Detail/Detail?PublicationID=P20130415005", "https://ntsu.idm.oclc.org/login?url=https://www.airitibooks.com/Detail/Detail?PublicationID=P20130415005")</f>
        <v>https://ntsu.idm.oclc.org/login?url=https://www.airitibooks.com/Detail/Detail?PublicationID=P20130415005</v>
      </c>
    </row>
    <row r="4819" spans="1:11" ht="51" x14ac:dyDescent="0.4">
      <c r="A4819" s="10" t="s">
        <v>1228</v>
      </c>
      <c r="B4819" s="10" t="s">
        <v>1229</v>
      </c>
      <c r="C4819" s="10" t="s">
        <v>627</v>
      </c>
      <c r="D4819" s="10" t="s">
        <v>1230</v>
      </c>
      <c r="E4819" s="10" t="s">
        <v>103</v>
      </c>
      <c r="F4819" s="10" t="s">
        <v>1231</v>
      </c>
      <c r="G4819" s="10" t="s">
        <v>209</v>
      </c>
      <c r="H4819" s="7" t="s">
        <v>24</v>
      </c>
      <c r="I4819" s="7" t="s">
        <v>25</v>
      </c>
      <c r="J4819" s="13" t="str">
        <f>HYPERLINK("https://www.airitibooks.com/Detail/Detail?PublicationID=P20140520031", "https://www.airitibooks.com/Detail/Detail?PublicationID=P20140520031")</f>
        <v>https://www.airitibooks.com/Detail/Detail?PublicationID=P20140520031</v>
      </c>
      <c r="K4819" s="13" t="str">
        <f>HYPERLINK("https://ntsu.idm.oclc.org/login?url=https://www.airitibooks.com/Detail/Detail?PublicationID=P20140520031", "https://ntsu.idm.oclc.org/login?url=https://www.airitibooks.com/Detail/Detail?PublicationID=P20140520031")</f>
        <v>https://ntsu.idm.oclc.org/login?url=https://www.airitibooks.com/Detail/Detail?PublicationID=P20140520031</v>
      </c>
    </row>
    <row r="4820" spans="1:11" ht="51" x14ac:dyDescent="0.4">
      <c r="A4820" s="10" t="s">
        <v>99</v>
      </c>
      <c r="B4820" s="10" t="s">
        <v>100</v>
      </c>
      <c r="C4820" s="10" t="s">
        <v>101</v>
      </c>
      <c r="D4820" s="10" t="s">
        <v>102</v>
      </c>
      <c r="E4820" s="10" t="s">
        <v>103</v>
      </c>
      <c r="F4820" s="10" t="s">
        <v>105</v>
      </c>
      <c r="G4820" s="10" t="s">
        <v>76</v>
      </c>
      <c r="H4820" s="7" t="s">
        <v>24</v>
      </c>
      <c r="I4820" s="7" t="s">
        <v>25</v>
      </c>
      <c r="J4820" s="13" t="str">
        <f>HYPERLINK("https://www.airitibooks.com/Detail/Detail?PublicationID=P20100309008", "https://www.airitibooks.com/Detail/Detail?PublicationID=P20100309008")</f>
        <v>https://www.airitibooks.com/Detail/Detail?PublicationID=P20100309008</v>
      </c>
      <c r="K4820" s="13" t="str">
        <f>HYPERLINK("https://ntsu.idm.oclc.org/login?url=https://www.airitibooks.com/Detail/Detail?PublicationID=P20100309008", "https://ntsu.idm.oclc.org/login?url=https://www.airitibooks.com/Detail/Detail?PublicationID=P20100309008")</f>
        <v>https://ntsu.idm.oclc.org/login?url=https://www.airitibooks.com/Detail/Detail?PublicationID=P20100309008</v>
      </c>
    </row>
    <row r="4821" spans="1:11" ht="51" x14ac:dyDescent="0.4">
      <c r="A4821" s="10" t="s">
        <v>307</v>
      </c>
      <c r="B4821" s="10" t="s">
        <v>308</v>
      </c>
      <c r="C4821" s="10" t="s">
        <v>304</v>
      </c>
      <c r="D4821" s="10" t="s">
        <v>309</v>
      </c>
      <c r="E4821" s="10" t="s">
        <v>103</v>
      </c>
      <c r="F4821" s="10" t="s">
        <v>310</v>
      </c>
      <c r="G4821" s="10" t="s">
        <v>76</v>
      </c>
      <c r="H4821" s="7" t="s">
        <v>24</v>
      </c>
      <c r="I4821" s="7" t="s">
        <v>25</v>
      </c>
      <c r="J4821" s="13" t="str">
        <f>HYPERLINK("https://www.airitibooks.com/Detail/Detail?PublicationID=P20120625176", "https://www.airitibooks.com/Detail/Detail?PublicationID=P20120625176")</f>
        <v>https://www.airitibooks.com/Detail/Detail?PublicationID=P20120625176</v>
      </c>
      <c r="K4821" s="13" t="str">
        <f>HYPERLINK("https://ntsu.idm.oclc.org/login?url=https://www.airitibooks.com/Detail/Detail?PublicationID=P20120625176", "https://ntsu.idm.oclc.org/login?url=https://www.airitibooks.com/Detail/Detail?PublicationID=P20120625176")</f>
        <v>https://ntsu.idm.oclc.org/login?url=https://www.airitibooks.com/Detail/Detail?PublicationID=P20120625176</v>
      </c>
    </row>
    <row r="4822" spans="1:11" ht="51" x14ac:dyDescent="0.4">
      <c r="A4822" s="10" t="s">
        <v>321</v>
      </c>
      <c r="B4822" s="10" t="s">
        <v>322</v>
      </c>
      <c r="C4822" s="10" t="s">
        <v>304</v>
      </c>
      <c r="D4822" s="10" t="s">
        <v>323</v>
      </c>
      <c r="E4822" s="10" t="s">
        <v>103</v>
      </c>
      <c r="F4822" s="10" t="s">
        <v>324</v>
      </c>
      <c r="G4822" s="10" t="s">
        <v>76</v>
      </c>
      <c r="H4822" s="7" t="s">
        <v>24</v>
      </c>
      <c r="I4822" s="7" t="s">
        <v>25</v>
      </c>
      <c r="J4822" s="13" t="str">
        <f>HYPERLINK("https://www.airitibooks.com/Detail/Detail?PublicationID=P20120625180", "https://www.airitibooks.com/Detail/Detail?PublicationID=P20120625180")</f>
        <v>https://www.airitibooks.com/Detail/Detail?PublicationID=P20120625180</v>
      </c>
      <c r="K4822" s="13" t="str">
        <f>HYPERLINK("https://ntsu.idm.oclc.org/login?url=https://www.airitibooks.com/Detail/Detail?PublicationID=P20120625180", "https://ntsu.idm.oclc.org/login?url=https://www.airitibooks.com/Detail/Detail?PublicationID=P20120625180")</f>
        <v>https://ntsu.idm.oclc.org/login?url=https://www.airitibooks.com/Detail/Detail?PublicationID=P20120625180</v>
      </c>
    </row>
    <row r="4823" spans="1:11" ht="51" x14ac:dyDescent="0.4">
      <c r="A4823" s="10" t="s">
        <v>426</v>
      </c>
      <c r="B4823" s="10" t="s">
        <v>427</v>
      </c>
      <c r="C4823" s="10" t="s">
        <v>428</v>
      </c>
      <c r="D4823" s="10" t="s">
        <v>429</v>
      </c>
      <c r="E4823" s="10" t="s">
        <v>103</v>
      </c>
      <c r="F4823" s="10" t="s">
        <v>430</v>
      </c>
      <c r="G4823" s="10" t="s">
        <v>76</v>
      </c>
      <c r="H4823" s="7" t="s">
        <v>24</v>
      </c>
      <c r="I4823" s="7" t="s">
        <v>25</v>
      </c>
      <c r="J4823" s="13" t="str">
        <f>HYPERLINK("https://www.airitibooks.com/Detail/Detail?PublicationID=P20121101035", "https://www.airitibooks.com/Detail/Detail?PublicationID=P20121101035")</f>
        <v>https://www.airitibooks.com/Detail/Detail?PublicationID=P20121101035</v>
      </c>
      <c r="K4823" s="13" t="str">
        <f>HYPERLINK("https://ntsu.idm.oclc.org/login?url=https://www.airitibooks.com/Detail/Detail?PublicationID=P20121101035", "https://ntsu.idm.oclc.org/login?url=https://www.airitibooks.com/Detail/Detail?PublicationID=P20121101035")</f>
        <v>https://ntsu.idm.oclc.org/login?url=https://www.airitibooks.com/Detail/Detail?PublicationID=P20121101035</v>
      </c>
    </row>
    <row r="4824" spans="1:11" ht="51" x14ac:dyDescent="0.4">
      <c r="A4824" s="10" t="s">
        <v>450</v>
      </c>
      <c r="B4824" s="10" t="s">
        <v>451</v>
      </c>
      <c r="C4824" s="10" t="s">
        <v>452</v>
      </c>
      <c r="D4824" s="10" t="s">
        <v>453</v>
      </c>
      <c r="E4824" s="10" t="s">
        <v>103</v>
      </c>
      <c r="F4824" s="10" t="s">
        <v>454</v>
      </c>
      <c r="G4824" s="10" t="s">
        <v>76</v>
      </c>
      <c r="H4824" s="7" t="s">
        <v>24</v>
      </c>
      <c r="I4824" s="7" t="s">
        <v>25</v>
      </c>
      <c r="J4824" s="13" t="str">
        <f>HYPERLINK("https://www.airitibooks.com/Detail/Detail?PublicationID=P20121112046", "https://www.airitibooks.com/Detail/Detail?PublicationID=P20121112046")</f>
        <v>https://www.airitibooks.com/Detail/Detail?PublicationID=P20121112046</v>
      </c>
      <c r="K4824" s="13" t="str">
        <f>HYPERLINK("https://ntsu.idm.oclc.org/login?url=https://www.airitibooks.com/Detail/Detail?PublicationID=P20121112046", "https://ntsu.idm.oclc.org/login?url=https://www.airitibooks.com/Detail/Detail?PublicationID=P20121112046")</f>
        <v>https://ntsu.idm.oclc.org/login?url=https://www.airitibooks.com/Detail/Detail?PublicationID=P20121112046</v>
      </c>
    </row>
    <row r="4825" spans="1:11" ht="51" x14ac:dyDescent="0.4">
      <c r="A4825" s="10" t="s">
        <v>508</v>
      </c>
      <c r="B4825" s="10" t="s">
        <v>509</v>
      </c>
      <c r="C4825" s="10" t="s">
        <v>510</v>
      </c>
      <c r="D4825" s="10" t="s">
        <v>511</v>
      </c>
      <c r="E4825" s="10" t="s">
        <v>103</v>
      </c>
      <c r="F4825" s="10" t="s">
        <v>513</v>
      </c>
      <c r="G4825" s="10" t="s">
        <v>76</v>
      </c>
      <c r="H4825" s="7" t="s">
        <v>24</v>
      </c>
      <c r="I4825" s="7" t="s">
        <v>25</v>
      </c>
      <c r="J4825" s="13" t="str">
        <f>HYPERLINK("https://www.airitibooks.com/Detail/Detail?PublicationID=P20130221045", "https://www.airitibooks.com/Detail/Detail?PublicationID=P20130221045")</f>
        <v>https://www.airitibooks.com/Detail/Detail?PublicationID=P20130221045</v>
      </c>
      <c r="K4825" s="13" t="str">
        <f>HYPERLINK("https://ntsu.idm.oclc.org/login?url=https://www.airitibooks.com/Detail/Detail?PublicationID=P20130221045", "https://ntsu.idm.oclc.org/login?url=https://www.airitibooks.com/Detail/Detail?PublicationID=P20130221045")</f>
        <v>https://ntsu.idm.oclc.org/login?url=https://www.airitibooks.com/Detail/Detail?PublicationID=P20130221045</v>
      </c>
    </row>
    <row r="4826" spans="1:11" ht="51" x14ac:dyDescent="0.4">
      <c r="A4826" s="10" t="s">
        <v>520</v>
      </c>
      <c r="B4826" s="10" t="s">
        <v>521</v>
      </c>
      <c r="C4826" s="10" t="s">
        <v>522</v>
      </c>
      <c r="D4826" s="10" t="s">
        <v>523</v>
      </c>
      <c r="E4826" s="10" t="s">
        <v>103</v>
      </c>
      <c r="F4826" s="10" t="s">
        <v>524</v>
      </c>
      <c r="G4826" s="10" t="s">
        <v>76</v>
      </c>
      <c r="H4826" s="7" t="s">
        <v>24</v>
      </c>
      <c r="I4826" s="7" t="s">
        <v>25</v>
      </c>
      <c r="J4826" s="13" t="str">
        <f>HYPERLINK("https://www.airitibooks.com/Detail/Detail?PublicationID=P20130306012", "https://www.airitibooks.com/Detail/Detail?PublicationID=P20130306012")</f>
        <v>https://www.airitibooks.com/Detail/Detail?PublicationID=P20130306012</v>
      </c>
      <c r="K4826" s="13" t="str">
        <f>HYPERLINK("https://ntsu.idm.oclc.org/login?url=https://www.airitibooks.com/Detail/Detail?PublicationID=P20130306012", "https://ntsu.idm.oclc.org/login?url=https://www.airitibooks.com/Detail/Detail?PublicationID=P20130306012")</f>
        <v>https://ntsu.idm.oclc.org/login?url=https://www.airitibooks.com/Detail/Detail?PublicationID=P20130306012</v>
      </c>
    </row>
    <row r="4827" spans="1:11" ht="51" x14ac:dyDescent="0.4">
      <c r="A4827" s="10" t="s">
        <v>576</v>
      </c>
      <c r="B4827" s="10" t="s">
        <v>577</v>
      </c>
      <c r="C4827" s="10" t="s">
        <v>578</v>
      </c>
      <c r="D4827" s="10" t="s">
        <v>579</v>
      </c>
      <c r="E4827" s="10" t="s">
        <v>103</v>
      </c>
      <c r="F4827" s="10" t="s">
        <v>580</v>
      </c>
      <c r="G4827" s="10" t="s">
        <v>76</v>
      </c>
      <c r="H4827" s="7" t="s">
        <v>24</v>
      </c>
      <c r="I4827" s="7" t="s">
        <v>25</v>
      </c>
      <c r="J4827" s="13" t="str">
        <f>HYPERLINK("https://www.airitibooks.com/Detail/Detail?PublicationID=P20130419141", "https://www.airitibooks.com/Detail/Detail?PublicationID=P20130419141")</f>
        <v>https://www.airitibooks.com/Detail/Detail?PublicationID=P20130419141</v>
      </c>
      <c r="K4827" s="13" t="str">
        <f>HYPERLINK("https://ntsu.idm.oclc.org/login?url=https://www.airitibooks.com/Detail/Detail?PublicationID=P20130419141", "https://ntsu.idm.oclc.org/login?url=https://www.airitibooks.com/Detail/Detail?PublicationID=P20130419141")</f>
        <v>https://ntsu.idm.oclc.org/login?url=https://www.airitibooks.com/Detail/Detail?PublicationID=P20130419141</v>
      </c>
    </row>
    <row r="4828" spans="1:11" ht="51" x14ac:dyDescent="0.4">
      <c r="A4828" s="10" t="s">
        <v>581</v>
      </c>
      <c r="B4828" s="10" t="s">
        <v>582</v>
      </c>
      <c r="C4828" s="10" t="s">
        <v>578</v>
      </c>
      <c r="D4828" s="10" t="s">
        <v>583</v>
      </c>
      <c r="E4828" s="10" t="s">
        <v>103</v>
      </c>
      <c r="F4828" s="10" t="s">
        <v>580</v>
      </c>
      <c r="G4828" s="10" t="s">
        <v>76</v>
      </c>
      <c r="H4828" s="7" t="s">
        <v>24</v>
      </c>
      <c r="I4828" s="7" t="s">
        <v>25</v>
      </c>
      <c r="J4828" s="13" t="str">
        <f>HYPERLINK("https://www.airitibooks.com/Detail/Detail?PublicationID=P20130419142", "https://www.airitibooks.com/Detail/Detail?PublicationID=P20130419142")</f>
        <v>https://www.airitibooks.com/Detail/Detail?PublicationID=P20130419142</v>
      </c>
      <c r="K4828" s="13" t="str">
        <f>HYPERLINK("https://ntsu.idm.oclc.org/login?url=https://www.airitibooks.com/Detail/Detail?PublicationID=P20130419142", "https://ntsu.idm.oclc.org/login?url=https://www.airitibooks.com/Detail/Detail?PublicationID=P20130419142")</f>
        <v>https://ntsu.idm.oclc.org/login?url=https://www.airitibooks.com/Detail/Detail?PublicationID=P20130419142</v>
      </c>
    </row>
    <row r="4829" spans="1:11" ht="51" x14ac:dyDescent="0.4">
      <c r="A4829" s="10" t="s">
        <v>607</v>
      </c>
      <c r="B4829" s="10" t="s">
        <v>608</v>
      </c>
      <c r="C4829" s="10" t="s">
        <v>125</v>
      </c>
      <c r="D4829" s="10" t="s">
        <v>609</v>
      </c>
      <c r="E4829" s="10" t="s">
        <v>103</v>
      </c>
      <c r="F4829" s="10" t="s">
        <v>610</v>
      </c>
      <c r="G4829" s="10" t="s">
        <v>76</v>
      </c>
      <c r="H4829" s="7" t="s">
        <v>24</v>
      </c>
      <c r="I4829" s="7" t="s">
        <v>25</v>
      </c>
      <c r="J4829" s="13" t="str">
        <f>HYPERLINK("https://www.airitibooks.com/Detail/Detail?PublicationID=P20130419156", "https://www.airitibooks.com/Detail/Detail?PublicationID=P20130419156")</f>
        <v>https://www.airitibooks.com/Detail/Detail?PublicationID=P20130419156</v>
      </c>
      <c r="K4829" s="13" t="str">
        <f>HYPERLINK("https://ntsu.idm.oclc.org/login?url=https://www.airitibooks.com/Detail/Detail?PublicationID=P20130419156", "https://ntsu.idm.oclc.org/login?url=https://www.airitibooks.com/Detail/Detail?PublicationID=P20130419156")</f>
        <v>https://ntsu.idm.oclc.org/login?url=https://www.airitibooks.com/Detail/Detail?PublicationID=P20130419156</v>
      </c>
    </row>
    <row r="4830" spans="1:11" ht="51" x14ac:dyDescent="0.4">
      <c r="A4830" s="10" t="s">
        <v>993</v>
      </c>
      <c r="B4830" s="10" t="s">
        <v>994</v>
      </c>
      <c r="C4830" s="10" t="s">
        <v>467</v>
      </c>
      <c r="D4830" s="10" t="s">
        <v>995</v>
      </c>
      <c r="E4830" s="10" t="s">
        <v>103</v>
      </c>
      <c r="F4830" s="10" t="s">
        <v>996</v>
      </c>
      <c r="G4830" s="10" t="s">
        <v>76</v>
      </c>
      <c r="H4830" s="7" t="s">
        <v>24</v>
      </c>
      <c r="I4830" s="7" t="s">
        <v>25</v>
      </c>
      <c r="J4830" s="13" t="str">
        <f>HYPERLINK("https://www.airitibooks.com/Detail/Detail?PublicationID=P20131101016", "https://www.airitibooks.com/Detail/Detail?PublicationID=P20131101016")</f>
        <v>https://www.airitibooks.com/Detail/Detail?PublicationID=P20131101016</v>
      </c>
      <c r="K4830" s="13" t="str">
        <f>HYPERLINK("https://ntsu.idm.oclc.org/login?url=https://www.airitibooks.com/Detail/Detail?PublicationID=P20131101016", "https://ntsu.idm.oclc.org/login?url=https://www.airitibooks.com/Detail/Detail?PublicationID=P20131101016")</f>
        <v>https://ntsu.idm.oclc.org/login?url=https://www.airitibooks.com/Detail/Detail?PublicationID=P20131101016</v>
      </c>
    </row>
    <row r="4831" spans="1:11" ht="51" x14ac:dyDescent="0.4">
      <c r="A4831" s="10" t="s">
        <v>1327</v>
      </c>
      <c r="B4831" s="10" t="s">
        <v>1328</v>
      </c>
      <c r="C4831" s="10" t="s">
        <v>197</v>
      </c>
      <c r="D4831" s="10" t="s">
        <v>1329</v>
      </c>
      <c r="E4831" s="10" t="s">
        <v>103</v>
      </c>
      <c r="F4831" s="10" t="s">
        <v>1330</v>
      </c>
      <c r="G4831" s="10" t="s">
        <v>76</v>
      </c>
      <c r="H4831" s="7" t="s">
        <v>24</v>
      </c>
      <c r="I4831" s="7" t="s">
        <v>25</v>
      </c>
      <c r="J4831" s="13" t="str">
        <f>HYPERLINK("https://www.airitibooks.com/Detail/Detail?PublicationID=P20140814041", "https://www.airitibooks.com/Detail/Detail?PublicationID=P20140814041")</f>
        <v>https://www.airitibooks.com/Detail/Detail?PublicationID=P20140814041</v>
      </c>
      <c r="K4831" s="13" t="str">
        <f>HYPERLINK("https://ntsu.idm.oclc.org/login?url=https://www.airitibooks.com/Detail/Detail?PublicationID=P20140814041", "https://ntsu.idm.oclc.org/login?url=https://www.airitibooks.com/Detail/Detail?PublicationID=P20140814041")</f>
        <v>https://ntsu.idm.oclc.org/login?url=https://www.airitibooks.com/Detail/Detail?PublicationID=P20140814041</v>
      </c>
    </row>
    <row r="4832" spans="1:11" ht="51" x14ac:dyDescent="0.4">
      <c r="A4832" s="10" t="s">
        <v>1540</v>
      </c>
      <c r="B4832" s="10" t="s">
        <v>1541</v>
      </c>
      <c r="C4832" s="10" t="s">
        <v>28</v>
      </c>
      <c r="D4832" s="10" t="s">
        <v>1542</v>
      </c>
      <c r="E4832" s="10" t="s">
        <v>103</v>
      </c>
      <c r="F4832" s="10" t="s">
        <v>79</v>
      </c>
      <c r="G4832" s="10" t="s">
        <v>76</v>
      </c>
      <c r="H4832" s="7" t="s">
        <v>24</v>
      </c>
      <c r="I4832" s="7" t="s">
        <v>25</v>
      </c>
      <c r="J4832" s="13" t="str">
        <f>HYPERLINK("https://www.airitibooks.com/Detail/Detail?PublicationID=P20141027143", "https://www.airitibooks.com/Detail/Detail?PublicationID=P20141027143")</f>
        <v>https://www.airitibooks.com/Detail/Detail?PublicationID=P20141027143</v>
      </c>
      <c r="K4832" s="13" t="str">
        <f>HYPERLINK("https://ntsu.idm.oclc.org/login?url=https://www.airitibooks.com/Detail/Detail?PublicationID=P20141027143", "https://ntsu.idm.oclc.org/login?url=https://www.airitibooks.com/Detail/Detail?PublicationID=P20141027143")</f>
        <v>https://ntsu.idm.oclc.org/login?url=https://www.airitibooks.com/Detail/Detail?PublicationID=P20141027143</v>
      </c>
    </row>
    <row r="4833" spans="1:11" ht="51" x14ac:dyDescent="0.4">
      <c r="A4833" s="10" t="s">
        <v>1543</v>
      </c>
      <c r="B4833" s="10" t="s">
        <v>1544</v>
      </c>
      <c r="C4833" s="10" t="s">
        <v>28</v>
      </c>
      <c r="D4833" s="10" t="s">
        <v>1545</v>
      </c>
      <c r="E4833" s="10" t="s">
        <v>103</v>
      </c>
      <c r="F4833" s="10" t="s">
        <v>79</v>
      </c>
      <c r="G4833" s="10" t="s">
        <v>76</v>
      </c>
      <c r="H4833" s="7" t="s">
        <v>24</v>
      </c>
      <c r="I4833" s="7" t="s">
        <v>25</v>
      </c>
      <c r="J4833" s="13" t="str">
        <f>HYPERLINK("https://www.airitibooks.com/Detail/Detail?PublicationID=P20141027144", "https://www.airitibooks.com/Detail/Detail?PublicationID=P20141027144")</f>
        <v>https://www.airitibooks.com/Detail/Detail?PublicationID=P20141027144</v>
      </c>
      <c r="K4833" s="13" t="str">
        <f>HYPERLINK("https://ntsu.idm.oclc.org/login?url=https://www.airitibooks.com/Detail/Detail?PublicationID=P20141027144", "https://ntsu.idm.oclc.org/login?url=https://www.airitibooks.com/Detail/Detail?PublicationID=P20141027144")</f>
        <v>https://ntsu.idm.oclc.org/login?url=https://www.airitibooks.com/Detail/Detail?PublicationID=P20141027144</v>
      </c>
    </row>
    <row r="4834" spans="1:11" ht="51" x14ac:dyDescent="0.4">
      <c r="A4834" s="10" t="s">
        <v>1546</v>
      </c>
      <c r="B4834" s="10" t="s">
        <v>1547</v>
      </c>
      <c r="C4834" s="10" t="s">
        <v>28</v>
      </c>
      <c r="D4834" s="10" t="s">
        <v>1548</v>
      </c>
      <c r="E4834" s="10" t="s">
        <v>103</v>
      </c>
      <c r="F4834" s="10" t="s">
        <v>79</v>
      </c>
      <c r="G4834" s="10" t="s">
        <v>76</v>
      </c>
      <c r="H4834" s="7" t="s">
        <v>24</v>
      </c>
      <c r="I4834" s="7" t="s">
        <v>25</v>
      </c>
      <c r="J4834" s="13" t="str">
        <f>HYPERLINK("https://www.airitibooks.com/Detail/Detail?PublicationID=P20141027145", "https://www.airitibooks.com/Detail/Detail?PublicationID=P20141027145")</f>
        <v>https://www.airitibooks.com/Detail/Detail?PublicationID=P20141027145</v>
      </c>
      <c r="K4834" s="13" t="str">
        <f>HYPERLINK("https://ntsu.idm.oclc.org/login?url=https://www.airitibooks.com/Detail/Detail?PublicationID=P20141027145", "https://ntsu.idm.oclc.org/login?url=https://www.airitibooks.com/Detail/Detail?PublicationID=P20141027145")</f>
        <v>https://ntsu.idm.oclc.org/login?url=https://www.airitibooks.com/Detail/Detail?PublicationID=P20141027145</v>
      </c>
    </row>
    <row r="4835" spans="1:11" ht="51" x14ac:dyDescent="0.4">
      <c r="A4835" s="10" t="s">
        <v>2011</v>
      </c>
      <c r="B4835" s="10" t="s">
        <v>2012</v>
      </c>
      <c r="C4835" s="10" t="s">
        <v>2013</v>
      </c>
      <c r="D4835" s="10" t="s">
        <v>2014</v>
      </c>
      <c r="E4835" s="10" t="s">
        <v>103</v>
      </c>
      <c r="F4835" s="10" t="s">
        <v>774</v>
      </c>
      <c r="G4835" s="10" t="s">
        <v>76</v>
      </c>
      <c r="H4835" s="7" t="s">
        <v>24</v>
      </c>
      <c r="I4835" s="7" t="s">
        <v>25</v>
      </c>
      <c r="J4835" s="13" t="str">
        <f>HYPERLINK("https://www.airitibooks.com/Detail/Detail?PublicationID=P20150213067", "https://www.airitibooks.com/Detail/Detail?PublicationID=P20150213067")</f>
        <v>https://www.airitibooks.com/Detail/Detail?PublicationID=P20150213067</v>
      </c>
      <c r="K4835" s="13" t="str">
        <f>HYPERLINK("https://ntsu.idm.oclc.org/login?url=https://www.airitibooks.com/Detail/Detail?PublicationID=P20150213067", "https://ntsu.idm.oclc.org/login?url=https://www.airitibooks.com/Detail/Detail?PublicationID=P20150213067")</f>
        <v>https://ntsu.idm.oclc.org/login?url=https://www.airitibooks.com/Detail/Detail?PublicationID=P20150213067</v>
      </c>
    </row>
    <row r="4836" spans="1:11" ht="51" x14ac:dyDescent="0.4">
      <c r="A4836" s="10" t="s">
        <v>2317</v>
      </c>
      <c r="B4836" s="10" t="s">
        <v>2318</v>
      </c>
      <c r="C4836" s="10" t="s">
        <v>1982</v>
      </c>
      <c r="D4836" s="10" t="s">
        <v>2319</v>
      </c>
      <c r="E4836" s="10" t="s">
        <v>103</v>
      </c>
      <c r="F4836" s="10" t="s">
        <v>2313</v>
      </c>
      <c r="G4836" s="10" t="s">
        <v>76</v>
      </c>
      <c r="H4836" s="7" t="s">
        <v>24</v>
      </c>
      <c r="I4836" s="7" t="s">
        <v>25</v>
      </c>
      <c r="J4836" s="13" t="str">
        <f>HYPERLINK("https://www.airitibooks.com/Detail/Detail?PublicationID=P20150409015", "https://www.airitibooks.com/Detail/Detail?PublicationID=P20150409015")</f>
        <v>https://www.airitibooks.com/Detail/Detail?PublicationID=P20150409015</v>
      </c>
      <c r="K4836" s="13" t="str">
        <f>HYPERLINK("https://ntsu.idm.oclc.org/login?url=https://www.airitibooks.com/Detail/Detail?PublicationID=P20150409015", "https://ntsu.idm.oclc.org/login?url=https://www.airitibooks.com/Detail/Detail?PublicationID=P20150409015")</f>
        <v>https://ntsu.idm.oclc.org/login?url=https://www.airitibooks.com/Detail/Detail?PublicationID=P20150409015</v>
      </c>
    </row>
    <row r="4837" spans="1:11" ht="51" x14ac:dyDescent="0.4">
      <c r="A4837" s="10" t="s">
        <v>2608</v>
      </c>
      <c r="B4837" s="10" t="s">
        <v>2609</v>
      </c>
      <c r="C4837" s="10" t="s">
        <v>2610</v>
      </c>
      <c r="D4837" s="10" t="s">
        <v>2611</v>
      </c>
      <c r="E4837" s="10" t="s">
        <v>103</v>
      </c>
      <c r="F4837" s="10" t="s">
        <v>2613</v>
      </c>
      <c r="G4837" s="10" t="s">
        <v>76</v>
      </c>
      <c r="H4837" s="7" t="s">
        <v>24</v>
      </c>
      <c r="I4837" s="7" t="s">
        <v>25</v>
      </c>
      <c r="J4837" s="13" t="str">
        <f>HYPERLINK("https://www.airitibooks.com/Detail/Detail?PublicationID=P20150528043", "https://www.airitibooks.com/Detail/Detail?PublicationID=P20150528043")</f>
        <v>https://www.airitibooks.com/Detail/Detail?PublicationID=P20150528043</v>
      </c>
      <c r="K4837" s="13" t="str">
        <f>HYPERLINK("https://ntsu.idm.oclc.org/login?url=https://www.airitibooks.com/Detail/Detail?PublicationID=P20150528043", "https://ntsu.idm.oclc.org/login?url=https://www.airitibooks.com/Detail/Detail?PublicationID=P20150528043")</f>
        <v>https://ntsu.idm.oclc.org/login?url=https://www.airitibooks.com/Detail/Detail?PublicationID=P20150528043</v>
      </c>
    </row>
    <row r="4838" spans="1:11" ht="51" x14ac:dyDescent="0.4">
      <c r="A4838" s="10" t="s">
        <v>2637</v>
      </c>
      <c r="B4838" s="10" t="s">
        <v>2638</v>
      </c>
      <c r="C4838" s="10" t="s">
        <v>796</v>
      </c>
      <c r="D4838" s="10" t="s">
        <v>2639</v>
      </c>
      <c r="E4838" s="10" t="s">
        <v>103</v>
      </c>
      <c r="F4838" s="10" t="s">
        <v>2640</v>
      </c>
      <c r="G4838" s="10" t="s">
        <v>76</v>
      </c>
      <c r="H4838" s="7" t="s">
        <v>24</v>
      </c>
      <c r="I4838" s="7" t="s">
        <v>25</v>
      </c>
      <c r="J4838" s="13" t="str">
        <f>HYPERLINK("https://www.airitibooks.com/Detail/Detail?PublicationID=P20150604065", "https://www.airitibooks.com/Detail/Detail?PublicationID=P20150604065")</f>
        <v>https://www.airitibooks.com/Detail/Detail?PublicationID=P20150604065</v>
      </c>
      <c r="K4838" s="13" t="str">
        <f>HYPERLINK("https://ntsu.idm.oclc.org/login?url=https://www.airitibooks.com/Detail/Detail?PublicationID=P20150604065", "https://ntsu.idm.oclc.org/login?url=https://www.airitibooks.com/Detail/Detail?PublicationID=P20150604065")</f>
        <v>https://ntsu.idm.oclc.org/login?url=https://www.airitibooks.com/Detail/Detail?PublicationID=P20150604065</v>
      </c>
    </row>
    <row r="4839" spans="1:11" ht="51" x14ac:dyDescent="0.4">
      <c r="A4839" s="10" t="s">
        <v>5683</v>
      </c>
      <c r="B4839" s="10" t="s">
        <v>5684</v>
      </c>
      <c r="C4839" s="10" t="s">
        <v>147</v>
      </c>
      <c r="D4839" s="10" t="s">
        <v>5685</v>
      </c>
      <c r="E4839" s="10" t="s">
        <v>103</v>
      </c>
      <c r="F4839" s="10" t="s">
        <v>5686</v>
      </c>
      <c r="G4839" s="10" t="s">
        <v>76</v>
      </c>
      <c r="H4839" s="7" t="s">
        <v>24</v>
      </c>
      <c r="I4839" s="7" t="s">
        <v>25</v>
      </c>
      <c r="J4839" s="13" t="str">
        <f>HYPERLINK("https://www.airitibooks.com/Detail/Detail?PublicationID=P20161130038", "https://www.airitibooks.com/Detail/Detail?PublicationID=P20161130038")</f>
        <v>https://www.airitibooks.com/Detail/Detail?PublicationID=P20161130038</v>
      </c>
      <c r="K4839" s="13" t="str">
        <f>HYPERLINK("https://ntsu.idm.oclc.org/login?url=https://www.airitibooks.com/Detail/Detail?PublicationID=P20161130038", "https://ntsu.idm.oclc.org/login?url=https://www.airitibooks.com/Detail/Detail?PublicationID=P20161130038")</f>
        <v>https://ntsu.idm.oclc.org/login?url=https://www.airitibooks.com/Detail/Detail?PublicationID=P20161130038</v>
      </c>
    </row>
    <row r="4840" spans="1:11" ht="51" x14ac:dyDescent="0.4">
      <c r="A4840" s="10" t="s">
        <v>5916</v>
      </c>
      <c r="B4840" s="10" t="s">
        <v>5917</v>
      </c>
      <c r="C4840" s="10" t="s">
        <v>5901</v>
      </c>
      <c r="D4840" s="10" t="s">
        <v>5918</v>
      </c>
      <c r="E4840" s="10" t="s">
        <v>103</v>
      </c>
      <c r="F4840" s="10" t="s">
        <v>5919</v>
      </c>
      <c r="G4840" s="10" t="s">
        <v>76</v>
      </c>
      <c r="H4840" s="7" t="s">
        <v>24</v>
      </c>
      <c r="I4840" s="7" t="s">
        <v>25</v>
      </c>
      <c r="J4840" s="13" t="str">
        <f>HYPERLINK("https://www.airitibooks.com/Detail/Detail?PublicationID=P20170112100", "https://www.airitibooks.com/Detail/Detail?PublicationID=P20170112100")</f>
        <v>https://www.airitibooks.com/Detail/Detail?PublicationID=P20170112100</v>
      </c>
      <c r="K4840" s="13" t="str">
        <f>HYPERLINK("https://ntsu.idm.oclc.org/login?url=https://www.airitibooks.com/Detail/Detail?PublicationID=P20170112100", "https://ntsu.idm.oclc.org/login?url=https://www.airitibooks.com/Detail/Detail?PublicationID=P20170112100")</f>
        <v>https://ntsu.idm.oclc.org/login?url=https://www.airitibooks.com/Detail/Detail?PublicationID=P20170112100</v>
      </c>
    </row>
    <row r="4841" spans="1:11" ht="51" x14ac:dyDescent="0.4">
      <c r="A4841" s="10" t="s">
        <v>6405</v>
      </c>
      <c r="B4841" s="10" t="s">
        <v>6406</v>
      </c>
      <c r="C4841" s="10" t="s">
        <v>848</v>
      </c>
      <c r="D4841" s="10" t="s">
        <v>6393</v>
      </c>
      <c r="E4841" s="10" t="s">
        <v>103</v>
      </c>
      <c r="F4841" s="10" t="s">
        <v>1078</v>
      </c>
      <c r="G4841" s="10" t="s">
        <v>76</v>
      </c>
      <c r="H4841" s="7" t="s">
        <v>24</v>
      </c>
      <c r="I4841" s="7" t="s">
        <v>25</v>
      </c>
      <c r="J4841" s="13" t="str">
        <f>HYPERLINK("https://www.airitibooks.com/Detail/Detail?PublicationID=P20170411023", "https://www.airitibooks.com/Detail/Detail?PublicationID=P20170411023")</f>
        <v>https://www.airitibooks.com/Detail/Detail?PublicationID=P20170411023</v>
      </c>
      <c r="K4841" s="13" t="str">
        <f>HYPERLINK("https://ntsu.idm.oclc.org/login?url=https://www.airitibooks.com/Detail/Detail?PublicationID=P20170411023", "https://ntsu.idm.oclc.org/login?url=https://www.airitibooks.com/Detail/Detail?PublicationID=P20170411023")</f>
        <v>https://ntsu.idm.oclc.org/login?url=https://www.airitibooks.com/Detail/Detail?PublicationID=P20170411023</v>
      </c>
    </row>
    <row r="4842" spans="1:11" ht="68" x14ac:dyDescent="0.4">
      <c r="A4842" s="10" t="s">
        <v>6429</v>
      </c>
      <c r="B4842" s="10" t="s">
        <v>6430</v>
      </c>
      <c r="C4842" s="10" t="s">
        <v>6431</v>
      </c>
      <c r="D4842" s="10" t="s">
        <v>6432</v>
      </c>
      <c r="E4842" s="10" t="s">
        <v>103</v>
      </c>
      <c r="F4842" s="10" t="s">
        <v>6433</v>
      </c>
      <c r="G4842" s="10" t="s">
        <v>76</v>
      </c>
      <c r="H4842" s="7" t="s">
        <v>24</v>
      </c>
      <c r="I4842" s="7" t="s">
        <v>25</v>
      </c>
      <c r="J4842" s="13" t="str">
        <f>HYPERLINK("https://www.airitibooks.com/Detail/Detail?PublicationID=P20170419002", "https://www.airitibooks.com/Detail/Detail?PublicationID=P20170419002")</f>
        <v>https://www.airitibooks.com/Detail/Detail?PublicationID=P20170419002</v>
      </c>
      <c r="K4842" s="13" t="str">
        <f>HYPERLINK("https://ntsu.idm.oclc.org/login?url=https://www.airitibooks.com/Detail/Detail?PublicationID=P20170419002", "https://ntsu.idm.oclc.org/login?url=https://www.airitibooks.com/Detail/Detail?PublicationID=P20170419002")</f>
        <v>https://ntsu.idm.oclc.org/login?url=https://www.airitibooks.com/Detail/Detail?PublicationID=P20170419002</v>
      </c>
    </row>
    <row r="4843" spans="1:11" ht="51" x14ac:dyDescent="0.4">
      <c r="A4843" s="10" t="s">
        <v>9925</v>
      </c>
      <c r="B4843" s="10" t="s">
        <v>9926</v>
      </c>
      <c r="C4843" s="10" t="s">
        <v>9828</v>
      </c>
      <c r="D4843" s="10" t="s">
        <v>9927</v>
      </c>
      <c r="E4843" s="10" t="s">
        <v>103</v>
      </c>
      <c r="F4843" s="10" t="s">
        <v>104</v>
      </c>
      <c r="G4843" s="10" t="s">
        <v>76</v>
      </c>
      <c r="H4843" s="7" t="s">
        <v>1031</v>
      </c>
      <c r="I4843" s="7" t="s">
        <v>25</v>
      </c>
      <c r="J4843" s="13" t="str">
        <f>HYPERLINK("https://www.airitibooks.com/Detail/Detail?PublicationID=P20181022015", "https://www.airitibooks.com/Detail/Detail?PublicationID=P20181022015")</f>
        <v>https://www.airitibooks.com/Detail/Detail?PublicationID=P20181022015</v>
      </c>
      <c r="K4843" s="13" t="str">
        <f>HYPERLINK("https://ntsu.idm.oclc.org/login?url=https://www.airitibooks.com/Detail/Detail?PublicationID=P20181022015", "https://ntsu.idm.oclc.org/login?url=https://www.airitibooks.com/Detail/Detail?PublicationID=P20181022015")</f>
        <v>https://ntsu.idm.oclc.org/login?url=https://www.airitibooks.com/Detail/Detail?PublicationID=P20181022015</v>
      </c>
    </row>
    <row r="4844" spans="1:11" ht="51" x14ac:dyDescent="0.4">
      <c r="A4844" s="10" t="s">
        <v>9970</v>
      </c>
      <c r="B4844" s="10" t="s">
        <v>9971</v>
      </c>
      <c r="C4844" s="10" t="s">
        <v>9828</v>
      </c>
      <c r="D4844" s="10" t="s">
        <v>9972</v>
      </c>
      <c r="E4844" s="10" t="s">
        <v>103</v>
      </c>
      <c r="F4844" s="10" t="s">
        <v>9825</v>
      </c>
      <c r="G4844" s="10" t="s">
        <v>76</v>
      </c>
      <c r="H4844" s="7" t="s">
        <v>1031</v>
      </c>
      <c r="I4844" s="7" t="s">
        <v>25</v>
      </c>
      <c r="J4844" s="13" t="str">
        <f>HYPERLINK("https://www.airitibooks.com/Detail/Detail?PublicationID=P20181102034", "https://www.airitibooks.com/Detail/Detail?PublicationID=P20181102034")</f>
        <v>https://www.airitibooks.com/Detail/Detail?PublicationID=P20181102034</v>
      </c>
      <c r="K4844" s="13" t="str">
        <f>HYPERLINK("https://ntsu.idm.oclc.org/login?url=https://www.airitibooks.com/Detail/Detail?PublicationID=P20181102034", "https://ntsu.idm.oclc.org/login?url=https://www.airitibooks.com/Detail/Detail?PublicationID=P20181102034")</f>
        <v>https://ntsu.idm.oclc.org/login?url=https://www.airitibooks.com/Detail/Detail?PublicationID=P20181102034</v>
      </c>
    </row>
    <row r="4845" spans="1:11" ht="68" x14ac:dyDescent="0.4">
      <c r="A4845" s="10" t="s">
        <v>2173</v>
      </c>
      <c r="B4845" s="10" t="s">
        <v>2174</v>
      </c>
      <c r="C4845" s="10" t="s">
        <v>1504</v>
      </c>
      <c r="D4845" s="10" t="s">
        <v>2175</v>
      </c>
      <c r="E4845" s="10" t="s">
        <v>103</v>
      </c>
      <c r="F4845" s="10" t="s">
        <v>2176</v>
      </c>
      <c r="G4845" s="10" t="s">
        <v>55</v>
      </c>
      <c r="H4845" s="7" t="s">
        <v>24</v>
      </c>
      <c r="I4845" s="7" t="s">
        <v>25</v>
      </c>
      <c r="J4845" s="13" t="str">
        <f>HYPERLINK("https://www.airitibooks.com/Detail/Detail?PublicationID=P20150318018", "https://www.airitibooks.com/Detail/Detail?PublicationID=P20150318018")</f>
        <v>https://www.airitibooks.com/Detail/Detail?PublicationID=P20150318018</v>
      </c>
      <c r="K4845" s="13" t="str">
        <f>HYPERLINK("https://ntsu.idm.oclc.org/login?url=https://www.airitibooks.com/Detail/Detail?PublicationID=P20150318018", "https://ntsu.idm.oclc.org/login?url=https://www.airitibooks.com/Detail/Detail?PublicationID=P20150318018")</f>
        <v>https://ntsu.idm.oclc.org/login?url=https://www.airitibooks.com/Detail/Detail?PublicationID=P20150318018</v>
      </c>
    </row>
    <row r="4846" spans="1:11" ht="68" x14ac:dyDescent="0.4">
      <c r="A4846" s="10" t="s">
        <v>3878</v>
      </c>
      <c r="B4846" s="10" t="s">
        <v>3879</v>
      </c>
      <c r="C4846" s="10" t="s">
        <v>3863</v>
      </c>
      <c r="D4846" s="10" t="s">
        <v>3880</v>
      </c>
      <c r="E4846" s="10" t="s">
        <v>103</v>
      </c>
      <c r="F4846" s="10" t="s">
        <v>1431</v>
      </c>
      <c r="G4846" s="10" t="s">
        <v>55</v>
      </c>
      <c r="H4846" s="7" t="s">
        <v>24</v>
      </c>
      <c r="I4846" s="7" t="s">
        <v>25</v>
      </c>
      <c r="J4846" s="13" t="str">
        <f>HYPERLINK("https://www.airitibooks.com/Detail/Detail?PublicationID=P20151110061", "https://www.airitibooks.com/Detail/Detail?PublicationID=P20151110061")</f>
        <v>https://www.airitibooks.com/Detail/Detail?PublicationID=P20151110061</v>
      </c>
      <c r="K4846" s="13" t="str">
        <f>HYPERLINK("https://ntsu.idm.oclc.org/login?url=https://www.airitibooks.com/Detail/Detail?PublicationID=P20151110061", "https://ntsu.idm.oclc.org/login?url=https://www.airitibooks.com/Detail/Detail?PublicationID=P20151110061")</f>
        <v>https://ntsu.idm.oclc.org/login?url=https://www.airitibooks.com/Detail/Detail?PublicationID=P20151110061</v>
      </c>
    </row>
    <row r="4847" spans="1:11" ht="51" x14ac:dyDescent="0.4">
      <c r="A4847" s="10" t="s">
        <v>6534</v>
      </c>
      <c r="B4847" s="10" t="s">
        <v>6535</v>
      </c>
      <c r="C4847" s="10" t="s">
        <v>1504</v>
      </c>
      <c r="D4847" s="10" t="s">
        <v>6536</v>
      </c>
      <c r="E4847" s="10" t="s">
        <v>103</v>
      </c>
      <c r="F4847" s="10" t="s">
        <v>2211</v>
      </c>
      <c r="G4847" s="10" t="s">
        <v>55</v>
      </c>
      <c r="H4847" s="7" t="s">
        <v>24</v>
      </c>
      <c r="I4847" s="7" t="s">
        <v>25</v>
      </c>
      <c r="J4847" s="13" t="str">
        <f>HYPERLINK("https://www.airitibooks.com/Detail/Detail?PublicationID=P20170502081", "https://www.airitibooks.com/Detail/Detail?PublicationID=P20170502081")</f>
        <v>https://www.airitibooks.com/Detail/Detail?PublicationID=P20170502081</v>
      </c>
      <c r="K4847" s="13" t="str">
        <f>HYPERLINK("https://ntsu.idm.oclc.org/login?url=https://www.airitibooks.com/Detail/Detail?PublicationID=P20170502081", "https://ntsu.idm.oclc.org/login?url=https://www.airitibooks.com/Detail/Detail?PublicationID=P20170502081")</f>
        <v>https://ntsu.idm.oclc.org/login?url=https://www.airitibooks.com/Detail/Detail?PublicationID=P20170502081</v>
      </c>
    </row>
    <row r="4848" spans="1:11" ht="51" x14ac:dyDescent="0.4">
      <c r="A4848" s="10" t="s">
        <v>378</v>
      </c>
      <c r="B4848" s="10" t="s">
        <v>379</v>
      </c>
      <c r="C4848" s="10" t="s">
        <v>282</v>
      </c>
      <c r="D4848" s="10" t="s">
        <v>380</v>
      </c>
      <c r="E4848" s="10" t="s">
        <v>103</v>
      </c>
      <c r="F4848" s="10" t="s">
        <v>381</v>
      </c>
      <c r="G4848" s="10" t="s">
        <v>87</v>
      </c>
      <c r="H4848" s="7" t="s">
        <v>24</v>
      </c>
      <c r="I4848" s="7" t="s">
        <v>25</v>
      </c>
      <c r="J4848" s="13" t="str">
        <f>HYPERLINK("https://www.airitibooks.com/Detail/Detail?PublicationID=P20120910008", "https://www.airitibooks.com/Detail/Detail?PublicationID=P20120910008")</f>
        <v>https://www.airitibooks.com/Detail/Detail?PublicationID=P20120910008</v>
      </c>
      <c r="K4848" s="13" t="str">
        <f>HYPERLINK("https://ntsu.idm.oclc.org/login?url=https://www.airitibooks.com/Detail/Detail?PublicationID=P20120910008", "https://ntsu.idm.oclc.org/login?url=https://www.airitibooks.com/Detail/Detail?PublicationID=P20120910008")</f>
        <v>https://ntsu.idm.oclc.org/login?url=https://www.airitibooks.com/Detail/Detail?PublicationID=P20120910008</v>
      </c>
    </row>
    <row r="4849" spans="1:11" ht="51" x14ac:dyDescent="0.4">
      <c r="A4849" s="10" t="s">
        <v>395</v>
      </c>
      <c r="B4849" s="10" t="s">
        <v>396</v>
      </c>
      <c r="C4849" s="10" t="s">
        <v>397</v>
      </c>
      <c r="D4849" s="10" t="s">
        <v>398</v>
      </c>
      <c r="E4849" s="10" t="s">
        <v>103</v>
      </c>
      <c r="F4849" s="10" t="s">
        <v>399</v>
      </c>
      <c r="G4849" s="10" t="s">
        <v>87</v>
      </c>
      <c r="H4849" s="7" t="s">
        <v>24</v>
      </c>
      <c r="I4849" s="7" t="s">
        <v>25</v>
      </c>
      <c r="J4849" s="13" t="str">
        <f>HYPERLINK("https://www.airitibooks.com/Detail/Detail?PublicationID=P20120919015", "https://www.airitibooks.com/Detail/Detail?PublicationID=P20120919015")</f>
        <v>https://www.airitibooks.com/Detail/Detail?PublicationID=P20120919015</v>
      </c>
      <c r="K4849" s="13" t="str">
        <f>HYPERLINK("https://ntsu.idm.oclc.org/login?url=https://www.airitibooks.com/Detail/Detail?PublicationID=P20120919015", "https://ntsu.idm.oclc.org/login?url=https://www.airitibooks.com/Detail/Detail?PublicationID=P20120919015")</f>
        <v>https://ntsu.idm.oclc.org/login?url=https://www.airitibooks.com/Detail/Detail?PublicationID=P20120919015</v>
      </c>
    </row>
    <row r="4850" spans="1:11" ht="51" x14ac:dyDescent="0.4">
      <c r="A4850" s="10" t="s">
        <v>400</v>
      </c>
      <c r="B4850" s="10" t="s">
        <v>401</v>
      </c>
      <c r="C4850" s="10" t="s">
        <v>147</v>
      </c>
      <c r="D4850" s="10" t="s">
        <v>402</v>
      </c>
      <c r="E4850" s="10" t="s">
        <v>103</v>
      </c>
      <c r="F4850" s="10" t="s">
        <v>399</v>
      </c>
      <c r="G4850" s="10" t="s">
        <v>87</v>
      </c>
      <c r="H4850" s="7" t="s">
        <v>24</v>
      </c>
      <c r="I4850" s="7" t="s">
        <v>25</v>
      </c>
      <c r="J4850" s="13" t="str">
        <f>HYPERLINK("https://www.airitibooks.com/Detail/Detail?PublicationID=P20120927010", "https://www.airitibooks.com/Detail/Detail?PublicationID=P20120927010")</f>
        <v>https://www.airitibooks.com/Detail/Detail?PublicationID=P20120927010</v>
      </c>
      <c r="K4850" s="13" t="str">
        <f>HYPERLINK("https://ntsu.idm.oclc.org/login?url=https://www.airitibooks.com/Detail/Detail?PublicationID=P20120927010", "https://ntsu.idm.oclc.org/login?url=https://www.airitibooks.com/Detail/Detail?PublicationID=P20120927010")</f>
        <v>https://ntsu.idm.oclc.org/login?url=https://www.airitibooks.com/Detail/Detail?PublicationID=P20120927010</v>
      </c>
    </row>
    <row r="4851" spans="1:11" ht="51" x14ac:dyDescent="0.4">
      <c r="A4851" s="10" t="s">
        <v>422</v>
      </c>
      <c r="B4851" s="10" t="s">
        <v>423</v>
      </c>
      <c r="C4851" s="10" t="s">
        <v>297</v>
      </c>
      <c r="D4851" s="10" t="s">
        <v>424</v>
      </c>
      <c r="E4851" s="10" t="s">
        <v>103</v>
      </c>
      <c r="F4851" s="10" t="s">
        <v>425</v>
      </c>
      <c r="G4851" s="10" t="s">
        <v>87</v>
      </c>
      <c r="H4851" s="7" t="s">
        <v>24</v>
      </c>
      <c r="I4851" s="7" t="s">
        <v>25</v>
      </c>
      <c r="J4851" s="13" t="str">
        <f>HYPERLINK("https://www.airitibooks.com/Detail/Detail?PublicationID=P20121101020", "https://www.airitibooks.com/Detail/Detail?PublicationID=P20121101020")</f>
        <v>https://www.airitibooks.com/Detail/Detail?PublicationID=P20121101020</v>
      </c>
      <c r="K4851" s="13" t="str">
        <f>HYPERLINK("https://ntsu.idm.oclc.org/login?url=https://www.airitibooks.com/Detail/Detail?PublicationID=P20121101020", "https://ntsu.idm.oclc.org/login?url=https://www.airitibooks.com/Detail/Detail?PublicationID=P20121101020")</f>
        <v>https://ntsu.idm.oclc.org/login?url=https://www.airitibooks.com/Detail/Detail?PublicationID=P20121101020</v>
      </c>
    </row>
    <row r="4852" spans="1:11" ht="51" x14ac:dyDescent="0.4">
      <c r="A4852" s="10" t="s">
        <v>431</v>
      </c>
      <c r="B4852" s="10" t="s">
        <v>432</v>
      </c>
      <c r="C4852" s="10" t="s">
        <v>297</v>
      </c>
      <c r="D4852" s="10" t="s">
        <v>433</v>
      </c>
      <c r="E4852" s="10" t="s">
        <v>103</v>
      </c>
      <c r="F4852" s="10" t="s">
        <v>144</v>
      </c>
      <c r="G4852" s="10" t="s">
        <v>87</v>
      </c>
      <c r="H4852" s="7" t="s">
        <v>24</v>
      </c>
      <c r="I4852" s="7" t="s">
        <v>25</v>
      </c>
      <c r="J4852" s="13" t="str">
        <f>HYPERLINK("https://www.airitibooks.com/Detail/Detail?PublicationID=P20121105007", "https://www.airitibooks.com/Detail/Detail?PublicationID=P20121105007")</f>
        <v>https://www.airitibooks.com/Detail/Detail?PublicationID=P20121105007</v>
      </c>
      <c r="K4852" s="13" t="str">
        <f>HYPERLINK("https://ntsu.idm.oclc.org/login?url=https://www.airitibooks.com/Detail/Detail?PublicationID=P20121105007", "https://ntsu.idm.oclc.org/login?url=https://www.airitibooks.com/Detail/Detail?PublicationID=P20121105007")</f>
        <v>https://ntsu.idm.oclc.org/login?url=https://www.airitibooks.com/Detail/Detail?PublicationID=P20121105007</v>
      </c>
    </row>
    <row r="4853" spans="1:11" ht="51" x14ac:dyDescent="0.4">
      <c r="A4853" s="10" t="s">
        <v>434</v>
      </c>
      <c r="B4853" s="10" t="s">
        <v>435</v>
      </c>
      <c r="C4853" s="10" t="s">
        <v>297</v>
      </c>
      <c r="D4853" s="10" t="s">
        <v>436</v>
      </c>
      <c r="E4853" s="10" t="s">
        <v>103</v>
      </c>
      <c r="F4853" s="10" t="s">
        <v>144</v>
      </c>
      <c r="G4853" s="10" t="s">
        <v>87</v>
      </c>
      <c r="H4853" s="7" t="s">
        <v>24</v>
      </c>
      <c r="I4853" s="7" t="s">
        <v>25</v>
      </c>
      <c r="J4853" s="13" t="str">
        <f>HYPERLINK("https://www.airitibooks.com/Detail/Detail?PublicationID=P20121105009", "https://www.airitibooks.com/Detail/Detail?PublicationID=P20121105009")</f>
        <v>https://www.airitibooks.com/Detail/Detail?PublicationID=P20121105009</v>
      </c>
      <c r="K4853" s="13" t="str">
        <f>HYPERLINK("https://ntsu.idm.oclc.org/login?url=https://www.airitibooks.com/Detail/Detail?PublicationID=P20121105009", "https://ntsu.idm.oclc.org/login?url=https://www.airitibooks.com/Detail/Detail?PublicationID=P20121105009")</f>
        <v>https://ntsu.idm.oclc.org/login?url=https://www.airitibooks.com/Detail/Detail?PublicationID=P20121105009</v>
      </c>
    </row>
    <row r="4854" spans="1:11" ht="51" x14ac:dyDescent="0.4">
      <c r="A4854" s="10" t="s">
        <v>471</v>
      </c>
      <c r="B4854" s="10" t="s">
        <v>472</v>
      </c>
      <c r="C4854" s="10" t="s">
        <v>473</v>
      </c>
      <c r="D4854" s="10" t="s">
        <v>474</v>
      </c>
      <c r="E4854" s="10" t="s">
        <v>103</v>
      </c>
      <c r="F4854" s="10" t="s">
        <v>475</v>
      </c>
      <c r="G4854" s="10" t="s">
        <v>87</v>
      </c>
      <c r="H4854" s="7" t="s">
        <v>24</v>
      </c>
      <c r="I4854" s="7" t="s">
        <v>25</v>
      </c>
      <c r="J4854" s="13" t="str">
        <f>HYPERLINK("https://www.airitibooks.com/Detail/Detail?PublicationID=P20130109012", "https://www.airitibooks.com/Detail/Detail?PublicationID=P20130109012")</f>
        <v>https://www.airitibooks.com/Detail/Detail?PublicationID=P20130109012</v>
      </c>
      <c r="K4854" s="13" t="str">
        <f>HYPERLINK("https://ntsu.idm.oclc.org/login?url=https://www.airitibooks.com/Detail/Detail?PublicationID=P20130109012", "https://ntsu.idm.oclc.org/login?url=https://www.airitibooks.com/Detail/Detail?PublicationID=P20130109012")</f>
        <v>https://ntsu.idm.oclc.org/login?url=https://www.airitibooks.com/Detail/Detail?PublicationID=P20130109012</v>
      </c>
    </row>
    <row r="4855" spans="1:11" ht="51" x14ac:dyDescent="0.4">
      <c r="A4855" s="10" t="s">
        <v>525</v>
      </c>
      <c r="B4855" s="10" t="s">
        <v>526</v>
      </c>
      <c r="C4855" s="10" t="s">
        <v>527</v>
      </c>
      <c r="D4855" s="10" t="s">
        <v>528</v>
      </c>
      <c r="E4855" s="10" t="s">
        <v>103</v>
      </c>
      <c r="F4855" s="10" t="s">
        <v>144</v>
      </c>
      <c r="G4855" s="10" t="s">
        <v>87</v>
      </c>
      <c r="H4855" s="7" t="s">
        <v>24</v>
      </c>
      <c r="I4855" s="7" t="s">
        <v>25</v>
      </c>
      <c r="J4855" s="13" t="str">
        <f>HYPERLINK("https://www.airitibooks.com/Detail/Detail?PublicationID=P20130314065", "https://www.airitibooks.com/Detail/Detail?PublicationID=P20130314065")</f>
        <v>https://www.airitibooks.com/Detail/Detail?PublicationID=P20130314065</v>
      </c>
      <c r="K4855" s="13" t="str">
        <f>HYPERLINK("https://ntsu.idm.oclc.org/login?url=https://www.airitibooks.com/Detail/Detail?PublicationID=P20130314065", "https://ntsu.idm.oclc.org/login?url=https://www.airitibooks.com/Detail/Detail?PublicationID=P20130314065")</f>
        <v>https://ntsu.idm.oclc.org/login?url=https://www.airitibooks.com/Detail/Detail?PublicationID=P20130314065</v>
      </c>
    </row>
    <row r="4856" spans="1:11" ht="68" x14ac:dyDescent="0.4">
      <c r="A4856" s="10" t="s">
        <v>588</v>
      </c>
      <c r="B4856" s="10" t="s">
        <v>589</v>
      </c>
      <c r="C4856" s="10" t="s">
        <v>125</v>
      </c>
      <c r="D4856" s="10" t="s">
        <v>590</v>
      </c>
      <c r="E4856" s="10" t="s">
        <v>103</v>
      </c>
      <c r="F4856" s="10" t="s">
        <v>591</v>
      </c>
      <c r="G4856" s="10" t="s">
        <v>87</v>
      </c>
      <c r="H4856" s="7" t="s">
        <v>24</v>
      </c>
      <c r="I4856" s="7" t="s">
        <v>25</v>
      </c>
      <c r="J4856" s="13" t="str">
        <f>HYPERLINK("https://www.airitibooks.com/Detail/Detail?PublicationID=P20130419145", "https://www.airitibooks.com/Detail/Detail?PublicationID=P20130419145")</f>
        <v>https://www.airitibooks.com/Detail/Detail?PublicationID=P20130419145</v>
      </c>
      <c r="K4856" s="13" t="str">
        <f>HYPERLINK("https://ntsu.idm.oclc.org/login?url=https://www.airitibooks.com/Detail/Detail?PublicationID=P20130419145", "https://ntsu.idm.oclc.org/login?url=https://www.airitibooks.com/Detail/Detail?PublicationID=P20130419145")</f>
        <v>https://ntsu.idm.oclc.org/login?url=https://www.airitibooks.com/Detail/Detail?PublicationID=P20130419145</v>
      </c>
    </row>
    <row r="4857" spans="1:11" ht="51" x14ac:dyDescent="0.4">
      <c r="A4857" s="10" t="s">
        <v>592</v>
      </c>
      <c r="B4857" s="10" t="s">
        <v>593</v>
      </c>
      <c r="C4857" s="10" t="s">
        <v>125</v>
      </c>
      <c r="D4857" s="10" t="s">
        <v>126</v>
      </c>
      <c r="E4857" s="10" t="s">
        <v>103</v>
      </c>
      <c r="F4857" s="10" t="s">
        <v>144</v>
      </c>
      <c r="G4857" s="10" t="s">
        <v>87</v>
      </c>
      <c r="H4857" s="7" t="s">
        <v>24</v>
      </c>
      <c r="I4857" s="7" t="s">
        <v>25</v>
      </c>
      <c r="J4857" s="13" t="str">
        <f>HYPERLINK("https://www.airitibooks.com/Detail/Detail?PublicationID=P20130419146", "https://www.airitibooks.com/Detail/Detail?PublicationID=P20130419146")</f>
        <v>https://www.airitibooks.com/Detail/Detail?PublicationID=P20130419146</v>
      </c>
      <c r="K4857" s="13" t="str">
        <f>HYPERLINK("https://ntsu.idm.oclc.org/login?url=https://www.airitibooks.com/Detail/Detail?PublicationID=P20130419146", "https://ntsu.idm.oclc.org/login?url=https://www.airitibooks.com/Detail/Detail?PublicationID=P20130419146")</f>
        <v>https://ntsu.idm.oclc.org/login?url=https://www.airitibooks.com/Detail/Detail?PublicationID=P20130419146</v>
      </c>
    </row>
    <row r="4858" spans="1:11" ht="51" x14ac:dyDescent="0.4">
      <c r="A4858" s="10" t="s">
        <v>601</v>
      </c>
      <c r="B4858" s="10" t="s">
        <v>602</v>
      </c>
      <c r="C4858" s="10" t="s">
        <v>578</v>
      </c>
      <c r="D4858" s="10" t="s">
        <v>600</v>
      </c>
      <c r="E4858" s="10" t="s">
        <v>103</v>
      </c>
      <c r="F4858" s="10" t="s">
        <v>232</v>
      </c>
      <c r="G4858" s="10" t="s">
        <v>87</v>
      </c>
      <c r="H4858" s="7" t="s">
        <v>24</v>
      </c>
      <c r="I4858" s="7" t="s">
        <v>25</v>
      </c>
      <c r="J4858" s="13" t="str">
        <f>HYPERLINK("https://www.airitibooks.com/Detail/Detail?PublicationID=P20130419151", "https://www.airitibooks.com/Detail/Detail?PublicationID=P20130419151")</f>
        <v>https://www.airitibooks.com/Detail/Detail?PublicationID=P20130419151</v>
      </c>
      <c r="K4858" s="13" t="str">
        <f>HYPERLINK("https://ntsu.idm.oclc.org/login?url=https://www.airitibooks.com/Detail/Detail?PublicationID=P20130419151", "https://ntsu.idm.oclc.org/login?url=https://www.airitibooks.com/Detail/Detail?PublicationID=P20130419151")</f>
        <v>https://ntsu.idm.oclc.org/login?url=https://www.airitibooks.com/Detail/Detail?PublicationID=P20130419151</v>
      </c>
    </row>
    <row r="4859" spans="1:11" ht="51" x14ac:dyDescent="0.4">
      <c r="A4859" s="10" t="s">
        <v>605</v>
      </c>
      <c r="B4859" s="10" t="s">
        <v>606</v>
      </c>
      <c r="C4859" s="10" t="s">
        <v>578</v>
      </c>
      <c r="D4859" s="10" t="s">
        <v>231</v>
      </c>
      <c r="E4859" s="10" t="s">
        <v>103</v>
      </c>
      <c r="F4859" s="10" t="s">
        <v>232</v>
      </c>
      <c r="G4859" s="10" t="s">
        <v>87</v>
      </c>
      <c r="H4859" s="7" t="s">
        <v>24</v>
      </c>
      <c r="I4859" s="7" t="s">
        <v>25</v>
      </c>
      <c r="J4859" s="13" t="str">
        <f>HYPERLINK("https://www.airitibooks.com/Detail/Detail?PublicationID=P20130419155", "https://www.airitibooks.com/Detail/Detail?PublicationID=P20130419155")</f>
        <v>https://www.airitibooks.com/Detail/Detail?PublicationID=P20130419155</v>
      </c>
      <c r="K4859" s="13" t="str">
        <f>HYPERLINK("https://ntsu.idm.oclc.org/login?url=https://www.airitibooks.com/Detail/Detail?PublicationID=P20130419155", "https://ntsu.idm.oclc.org/login?url=https://www.airitibooks.com/Detail/Detail?PublicationID=P20130419155")</f>
        <v>https://ntsu.idm.oclc.org/login?url=https://www.airitibooks.com/Detail/Detail?PublicationID=P20130419155</v>
      </c>
    </row>
    <row r="4860" spans="1:11" ht="51" x14ac:dyDescent="0.4">
      <c r="A4860" s="10" t="s">
        <v>648</v>
      </c>
      <c r="B4860" s="10" t="s">
        <v>649</v>
      </c>
      <c r="C4860" s="10" t="s">
        <v>264</v>
      </c>
      <c r="D4860" s="10" t="s">
        <v>650</v>
      </c>
      <c r="E4860" s="10" t="s">
        <v>103</v>
      </c>
      <c r="F4860" s="10" t="s">
        <v>144</v>
      </c>
      <c r="G4860" s="10" t="s">
        <v>87</v>
      </c>
      <c r="H4860" s="7" t="s">
        <v>24</v>
      </c>
      <c r="I4860" s="7" t="s">
        <v>25</v>
      </c>
      <c r="J4860" s="13" t="str">
        <f>HYPERLINK("https://www.airitibooks.com/Detail/Detail?PublicationID=P20130606073", "https://www.airitibooks.com/Detail/Detail?PublicationID=P20130606073")</f>
        <v>https://www.airitibooks.com/Detail/Detail?PublicationID=P20130606073</v>
      </c>
      <c r="K4860" s="13" t="str">
        <f>HYPERLINK("https://ntsu.idm.oclc.org/login?url=https://www.airitibooks.com/Detail/Detail?PublicationID=P20130606073", "https://ntsu.idm.oclc.org/login?url=https://www.airitibooks.com/Detail/Detail?PublicationID=P20130606073")</f>
        <v>https://ntsu.idm.oclc.org/login?url=https://www.airitibooks.com/Detail/Detail?PublicationID=P20130606073</v>
      </c>
    </row>
    <row r="4861" spans="1:11" ht="51" x14ac:dyDescent="0.4">
      <c r="A4861" s="10" t="s">
        <v>729</v>
      </c>
      <c r="B4861" s="10" t="s">
        <v>730</v>
      </c>
      <c r="C4861" s="10" t="s">
        <v>731</v>
      </c>
      <c r="D4861" s="10" t="s">
        <v>732</v>
      </c>
      <c r="E4861" s="10" t="s">
        <v>103</v>
      </c>
      <c r="F4861" s="10" t="s">
        <v>399</v>
      </c>
      <c r="G4861" s="10" t="s">
        <v>87</v>
      </c>
      <c r="H4861" s="7" t="s">
        <v>24</v>
      </c>
      <c r="I4861" s="7" t="s">
        <v>25</v>
      </c>
      <c r="J4861" s="13" t="str">
        <f>HYPERLINK("https://www.airitibooks.com/Detail/Detail?PublicationID=P20130807097", "https://www.airitibooks.com/Detail/Detail?PublicationID=P20130807097")</f>
        <v>https://www.airitibooks.com/Detail/Detail?PublicationID=P20130807097</v>
      </c>
      <c r="K4861" s="13" t="str">
        <f>HYPERLINK("https://ntsu.idm.oclc.org/login?url=https://www.airitibooks.com/Detail/Detail?PublicationID=P20130807097", "https://ntsu.idm.oclc.org/login?url=https://www.airitibooks.com/Detail/Detail?PublicationID=P20130807097")</f>
        <v>https://ntsu.idm.oclc.org/login?url=https://www.airitibooks.com/Detail/Detail?PublicationID=P20130807097</v>
      </c>
    </row>
    <row r="4862" spans="1:11" ht="51" x14ac:dyDescent="0.4">
      <c r="A4862" s="10" t="s">
        <v>733</v>
      </c>
      <c r="B4862" s="10" t="s">
        <v>734</v>
      </c>
      <c r="C4862" s="10" t="s">
        <v>731</v>
      </c>
      <c r="D4862" s="10" t="s">
        <v>735</v>
      </c>
      <c r="E4862" s="10" t="s">
        <v>103</v>
      </c>
      <c r="F4862" s="10" t="s">
        <v>399</v>
      </c>
      <c r="G4862" s="10" t="s">
        <v>87</v>
      </c>
      <c r="H4862" s="7" t="s">
        <v>24</v>
      </c>
      <c r="I4862" s="7" t="s">
        <v>25</v>
      </c>
      <c r="J4862" s="13" t="str">
        <f>HYPERLINK("https://www.airitibooks.com/Detail/Detail?PublicationID=P20130807104", "https://www.airitibooks.com/Detail/Detail?PublicationID=P20130807104")</f>
        <v>https://www.airitibooks.com/Detail/Detail?PublicationID=P20130807104</v>
      </c>
      <c r="K4862" s="13" t="str">
        <f>HYPERLINK("https://ntsu.idm.oclc.org/login?url=https://www.airitibooks.com/Detail/Detail?PublicationID=P20130807104", "https://ntsu.idm.oclc.org/login?url=https://www.airitibooks.com/Detail/Detail?PublicationID=P20130807104")</f>
        <v>https://ntsu.idm.oclc.org/login?url=https://www.airitibooks.com/Detail/Detail?PublicationID=P20130807104</v>
      </c>
    </row>
    <row r="4863" spans="1:11" ht="51" x14ac:dyDescent="0.4">
      <c r="A4863" s="10" t="s">
        <v>806</v>
      </c>
      <c r="B4863" s="10" t="s">
        <v>807</v>
      </c>
      <c r="C4863" s="10" t="s">
        <v>108</v>
      </c>
      <c r="D4863" s="10" t="s">
        <v>808</v>
      </c>
      <c r="E4863" s="10" t="s">
        <v>103</v>
      </c>
      <c r="F4863" s="10" t="s">
        <v>809</v>
      </c>
      <c r="G4863" s="10" t="s">
        <v>87</v>
      </c>
      <c r="H4863" s="7" t="s">
        <v>24</v>
      </c>
      <c r="I4863" s="7" t="s">
        <v>25</v>
      </c>
      <c r="J4863" s="13" t="str">
        <f>HYPERLINK("https://www.airitibooks.com/Detail/Detail?PublicationID=P20130924005", "https://www.airitibooks.com/Detail/Detail?PublicationID=P20130924005")</f>
        <v>https://www.airitibooks.com/Detail/Detail?PublicationID=P20130924005</v>
      </c>
      <c r="K4863" s="13" t="str">
        <f>HYPERLINK("https://ntsu.idm.oclc.org/login?url=https://www.airitibooks.com/Detail/Detail?PublicationID=P20130924005", "https://ntsu.idm.oclc.org/login?url=https://www.airitibooks.com/Detail/Detail?PublicationID=P20130924005")</f>
        <v>https://ntsu.idm.oclc.org/login?url=https://www.airitibooks.com/Detail/Detail?PublicationID=P20130924005</v>
      </c>
    </row>
    <row r="4864" spans="1:11" ht="51" x14ac:dyDescent="0.4">
      <c r="A4864" s="10" t="s">
        <v>1097</v>
      </c>
      <c r="B4864" s="10" t="s">
        <v>1098</v>
      </c>
      <c r="C4864" s="10" t="s">
        <v>499</v>
      </c>
      <c r="D4864" s="10" t="s">
        <v>1099</v>
      </c>
      <c r="E4864" s="10" t="s">
        <v>103</v>
      </c>
      <c r="F4864" s="10" t="s">
        <v>1100</v>
      </c>
      <c r="G4864" s="10" t="s">
        <v>87</v>
      </c>
      <c r="H4864" s="7" t="s">
        <v>24</v>
      </c>
      <c r="I4864" s="7" t="s">
        <v>25</v>
      </c>
      <c r="J4864" s="13" t="str">
        <f>HYPERLINK("https://www.airitibooks.com/Detail/Detail?PublicationID=P20140113050", "https://www.airitibooks.com/Detail/Detail?PublicationID=P20140113050")</f>
        <v>https://www.airitibooks.com/Detail/Detail?PublicationID=P20140113050</v>
      </c>
      <c r="K4864" s="13" t="str">
        <f>HYPERLINK("https://ntsu.idm.oclc.org/login?url=https://www.airitibooks.com/Detail/Detail?PublicationID=P20140113050", "https://ntsu.idm.oclc.org/login?url=https://www.airitibooks.com/Detail/Detail?PublicationID=P20140113050")</f>
        <v>https://ntsu.idm.oclc.org/login?url=https://www.airitibooks.com/Detail/Detail?PublicationID=P20140113050</v>
      </c>
    </row>
    <row r="4865" spans="1:11" ht="68" x14ac:dyDescent="0.4">
      <c r="A4865" s="10" t="s">
        <v>1942</v>
      </c>
      <c r="B4865" s="10" t="s">
        <v>1943</v>
      </c>
      <c r="C4865" s="10" t="s">
        <v>141</v>
      </c>
      <c r="D4865" s="10" t="s">
        <v>1940</v>
      </c>
      <c r="E4865" s="10" t="s">
        <v>103</v>
      </c>
      <c r="F4865" s="10" t="s">
        <v>144</v>
      </c>
      <c r="G4865" s="10" t="s">
        <v>87</v>
      </c>
      <c r="H4865" s="7" t="s">
        <v>24</v>
      </c>
      <c r="I4865" s="7" t="s">
        <v>25</v>
      </c>
      <c r="J4865" s="13" t="str">
        <f>HYPERLINK("https://www.airitibooks.com/Detail/Detail?PublicationID=P20150205091", "https://www.airitibooks.com/Detail/Detail?PublicationID=P20150205091")</f>
        <v>https://www.airitibooks.com/Detail/Detail?PublicationID=P20150205091</v>
      </c>
      <c r="K4865" s="13" t="str">
        <f>HYPERLINK("https://ntsu.idm.oclc.org/login?url=https://www.airitibooks.com/Detail/Detail?PublicationID=P20150205091", "https://ntsu.idm.oclc.org/login?url=https://www.airitibooks.com/Detail/Detail?PublicationID=P20150205091")</f>
        <v>https://ntsu.idm.oclc.org/login?url=https://www.airitibooks.com/Detail/Detail?PublicationID=P20150205091</v>
      </c>
    </row>
    <row r="4866" spans="1:11" ht="85" x14ac:dyDescent="0.4">
      <c r="A4866" s="10" t="s">
        <v>4354</v>
      </c>
      <c r="B4866" s="10" t="s">
        <v>4355</v>
      </c>
      <c r="C4866" s="10" t="s">
        <v>568</v>
      </c>
      <c r="D4866" s="10" t="s">
        <v>4356</v>
      </c>
      <c r="E4866" s="10" t="s">
        <v>103</v>
      </c>
      <c r="F4866" s="10" t="s">
        <v>138</v>
      </c>
      <c r="G4866" s="10" t="s">
        <v>87</v>
      </c>
      <c r="H4866" s="7" t="s">
        <v>24</v>
      </c>
      <c r="I4866" s="7" t="s">
        <v>25</v>
      </c>
      <c r="J4866" s="13" t="str">
        <f>HYPERLINK("https://www.airitibooks.com/Detail/Detail?PublicationID=P20160315263", "https://www.airitibooks.com/Detail/Detail?PublicationID=P20160315263")</f>
        <v>https://www.airitibooks.com/Detail/Detail?PublicationID=P20160315263</v>
      </c>
      <c r="K4866" s="13" t="str">
        <f>HYPERLINK("https://ntsu.idm.oclc.org/login?url=https://www.airitibooks.com/Detail/Detail?PublicationID=P20160315263", "https://ntsu.idm.oclc.org/login?url=https://www.airitibooks.com/Detail/Detail?PublicationID=P20160315263")</f>
        <v>https://ntsu.idm.oclc.org/login?url=https://www.airitibooks.com/Detail/Detail?PublicationID=P20160315263</v>
      </c>
    </row>
    <row r="4867" spans="1:11" ht="51" x14ac:dyDescent="0.4">
      <c r="A4867" s="10" t="s">
        <v>6510</v>
      </c>
      <c r="B4867" s="10" t="s">
        <v>6511</v>
      </c>
      <c r="C4867" s="10" t="s">
        <v>147</v>
      </c>
      <c r="D4867" s="10" t="s">
        <v>6512</v>
      </c>
      <c r="E4867" s="10" t="s">
        <v>103</v>
      </c>
      <c r="F4867" s="10" t="s">
        <v>138</v>
      </c>
      <c r="G4867" s="10" t="s">
        <v>87</v>
      </c>
      <c r="H4867" s="7" t="s">
        <v>24</v>
      </c>
      <c r="I4867" s="7" t="s">
        <v>25</v>
      </c>
      <c r="J4867" s="13" t="str">
        <f>HYPERLINK("https://www.airitibooks.com/Detail/Detail?PublicationID=P20170502049", "https://www.airitibooks.com/Detail/Detail?PublicationID=P20170502049")</f>
        <v>https://www.airitibooks.com/Detail/Detail?PublicationID=P20170502049</v>
      </c>
      <c r="K4867" s="13" t="str">
        <f>HYPERLINK("https://ntsu.idm.oclc.org/login?url=https://www.airitibooks.com/Detail/Detail?PublicationID=P20170502049", "https://ntsu.idm.oclc.org/login?url=https://www.airitibooks.com/Detail/Detail?PublicationID=P20170502049")</f>
        <v>https://ntsu.idm.oclc.org/login?url=https://www.airitibooks.com/Detail/Detail?PublicationID=P20170502049</v>
      </c>
    </row>
    <row r="4868" spans="1:11" ht="51" x14ac:dyDescent="0.4">
      <c r="A4868" s="10" t="s">
        <v>6513</v>
      </c>
      <c r="B4868" s="10" t="s">
        <v>6514</v>
      </c>
      <c r="C4868" s="10" t="s">
        <v>147</v>
      </c>
      <c r="D4868" s="10" t="s">
        <v>3402</v>
      </c>
      <c r="E4868" s="10" t="s">
        <v>103</v>
      </c>
      <c r="F4868" s="10" t="s">
        <v>1208</v>
      </c>
      <c r="G4868" s="10" t="s">
        <v>87</v>
      </c>
      <c r="H4868" s="7" t="s">
        <v>24</v>
      </c>
      <c r="I4868" s="7" t="s">
        <v>25</v>
      </c>
      <c r="J4868" s="13" t="str">
        <f>HYPERLINK("https://www.airitibooks.com/Detail/Detail?PublicationID=P20170502050", "https://www.airitibooks.com/Detail/Detail?PublicationID=P20170502050")</f>
        <v>https://www.airitibooks.com/Detail/Detail?PublicationID=P20170502050</v>
      </c>
      <c r="K4868" s="13" t="str">
        <f>HYPERLINK("https://ntsu.idm.oclc.org/login?url=https://www.airitibooks.com/Detail/Detail?PublicationID=P20170502050", "https://ntsu.idm.oclc.org/login?url=https://www.airitibooks.com/Detail/Detail?PublicationID=P20170502050")</f>
        <v>https://ntsu.idm.oclc.org/login?url=https://www.airitibooks.com/Detail/Detail?PublicationID=P20170502050</v>
      </c>
    </row>
    <row r="4869" spans="1:11" ht="51" x14ac:dyDescent="0.4">
      <c r="A4869" s="10" t="s">
        <v>295</v>
      </c>
      <c r="B4869" s="10" t="s">
        <v>296</v>
      </c>
      <c r="C4869" s="10" t="s">
        <v>297</v>
      </c>
      <c r="D4869" s="10" t="s">
        <v>298</v>
      </c>
      <c r="E4869" s="10" t="s">
        <v>103</v>
      </c>
      <c r="F4869" s="10" t="s">
        <v>299</v>
      </c>
      <c r="G4869" s="10" t="s">
        <v>23</v>
      </c>
      <c r="H4869" s="7" t="s">
        <v>24</v>
      </c>
      <c r="I4869" s="7" t="s">
        <v>25</v>
      </c>
      <c r="J4869" s="13" t="str">
        <f>HYPERLINK("https://www.airitibooks.com/Detail/Detail?PublicationID=P20120604041", "https://www.airitibooks.com/Detail/Detail?PublicationID=P20120604041")</f>
        <v>https://www.airitibooks.com/Detail/Detail?PublicationID=P20120604041</v>
      </c>
      <c r="K4869" s="13" t="str">
        <f>HYPERLINK("https://ntsu.idm.oclc.org/login?url=https://www.airitibooks.com/Detail/Detail?PublicationID=P20120604041", "https://ntsu.idm.oclc.org/login?url=https://www.airitibooks.com/Detail/Detail?PublicationID=P20120604041")</f>
        <v>https://ntsu.idm.oclc.org/login?url=https://www.airitibooks.com/Detail/Detail?PublicationID=P20120604041</v>
      </c>
    </row>
    <row r="4870" spans="1:11" ht="51" x14ac:dyDescent="0.4">
      <c r="A4870" s="10" t="s">
        <v>300</v>
      </c>
      <c r="B4870" s="10" t="s">
        <v>301</v>
      </c>
      <c r="C4870" s="10" t="s">
        <v>297</v>
      </c>
      <c r="D4870" s="10" t="s">
        <v>298</v>
      </c>
      <c r="E4870" s="10" t="s">
        <v>103</v>
      </c>
      <c r="F4870" s="10" t="s">
        <v>299</v>
      </c>
      <c r="G4870" s="10" t="s">
        <v>23</v>
      </c>
      <c r="H4870" s="7" t="s">
        <v>24</v>
      </c>
      <c r="I4870" s="7" t="s">
        <v>25</v>
      </c>
      <c r="J4870" s="13" t="str">
        <f>HYPERLINK("https://www.airitibooks.com/Detail/Detail?PublicationID=P20120604042", "https://www.airitibooks.com/Detail/Detail?PublicationID=P20120604042")</f>
        <v>https://www.airitibooks.com/Detail/Detail?PublicationID=P20120604042</v>
      </c>
      <c r="K4870" s="13" t="str">
        <f>HYPERLINK("https://ntsu.idm.oclc.org/login?url=https://www.airitibooks.com/Detail/Detail?PublicationID=P20120604042", "https://ntsu.idm.oclc.org/login?url=https://www.airitibooks.com/Detail/Detail?PublicationID=P20120604042")</f>
        <v>https://ntsu.idm.oclc.org/login?url=https://www.airitibooks.com/Detail/Detail?PublicationID=P20120604042</v>
      </c>
    </row>
    <row r="4871" spans="1:11" ht="51" x14ac:dyDescent="0.4">
      <c r="A4871" s="10" t="s">
        <v>382</v>
      </c>
      <c r="B4871" s="10" t="s">
        <v>383</v>
      </c>
      <c r="C4871" s="10" t="s">
        <v>384</v>
      </c>
      <c r="D4871" s="10" t="s">
        <v>385</v>
      </c>
      <c r="E4871" s="10" t="s">
        <v>103</v>
      </c>
      <c r="F4871" s="10" t="s">
        <v>386</v>
      </c>
      <c r="G4871" s="10" t="s">
        <v>23</v>
      </c>
      <c r="H4871" s="7" t="s">
        <v>24</v>
      </c>
      <c r="I4871" s="7" t="s">
        <v>25</v>
      </c>
      <c r="J4871" s="13" t="str">
        <f>HYPERLINK("https://www.airitibooks.com/Detail/Detail?PublicationID=P20120910067", "https://www.airitibooks.com/Detail/Detail?PublicationID=P20120910067")</f>
        <v>https://www.airitibooks.com/Detail/Detail?PublicationID=P20120910067</v>
      </c>
      <c r="K4871" s="13" t="str">
        <f>HYPERLINK("https://ntsu.idm.oclc.org/login?url=https://www.airitibooks.com/Detail/Detail?PublicationID=P20120910067", "https://ntsu.idm.oclc.org/login?url=https://www.airitibooks.com/Detail/Detail?PublicationID=P20120910067")</f>
        <v>https://ntsu.idm.oclc.org/login?url=https://www.airitibooks.com/Detail/Detail?PublicationID=P20120910067</v>
      </c>
    </row>
    <row r="4872" spans="1:11" ht="51" x14ac:dyDescent="0.4">
      <c r="A4872" s="10" t="s">
        <v>390</v>
      </c>
      <c r="B4872" s="10" t="s">
        <v>391</v>
      </c>
      <c r="C4872" s="10" t="s">
        <v>384</v>
      </c>
      <c r="D4872" s="10" t="s">
        <v>392</v>
      </c>
      <c r="E4872" s="10" t="s">
        <v>103</v>
      </c>
      <c r="F4872" s="10" t="s">
        <v>394</v>
      </c>
      <c r="G4872" s="10" t="s">
        <v>23</v>
      </c>
      <c r="H4872" s="7" t="s">
        <v>24</v>
      </c>
      <c r="I4872" s="7" t="s">
        <v>25</v>
      </c>
      <c r="J4872" s="13" t="str">
        <f>HYPERLINK("https://www.airitibooks.com/Detail/Detail?PublicationID=P20120910081", "https://www.airitibooks.com/Detail/Detail?PublicationID=P20120910081")</f>
        <v>https://www.airitibooks.com/Detail/Detail?PublicationID=P20120910081</v>
      </c>
      <c r="K4872" s="13" t="str">
        <f>HYPERLINK("https://ntsu.idm.oclc.org/login?url=https://www.airitibooks.com/Detail/Detail?PublicationID=P20120910081", "https://ntsu.idm.oclc.org/login?url=https://www.airitibooks.com/Detail/Detail?PublicationID=P20120910081")</f>
        <v>https://ntsu.idm.oclc.org/login?url=https://www.airitibooks.com/Detail/Detail?PublicationID=P20120910081</v>
      </c>
    </row>
    <row r="4873" spans="1:11" ht="51" x14ac:dyDescent="0.4">
      <c r="A4873" s="10" t="s">
        <v>437</v>
      </c>
      <c r="B4873" s="10" t="s">
        <v>438</v>
      </c>
      <c r="C4873" s="10" t="s">
        <v>439</v>
      </c>
      <c r="D4873" s="10" t="s">
        <v>440</v>
      </c>
      <c r="E4873" s="10" t="s">
        <v>103</v>
      </c>
      <c r="F4873" s="10" t="s">
        <v>441</v>
      </c>
      <c r="G4873" s="10" t="s">
        <v>23</v>
      </c>
      <c r="H4873" s="7" t="s">
        <v>24</v>
      </c>
      <c r="I4873" s="7" t="s">
        <v>25</v>
      </c>
      <c r="J4873" s="13" t="str">
        <f>HYPERLINK("https://www.airitibooks.com/Detail/Detail?PublicationID=P20121105015", "https://www.airitibooks.com/Detail/Detail?PublicationID=P20121105015")</f>
        <v>https://www.airitibooks.com/Detail/Detail?PublicationID=P20121105015</v>
      </c>
      <c r="K4873" s="13" t="str">
        <f>HYPERLINK("https://ntsu.idm.oclc.org/login?url=https://www.airitibooks.com/Detail/Detail?PublicationID=P20121105015", "https://ntsu.idm.oclc.org/login?url=https://www.airitibooks.com/Detail/Detail?PublicationID=P20121105015")</f>
        <v>https://ntsu.idm.oclc.org/login?url=https://www.airitibooks.com/Detail/Detail?PublicationID=P20121105015</v>
      </c>
    </row>
    <row r="4874" spans="1:11" ht="51" x14ac:dyDescent="0.4">
      <c r="A4874" s="10" t="s">
        <v>542</v>
      </c>
      <c r="B4874" s="10" t="s">
        <v>543</v>
      </c>
      <c r="C4874" s="10" t="s">
        <v>544</v>
      </c>
      <c r="D4874" s="10" t="s">
        <v>545</v>
      </c>
      <c r="E4874" s="10" t="s">
        <v>103</v>
      </c>
      <c r="F4874" s="10" t="s">
        <v>546</v>
      </c>
      <c r="G4874" s="10" t="s">
        <v>23</v>
      </c>
      <c r="H4874" s="7" t="s">
        <v>24</v>
      </c>
      <c r="I4874" s="7" t="s">
        <v>25</v>
      </c>
      <c r="J4874" s="13" t="str">
        <f>HYPERLINK("https://www.airitibooks.com/Detail/Detail?PublicationID=P20130325067", "https://www.airitibooks.com/Detail/Detail?PublicationID=P20130325067")</f>
        <v>https://www.airitibooks.com/Detail/Detail?PublicationID=P20130325067</v>
      </c>
      <c r="K4874" s="13" t="str">
        <f>HYPERLINK("https://ntsu.idm.oclc.org/login?url=https://www.airitibooks.com/Detail/Detail?PublicationID=P20130325067", "https://ntsu.idm.oclc.org/login?url=https://www.airitibooks.com/Detail/Detail?PublicationID=P20130325067")</f>
        <v>https://ntsu.idm.oclc.org/login?url=https://www.airitibooks.com/Detail/Detail?PublicationID=P20130325067</v>
      </c>
    </row>
    <row r="4875" spans="1:11" ht="51" x14ac:dyDescent="0.4">
      <c r="A4875" s="10" t="s">
        <v>562</v>
      </c>
      <c r="B4875" s="10" t="s">
        <v>563</v>
      </c>
      <c r="C4875" s="10" t="s">
        <v>371</v>
      </c>
      <c r="D4875" s="10" t="s">
        <v>564</v>
      </c>
      <c r="E4875" s="10" t="s">
        <v>103</v>
      </c>
      <c r="F4875" s="10" t="s">
        <v>565</v>
      </c>
      <c r="G4875" s="10" t="s">
        <v>23</v>
      </c>
      <c r="H4875" s="7" t="s">
        <v>24</v>
      </c>
      <c r="I4875" s="7" t="s">
        <v>25</v>
      </c>
      <c r="J4875" s="13" t="str">
        <f>HYPERLINK("https://www.airitibooks.com/Detail/Detail?PublicationID=P20130415017", "https://www.airitibooks.com/Detail/Detail?PublicationID=P20130415017")</f>
        <v>https://www.airitibooks.com/Detail/Detail?PublicationID=P20130415017</v>
      </c>
      <c r="K4875" s="13" t="str">
        <f>HYPERLINK("https://ntsu.idm.oclc.org/login?url=https://www.airitibooks.com/Detail/Detail?PublicationID=P20130415017", "https://ntsu.idm.oclc.org/login?url=https://www.airitibooks.com/Detail/Detail?PublicationID=P20130415017")</f>
        <v>https://ntsu.idm.oclc.org/login?url=https://www.airitibooks.com/Detail/Detail?PublicationID=P20130415017</v>
      </c>
    </row>
    <row r="4876" spans="1:11" ht="51" x14ac:dyDescent="0.4">
      <c r="A4876" s="10" t="s">
        <v>678</v>
      </c>
      <c r="B4876" s="10" t="s">
        <v>679</v>
      </c>
      <c r="C4876" s="10" t="s">
        <v>680</v>
      </c>
      <c r="D4876" s="10" t="s">
        <v>681</v>
      </c>
      <c r="E4876" s="10" t="s">
        <v>103</v>
      </c>
      <c r="F4876" s="10" t="s">
        <v>250</v>
      </c>
      <c r="G4876" s="10" t="s">
        <v>23</v>
      </c>
      <c r="H4876" s="7" t="s">
        <v>24</v>
      </c>
      <c r="I4876" s="7" t="s">
        <v>25</v>
      </c>
      <c r="J4876" s="13" t="str">
        <f>HYPERLINK("https://www.airitibooks.com/Detail/Detail?PublicationID=P20130705034", "https://www.airitibooks.com/Detail/Detail?PublicationID=P20130705034")</f>
        <v>https://www.airitibooks.com/Detail/Detail?PublicationID=P20130705034</v>
      </c>
      <c r="K4876" s="13" t="str">
        <f>HYPERLINK("https://ntsu.idm.oclc.org/login?url=https://www.airitibooks.com/Detail/Detail?PublicationID=P20130705034", "https://ntsu.idm.oclc.org/login?url=https://www.airitibooks.com/Detail/Detail?PublicationID=P20130705034")</f>
        <v>https://ntsu.idm.oclc.org/login?url=https://www.airitibooks.com/Detail/Detail?PublicationID=P20130705034</v>
      </c>
    </row>
    <row r="4877" spans="1:11" ht="51" x14ac:dyDescent="0.4">
      <c r="A4877" s="10" t="s">
        <v>759</v>
      </c>
      <c r="B4877" s="10" t="s">
        <v>760</v>
      </c>
      <c r="C4877" s="10" t="s">
        <v>756</v>
      </c>
      <c r="D4877" s="10" t="s">
        <v>761</v>
      </c>
      <c r="E4877" s="10" t="s">
        <v>103</v>
      </c>
      <c r="F4877" s="10" t="s">
        <v>762</v>
      </c>
      <c r="G4877" s="10" t="s">
        <v>23</v>
      </c>
      <c r="H4877" s="7" t="s">
        <v>24</v>
      </c>
      <c r="I4877" s="7" t="s">
        <v>25</v>
      </c>
      <c r="J4877" s="13" t="str">
        <f>HYPERLINK("https://www.airitibooks.com/Detail/Detail?PublicationID=P20130829071", "https://www.airitibooks.com/Detail/Detail?PublicationID=P20130829071")</f>
        <v>https://www.airitibooks.com/Detail/Detail?PublicationID=P20130829071</v>
      </c>
      <c r="K4877" s="13" t="str">
        <f>HYPERLINK("https://ntsu.idm.oclc.org/login?url=https://www.airitibooks.com/Detail/Detail?PublicationID=P20130829071", "https://ntsu.idm.oclc.org/login?url=https://www.airitibooks.com/Detail/Detail?PublicationID=P20130829071")</f>
        <v>https://ntsu.idm.oclc.org/login?url=https://www.airitibooks.com/Detail/Detail?PublicationID=P20130829071</v>
      </c>
    </row>
    <row r="4878" spans="1:11" ht="51" x14ac:dyDescent="0.4">
      <c r="A4878" s="10" t="s">
        <v>767</v>
      </c>
      <c r="B4878" s="10" t="s">
        <v>768</v>
      </c>
      <c r="C4878" s="10" t="s">
        <v>756</v>
      </c>
      <c r="D4878" s="10" t="s">
        <v>769</v>
      </c>
      <c r="E4878" s="10" t="s">
        <v>103</v>
      </c>
      <c r="F4878" s="10" t="s">
        <v>762</v>
      </c>
      <c r="G4878" s="10" t="s">
        <v>23</v>
      </c>
      <c r="H4878" s="7" t="s">
        <v>24</v>
      </c>
      <c r="I4878" s="7" t="s">
        <v>25</v>
      </c>
      <c r="J4878" s="13" t="str">
        <f>HYPERLINK("https://www.airitibooks.com/Detail/Detail?PublicationID=P20130829075", "https://www.airitibooks.com/Detail/Detail?PublicationID=P20130829075")</f>
        <v>https://www.airitibooks.com/Detail/Detail?PublicationID=P20130829075</v>
      </c>
      <c r="K4878" s="13" t="str">
        <f>HYPERLINK("https://ntsu.idm.oclc.org/login?url=https://www.airitibooks.com/Detail/Detail?PublicationID=P20130829075", "https://ntsu.idm.oclc.org/login?url=https://www.airitibooks.com/Detail/Detail?PublicationID=P20130829075")</f>
        <v>https://ntsu.idm.oclc.org/login?url=https://www.airitibooks.com/Detail/Detail?PublicationID=P20130829075</v>
      </c>
    </row>
    <row r="4879" spans="1:11" ht="51" x14ac:dyDescent="0.4">
      <c r="A4879" s="10" t="s">
        <v>1964</v>
      </c>
      <c r="B4879" s="10" t="s">
        <v>1965</v>
      </c>
      <c r="C4879" s="10" t="s">
        <v>1966</v>
      </c>
      <c r="D4879" s="10" t="s">
        <v>1967</v>
      </c>
      <c r="E4879" s="10" t="s">
        <v>103</v>
      </c>
      <c r="F4879" s="10" t="s">
        <v>762</v>
      </c>
      <c r="G4879" s="10" t="s">
        <v>23</v>
      </c>
      <c r="H4879" s="7" t="s">
        <v>24</v>
      </c>
      <c r="I4879" s="7" t="s">
        <v>25</v>
      </c>
      <c r="J4879" s="13" t="str">
        <f>HYPERLINK("https://www.airitibooks.com/Detail/Detail?PublicationID=P20150206036", "https://www.airitibooks.com/Detail/Detail?PublicationID=P20150206036")</f>
        <v>https://www.airitibooks.com/Detail/Detail?PublicationID=P20150206036</v>
      </c>
      <c r="K4879" s="13" t="str">
        <f>HYPERLINK("https://ntsu.idm.oclc.org/login?url=https://www.airitibooks.com/Detail/Detail?PublicationID=P20150206036", "https://ntsu.idm.oclc.org/login?url=https://www.airitibooks.com/Detail/Detail?PublicationID=P20150206036")</f>
        <v>https://ntsu.idm.oclc.org/login?url=https://www.airitibooks.com/Detail/Detail?PublicationID=P20150206036</v>
      </c>
    </row>
    <row r="4880" spans="1:11" ht="51" x14ac:dyDescent="0.4">
      <c r="A4880" s="10" t="s">
        <v>2301</v>
      </c>
      <c r="B4880" s="10" t="s">
        <v>2302</v>
      </c>
      <c r="C4880" s="10" t="s">
        <v>2299</v>
      </c>
      <c r="D4880" s="10" t="s">
        <v>2300</v>
      </c>
      <c r="E4880" s="10" t="s">
        <v>103</v>
      </c>
      <c r="F4880" s="10" t="s">
        <v>720</v>
      </c>
      <c r="G4880" s="10" t="s">
        <v>23</v>
      </c>
      <c r="H4880" s="7" t="s">
        <v>24</v>
      </c>
      <c r="I4880" s="7" t="s">
        <v>25</v>
      </c>
      <c r="J4880" s="13" t="str">
        <f>HYPERLINK("https://www.airitibooks.com/Detail/Detail?PublicationID=P20150330017", "https://www.airitibooks.com/Detail/Detail?PublicationID=P20150330017")</f>
        <v>https://www.airitibooks.com/Detail/Detail?PublicationID=P20150330017</v>
      </c>
      <c r="K4880" s="13" t="str">
        <f>HYPERLINK("https://ntsu.idm.oclc.org/login?url=https://www.airitibooks.com/Detail/Detail?PublicationID=P20150330017", "https://ntsu.idm.oclc.org/login?url=https://www.airitibooks.com/Detail/Detail?PublicationID=P20150330017")</f>
        <v>https://ntsu.idm.oclc.org/login?url=https://www.airitibooks.com/Detail/Detail?PublicationID=P20150330017</v>
      </c>
    </row>
    <row r="4881" spans="1:11" ht="51" x14ac:dyDescent="0.4">
      <c r="A4881" s="10" t="s">
        <v>2322</v>
      </c>
      <c r="B4881" s="10" t="s">
        <v>2323</v>
      </c>
      <c r="C4881" s="10" t="s">
        <v>1982</v>
      </c>
      <c r="D4881" s="10" t="s">
        <v>2324</v>
      </c>
      <c r="E4881" s="10" t="s">
        <v>103</v>
      </c>
      <c r="F4881" s="10" t="s">
        <v>2325</v>
      </c>
      <c r="G4881" s="10" t="s">
        <v>23</v>
      </c>
      <c r="H4881" s="7" t="s">
        <v>24</v>
      </c>
      <c r="I4881" s="7" t="s">
        <v>25</v>
      </c>
      <c r="J4881" s="13" t="str">
        <f>HYPERLINK("https://www.airitibooks.com/Detail/Detail?PublicationID=P20150409021", "https://www.airitibooks.com/Detail/Detail?PublicationID=P20150409021")</f>
        <v>https://www.airitibooks.com/Detail/Detail?PublicationID=P20150409021</v>
      </c>
      <c r="K4881" s="13" t="str">
        <f>HYPERLINK("https://ntsu.idm.oclc.org/login?url=https://www.airitibooks.com/Detail/Detail?PublicationID=P20150409021", "https://ntsu.idm.oclc.org/login?url=https://www.airitibooks.com/Detail/Detail?PublicationID=P20150409021")</f>
        <v>https://ntsu.idm.oclc.org/login?url=https://www.airitibooks.com/Detail/Detail?PublicationID=P20150409021</v>
      </c>
    </row>
    <row r="4882" spans="1:11" ht="51" x14ac:dyDescent="0.4">
      <c r="A4882" s="10" t="s">
        <v>3249</v>
      </c>
      <c r="B4882" s="10" t="s">
        <v>3250</v>
      </c>
      <c r="C4882" s="10" t="s">
        <v>3213</v>
      </c>
      <c r="D4882" s="10" t="s">
        <v>3251</v>
      </c>
      <c r="E4882" s="10" t="s">
        <v>103</v>
      </c>
      <c r="F4882" s="10" t="s">
        <v>762</v>
      </c>
      <c r="G4882" s="10" t="s">
        <v>23</v>
      </c>
      <c r="H4882" s="7" t="s">
        <v>24</v>
      </c>
      <c r="I4882" s="7" t="s">
        <v>25</v>
      </c>
      <c r="J4882" s="13" t="str">
        <f>HYPERLINK("https://www.airitibooks.com/Detail/Detail?PublicationID=P20150821011", "https://www.airitibooks.com/Detail/Detail?PublicationID=P20150821011")</f>
        <v>https://www.airitibooks.com/Detail/Detail?PublicationID=P20150821011</v>
      </c>
      <c r="K4882" s="13" t="str">
        <f>HYPERLINK("https://ntsu.idm.oclc.org/login?url=https://www.airitibooks.com/Detail/Detail?PublicationID=P20150821011", "https://ntsu.idm.oclc.org/login?url=https://www.airitibooks.com/Detail/Detail?PublicationID=P20150821011")</f>
        <v>https://ntsu.idm.oclc.org/login?url=https://www.airitibooks.com/Detail/Detail?PublicationID=P20150821011</v>
      </c>
    </row>
    <row r="4883" spans="1:11" ht="51" x14ac:dyDescent="0.4">
      <c r="A4883" s="10" t="s">
        <v>4630</v>
      </c>
      <c r="B4883" s="10" t="s">
        <v>4631</v>
      </c>
      <c r="C4883" s="10" t="s">
        <v>4628</v>
      </c>
      <c r="D4883" s="10" t="s">
        <v>4632</v>
      </c>
      <c r="E4883" s="10" t="s">
        <v>103</v>
      </c>
      <c r="F4883" s="10" t="s">
        <v>4633</v>
      </c>
      <c r="G4883" s="10" t="s">
        <v>23</v>
      </c>
      <c r="H4883" s="7" t="s">
        <v>24</v>
      </c>
      <c r="I4883" s="7" t="s">
        <v>25</v>
      </c>
      <c r="J4883" s="13" t="str">
        <f>HYPERLINK("https://www.airitibooks.com/Detail/Detail?PublicationID=P20160531017", "https://www.airitibooks.com/Detail/Detail?PublicationID=P20160531017")</f>
        <v>https://www.airitibooks.com/Detail/Detail?PublicationID=P20160531017</v>
      </c>
      <c r="K4883" s="13" t="str">
        <f>HYPERLINK("https://ntsu.idm.oclc.org/login?url=https://www.airitibooks.com/Detail/Detail?PublicationID=P20160531017", "https://ntsu.idm.oclc.org/login?url=https://www.airitibooks.com/Detail/Detail?PublicationID=P20160531017")</f>
        <v>https://ntsu.idm.oclc.org/login?url=https://www.airitibooks.com/Detail/Detail?PublicationID=P20160531017</v>
      </c>
    </row>
    <row r="4884" spans="1:11" ht="51" x14ac:dyDescent="0.4">
      <c r="A4884" s="10" t="s">
        <v>5106</v>
      </c>
      <c r="B4884" s="10" t="s">
        <v>5107</v>
      </c>
      <c r="C4884" s="10" t="s">
        <v>3208</v>
      </c>
      <c r="D4884" s="10" t="s">
        <v>5108</v>
      </c>
      <c r="E4884" s="10" t="s">
        <v>103</v>
      </c>
      <c r="F4884" s="10" t="s">
        <v>3719</v>
      </c>
      <c r="G4884" s="10" t="s">
        <v>23</v>
      </c>
      <c r="H4884" s="7" t="s">
        <v>24</v>
      </c>
      <c r="I4884" s="7" t="s">
        <v>25</v>
      </c>
      <c r="J4884" s="13" t="str">
        <f>HYPERLINK("https://www.airitibooks.com/Detail/Detail?PublicationID=P20160806204", "https://www.airitibooks.com/Detail/Detail?PublicationID=P20160806204")</f>
        <v>https://www.airitibooks.com/Detail/Detail?PublicationID=P20160806204</v>
      </c>
      <c r="K4884" s="13" t="str">
        <f>HYPERLINK("https://ntsu.idm.oclc.org/login?url=https://www.airitibooks.com/Detail/Detail?PublicationID=P20160806204", "https://ntsu.idm.oclc.org/login?url=https://www.airitibooks.com/Detail/Detail?PublicationID=P20160806204")</f>
        <v>https://ntsu.idm.oclc.org/login?url=https://www.airitibooks.com/Detail/Detail?PublicationID=P20160806204</v>
      </c>
    </row>
    <row r="4885" spans="1:11" ht="51" x14ac:dyDescent="0.4">
      <c r="A4885" s="10" t="s">
        <v>5630</v>
      </c>
      <c r="B4885" s="10" t="s">
        <v>5631</v>
      </c>
      <c r="C4885" s="10" t="s">
        <v>707</v>
      </c>
      <c r="D4885" s="10" t="s">
        <v>5632</v>
      </c>
      <c r="E4885" s="10" t="s">
        <v>103</v>
      </c>
      <c r="F4885" s="10" t="s">
        <v>5633</v>
      </c>
      <c r="G4885" s="10" t="s">
        <v>23</v>
      </c>
      <c r="H4885" s="7" t="s">
        <v>1467</v>
      </c>
      <c r="I4885" s="7" t="s">
        <v>25</v>
      </c>
      <c r="J4885" s="13" t="str">
        <f>HYPERLINK("https://www.airitibooks.com/Detail/Detail?PublicationID=P20161014002", "https://www.airitibooks.com/Detail/Detail?PublicationID=P20161014002")</f>
        <v>https://www.airitibooks.com/Detail/Detail?PublicationID=P20161014002</v>
      </c>
      <c r="K4885" s="13" t="str">
        <f>HYPERLINK("https://ntsu.idm.oclc.org/login?url=https://www.airitibooks.com/Detail/Detail?PublicationID=P20161014002", "https://ntsu.idm.oclc.org/login?url=https://www.airitibooks.com/Detail/Detail?PublicationID=P20161014002")</f>
        <v>https://ntsu.idm.oclc.org/login?url=https://www.airitibooks.com/Detail/Detail?PublicationID=P20161014002</v>
      </c>
    </row>
    <row r="4886" spans="1:11" ht="51" x14ac:dyDescent="0.4">
      <c r="A4886" s="10" t="s">
        <v>5673</v>
      </c>
      <c r="B4886" s="10" t="s">
        <v>5674</v>
      </c>
      <c r="C4886" s="10" t="s">
        <v>707</v>
      </c>
      <c r="D4886" s="10" t="s">
        <v>5675</v>
      </c>
      <c r="E4886" s="10" t="s">
        <v>103</v>
      </c>
      <c r="F4886" s="10" t="s">
        <v>720</v>
      </c>
      <c r="G4886" s="10" t="s">
        <v>23</v>
      </c>
      <c r="H4886" s="7" t="s">
        <v>24</v>
      </c>
      <c r="I4886" s="7" t="s">
        <v>25</v>
      </c>
      <c r="J4886" s="13" t="str">
        <f>HYPERLINK("https://www.airitibooks.com/Detail/Detail?PublicationID=P20161130030", "https://www.airitibooks.com/Detail/Detail?PublicationID=P20161130030")</f>
        <v>https://www.airitibooks.com/Detail/Detail?PublicationID=P20161130030</v>
      </c>
      <c r="K4886" s="13" t="str">
        <f>HYPERLINK("https://ntsu.idm.oclc.org/login?url=https://www.airitibooks.com/Detail/Detail?PublicationID=P20161130030", "https://ntsu.idm.oclc.org/login?url=https://www.airitibooks.com/Detail/Detail?PublicationID=P20161130030")</f>
        <v>https://ntsu.idm.oclc.org/login?url=https://www.airitibooks.com/Detail/Detail?PublicationID=P20161130030</v>
      </c>
    </row>
    <row r="4887" spans="1:11" ht="51" x14ac:dyDescent="0.4">
      <c r="A4887" s="10" t="s">
        <v>6417</v>
      </c>
      <c r="B4887" s="10" t="s">
        <v>6418</v>
      </c>
      <c r="C4887" s="10" t="s">
        <v>707</v>
      </c>
      <c r="D4887" s="10" t="s">
        <v>6419</v>
      </c>
      <c r="E4887" s="10" t="s">
        <v>103</v>
      </c>
      <c r="F4887" s="10" t="s">
        <v>214</v>
      </c>
      <c r="G4887" s="10" t="s">
        <v>23</v>
      </c>
      <c r="H4887" s="7" t="s">
        <v>24</v>
      </c>
      <c r="I4887" s="7" t="s">
        <v>25</v>
      </c>
      <c r="J4887" s="13" t="str">
        <f>HYPERLINK("https://www.airitibooks.com/Detail/Detail?PublicationID=P20170411071", "https://www.airitibooks.com/Detail/Detail?PublicationID=P20170411071")</f>
        <v>https://www.airitibooks.com/Detail/Detail?PublicationID=P20170411071</v>
      </c>
      <c r="K4887" s="13" t="str">
        <f>HYPERLINK("https://ntsu.idm.oclc.org/login?url=https://www.airitibooks.com/Detail/Detail?PublicationID=P20170411071", "https://ntsu.idm.oclc.org/login?url=https://www.airitibooks.com/Detail/Detail?PublicationID=P20170411071")</f>
        <v>https://ntsu.idm.oclc.org/login?url=https://www.airitibooks.com/Detail/Detail?PublicationID=P20170411071</v>
      </c>
    </row>
    <row r="4888" spans="1:11" ht="51" x14ac:dyDescent="0.4">
      <c r="A4888" s="10" t="s">
        <v>455</v>
      </c>
      <c r="B4888" s="10" t="s">
        <v>456</v>
      </c>
      <c r="C4888" s="10" t="s">
        <v>457</v>
      </c>
      <c r="D4888" s="10" t="s">
        <v>458</v>
      </c>
      <c r="E4888" s="10" t="s">
        <v>103</v>
      </c>
      <c r="F4888" s="10" t="s">
        <v>459</v>
      </c>
      <c r="G4888" s="10" t="s">
        <v>32</v>
      </c>
      <c r="H4888" s="7" t="s">
        <v>24</v>
      </c>
      <c r="I4888" s="7" t="s">
        <v>25</v>
      </c>
      <c r="J4888" s="13" t="str">
        <f>HYPERLINK("https://www.airitibooks.com/Detail/Detail?PublicationID=P20121115147", "https://www.airitibooks.com/Detail/Detail?PublicationID=P20121115147")</f>
        <v>https://www.airitibooks.com/Detail/Detail?PublicationID=P20121115147</v>
      </c>
      <c r="K4888" s="13" t="str">
        <f>HYPERLINK("https://ntsu.idm.oclc.org/login?url=https://www.airitibooks.com/Detail/Detail?PublicationID=P20121115147", "https://ntsu.idm.oclc.org/login?url=https://www.airitibooks.com/Detail/Detail?PublicationID=P20121115147")</f>
        <v>https://ntsu.idm.oclc.org/login?url=https://www.airitibooks.com/Detail/Detail?PublicationID=P20121115147</v>
      </c>
    </row>
    <row r="4889" spans="1:11" ht="68" x14ac:dyDescent="0.4">
      <c r="A4889" s="10" t="s">
        <v>594</v>
      </c>
      <c r="B4889" s="10" t="s">
        <v>595</v>
      </c>
      <c r="C4889" s="10" t="s">
        <v>578</v>
      </c>
      <c r="D4889" s="10" t="s">
        <v>596</v>
      </c>
      <c r="E4889" s="10" t="s">
        <v>103</v>
      </c>
      <c r="F4889" s="10" t="s">
        <v>597</v>
      </c>
      <c r="G4889" s="10" t="s">
        <v>32</v>
      </c>
      <c r="H4889" s="7" t="s">
        <v>24</v>
      </c>
      <c r="I4889" s="7" t="s">
        <v>25</v>
      </c>
      <c r="J4889" s="13" t="str">
        <f>HYPERLINK("https://www.airitibooks.com/Detail/Detail?PublicationID=P20130419147", "https://www.airitibooks.com/Detail/Detail?PublicationID=P20130419147")</f>
        <v>https://www.airitibooks.com/Detail/Detail?PublicationID=P20130419147</v>
      </c>
      <c r="K4889" s="13" t="str">
        <f>HYPERLINK("https://ntsu.idm.oclc.org/login?url=https://www.airitibooks.com/Detail/Detail?PublicationID=P20130419147", "https://ntsu.idm.oclc.org/login?url=https://www.airitibooks.com/Detail/Detail?PublicationID=P20130419147")</f>
        <v>https://ntsu.idm.oclc.org/login?url=https://www.airitibooks.com/Detail/Detail?PublicationID=P20130419147</v>
      </c>
    </row>
    <row r="4890" spans="1:11" ht="68" x14ac:dyDescent="0.4">
      <c r="A4890" s="10" t="s">
        <v>603</v>
      </c>
      <c r="B4890" s="10" t="s">
        <v>604</v>
      </c>
      <c r="C4890" s="10" t="s">
        <v>578</v>
      </c>
      <c r="D4890" s="10" t="s">
        <v>600</v>
      </c>
      <c r="E4890" s="10" t="s">
        <v>103</v>
      </c>
      <c r="F4890" s="10" t="s">
        <v>274</v>
      </c>
      <c r="G4890" s="10" t="s">
        <v>32</v>
      </c>
      <c r="H4890" s="7" t="s">
        <v>24</v>
      </c>
      <c r="I4890" s="7" t="s">
        <v>25</v>
      </c>
      <c r="J4890" s="13" t="str">
        <f>HYPERLINK("https://www.airitibooks.com/Detail/Detail?PublicationID=P20130419152", "https://www.airitibooks.com/Detail/Detail?PublicationID=P20130419152")</f>
        <v>https://www.airitibooks.com/Detail/Detail?PublicationID=P20130419152</v>
      </c>
      <c r="K4890" s="13" t="str">
        <f>HYPERLINK("https://ntsu.idm.oclc.org/login?url=https://www.airitibooks.com/Detail/Detail?PublicationID=P20130419152", "https://ntsu.idm.oclc.org/login?url=https://www.airitibooks.com/Detail/Detail?PublicationID=P20130419152")</f>
        <v>https://ntsu.idm.oclc.org/login?url=https://www.airitibooks.com/Detail/Detail?PublicationID=P20130419152</v>
      </c>
    </row>
    <row r="4891" spans="1:11" ht="51" x14ac:dyDescent="0.4">
      <c r="A4891" s="10" t="s">
        <v>644</v>
      </c>
      <c r="B4891" s="10" t="s">
        <v>645</v>
      </c>
      <c r="C4891" s="10" t="s">
        <v>264</v>
      </c>
      <c r="D4891" s="10" t="s">
        <v>646</v>
      </c>
      <c r="E4891" s="10" t="s">
        <v>103</v>
      </c>
      <c r="F4891" s="10" t="s">
        <v>647</v>
      </c>
      <c r="G4891" s="10" t="s">
        <v>32</v>
      </c>
      <c r="H4891" s="7" t="s">
        <v>24</v>
      </c>
      <c r="I4891" s="7" t="s">
        <v>25</v>
      </c>
      <c r="J4891" s="13" t="str">
        <f>HYPERLINK("https://www.airitibooks.com/Detail/Detail?PublicationID=P20130531095", "https://www.airitibooks.com/Detail/Detail?PublicationID=P20130531095")</f>
        <v>https://www.airitibooks.com/Detail/Detail?PublicationID=P20130531095</v>
      </c>
      <c r="K4891" s="13" t="str">
        <f>HYPERLINK("https://ntsu.idm.oclc.org/login?url=https://www.airitibooks.com/Detail/Detail?PublicationID=P20130531095", "https://ntsu.idm.oclc.org/login?url=https://www.airitibooks.com/Detail/Detail?PublicationID=P20130531095")</f>
        <v>https://ntsu.idm.oclc.org/login?url=https://www.airitibooks.com/Detail/Detail?PublicationID=P20130531095</v>
      </c>
    </row>
    <row r="4892" spans="1:11" ht="51" x14ac:dyDescent="0.4">
      <c r="A4892" s="10" t="s">
        <v>655</v>
      </c>
      <c r="B4892" s="10" t="s">
        <v>656</v>
      </c>
      <c r="C4892" s="10" t="s">
        <v>462</v>
      </c>
      <c r="D4892" s="10" t="s">
        <v>657</v>
      </c>
      <c r="E4892" s="10" t="s">
        <v>103</v>
      </c>
      <c r="F4892" s="10" t="s">
        <v>658</v>
      </c>
      <c r="G4892" s="10" t="s">
        <v>32</v>
      </c>
      <c r="H4892" s="7" t="s">
        <v>24</v>
      </c>
      <c r="I4892" s="7" t="s">
        <v>25</v>
      </c>
      <c r="J4892" s="13" t="str">
        <f>HYPERLINK("https://www.airitibooks.com/Detail/Detail?PublicationID=P20130606090", "https://www.airitibooks.com/Detail/Detail?PublicationID=P20130606090")</f>
        <v>https://www.airitibooks.com/Detail/Detail?PublicationID=P20130606090</v>
      </c>
      <c r="K4892" s="13" t="str">
        <f>HYPERLINK("https://ntsu.idm.oclc.org/login?url=https://www.airitibooks.com/Detail/Detail?PublicationID=P20130606090", "https://ntsu.idm.oclc.org/login?url=https://www.airitibooks.com/Detail/Detail?PublicationID=P20130606090")</f>
        <v>https://ntsu.idm.oclc.org/login?url=https://www.airitibooks.com/Detail/Detail?PublicationID=P20130606090</v>
      </c>
    </row>
    <row r="4893" spans="1:11" ht="51" x14ac:dyDescent="0.4">
      <c r="A4893" s="10" t="s">
        <v>778</v>
      </c>
      <c r="B4893" s="10" t="s">
        <v>779</v>
      </c>
      <c r="C4893" s="10" t="s">
        <v>772</v>
      </c>
      <c r="D4893" s="10" t="s">
        <v>780</v>
      </c>
      <c r="E4893" s="10" t="s">
        <v>103</v>
      </c>
      <c r="F4893" s="10" t="s">
        <v>781</v>
      </c>
      <c r="G4893" s="10" t="s">
        <v>32</v>
      </c>
      <c r="H4893" s="7" t="s">
        <v>24</v>
      </c>
      <c r="I4893" s="7" t="s">
        <v>25</v>
      </c>
      <c r="J4893" s="13" t="str">
        <f>HYPERLINK("https://www.airitibooks.com/Detail/Detail?PublicationID=P20130830065", "https://www.airitibooks.com/Detail/Detail?PublicationID=P20130830065")</f>
        <v>https://www.airitibooks.com/Detail/Detail?PublicationID=P20130830065</v>
      </c>
      <c r="K4893" s="13" t="str">
        <f>HYPERLINK("https://ntsu.idm.oclc.org/login?url=https://www.airitibooks.com/Detail/Detail?PublicationID=P20130830065", "https://ntsu.idm.oclc.org/login?url=https://www.airitibooks.com/Detail/Detail?PublicationID=P20130830065")</f>
        <v>https://ntsu.idm.oclc.org/login?url=https://www.airitibooks.com/Detail/Detail?PublicationID=P20130830065</v>
      </c>
    </row>
    <row r="4894" spans="1:11" ht="51" x14ac:dyDescent="0.4">
      <c r="A4894" s="10" t="s">
        <v>983</v>
      </c>
      <c r="B4894" s="10" t="s">
        <v>984</v>
      </c>
      <c r="C4894" s="10" t="s">
        <v>985</v>
      </c>
      <c r="D4894" s="10" t="s">
        <v>986</v>
      </c>
      <c r="E4894" s="10" t="s">
        <v>103</v>
      </c>
      <c r="F4894" s="10" t="s">
        <v>987</v>
      </c>
      <c r="G4894" s="10" t="s">
        <v>32</v>
      </c>
      <c r="H4894" s="7" t="s">
        <v>24</v>
      </c>
      <c r="I4894" s="7" t="s">
        <v>25</v>
      </c>
      <c r="J4894" s="13" t="str">
        <f>HYPERLINK("https://www.airitibooks.com/Detail/Detail?PublicationID=P20131101003", "https://www.airitibooks.com/Detail/Detail?PublicationID=P20131101003")</f>
        <v>https://www.airitibooks.com/Detail/Detail?PublicationID=P20131101003</v>
      </c>
      <c r="K4894" s="13" t="str">
        <f>HYPERLINK("https://ntsu.idm.oclc.org/login?url=https://www.airitibooks.com/Detail/Detail?PublicationID=P20131101003", "https://ntsu.idm.oclc.org/login?url=https://www.airitibooks.com/Detail/Detail?PublicationID=P20131101003")</f>
        <v>https://ntsu.idm.oclc.org/login?url=https://www.airitibooks.com/Detail/Detail?PublicationID=P20131101003</v>
      </c>
    </row>
    <row r="4895" spans="1:11" ht="51" x14ac:dyDescent="0.4">
      <c r="A4895" s="10" t="s">
        <v>1752</v>
      </c>
      <c r="B4895" s="10" t="s">
        <v>1753</v>
      </c>
      <c r="C4895" s="10" t="s">
        <v>1749</v>
      </c>
      <c r="D4895" s="10" t="s">
        <v>1754</v>
      </c>
      <c r="E4895" s="10" t="s">
        <v>103</v>
      </c>
      <c r="F4895" s="10" t="s">
        <v>1755</v>
      </c>
      <c r="G4895" s="10" t="s">
        <v>32</v>
      </c>
      <c r="H4895" s="7" t="s">
        <v>24</v>
      </c>
      <c r="I4895" s="7" t="s">
        <v>25</v>
      </c>
      <c r="J4895" s="13" t="str">
        <f>HYPERLINK("https://www.airitibooks.com/Detail/Detail?PublicationID=P20141211090", "https://www.airitibooks.com/Detail/Detail?PublicationID=P20141211090")</f>
        <v>https://www.airitibooks.com/Detail/Detail?PublicationID=P20141211090</v>
      </c>
      <c r="K4895" s="13" t="str">
        <f>HYPERLINK("https://ntsu.idm.oclc.org/login?url=https://www.airitibooks.com/Detail/Detail?PublicationID=P20141211090", "https://ntsu.idm.oclc.org/login?url=https://www.airitibooks.com/Detail/Detail?PublicationID=P20141211090")</f>
        <v>https://ntsu.idm.oclc.org/login?url=https://www.airitibooks.com/Detail/Detail?PublicationID=P20141211090</v>
      </c>
    </row>
    <row r="4896" spans="1:11" ht="68" x14ac:dyDescent="0.4">
      <c r="A4896" s="10" t="s">
        <v>1781</v>
      </c>
      <c r="B4896" s="10" t="s">
        <v>1782</v>
      </c>
      <c r="C4896" s="10" t="s">
        <v>1763</v>
      </c>
      <c r="D4896" s="10" t="s">
        <v>1783</v>
      </c>
      <c r="E4896" s="10" t="s">
        <v>103</v>
      </c>
      <c r="F4896" s="10" t="s">
        <v>1556</v>
      </c>
      <c r="G4896" s="10" t="s">
        <v>32</v>
      </c>
      <c r="H4896" s="7" t="s">
        <v>24</v>
      </c>
      <c r="I4896" s="7" t="s">
        <v>25</v>
      </c>
      <c r="J4896" s="13" t="str">
        <f>HYPERLINK("https://www.airitibooks.com/Detail/Detail?PublicationID=P20141211115", "https://www.airitibooks.com/Detail/Detail?PublicationID=P20141211115")</f>
        <v>https://www.airitibooks.com/Detail/Detail?PublicationID=P20141211115</v>
      </c>
      <c r="K4896" s="13" t="str">
        <f>HYPERLINK("https://ntsu.idm.oclc.org/login?url=https://www.airitibooks.com/Detail/Detail?PublicationID=P20141211115", "https://ntsu.idm.oclc.org/login?url=https://www.airitibooks.com/Detail/Detail?PublicationID=P20141211115")</f>
        <v>https://ntsu.idm.oclc.org/login?url=https://www.airitibooks.com/Detail/Detail?PublicationID=P20141211115</v>
      </c>
    </row>
    <row r="4897" spans="1:11" ht="68" x14ac:dyDescent="0.4">
      <c r="A4897" s="10" t="s">
        <v>1954</v>
      </c>
      <c r="B4897" s="10" t="s">
        <v>1955</v>
      </c>
      <c r="C4897" s="10" t="s">
        <v>1956</v>
      </c>
      <c r="D4897" s="10" t="s">
        <v>1957</v>
      </c>
      <c r="E4897" s="10" t="s">
        <v>103</v>
      </c>
      <c r="F4897" s="10" t="s">
        <v>1903</v>
      </c>
      <c r="G4897" s="10" t="s">
        <v>32</v>
      </c>
      <c r="H4897" s="7" t="s">
        <v>24</v>
      </c>
      <c r="I4897" s="7" t="s">
        <v>25</v>
      </c>
      <c r="J4897" s="13" t="str">
        <f>HYPERLINK("https://www.airitibooks.com/Detail/Detail?PublicationID=P20150205106", "https://www.airitibooks.com/Detail/Detail?PublicationID=P20150205106")</f>
        <v>https://www.airitibooks.com/Detail/Detail?PublicationID=P20150205106</v>
      </c>
      <c r="K4897" s="13" t="str">
        <f>HYPERLINK("https://ntsu.idm.oclc.org/login?url=https://www.airitibooks.com/Detail/Detail?PublicationID=P20150205106", "https://ntsu.idm.oclc.org/login?url=https://www.airitibooks.com/Detail/Detail?PublicationID=P20150205106")</f>
        <v>https://ntsu.idm.oclc.org/login?url=https://www.airitibooks.com/Detail/Detail?PublicationID=P20150205106</v>
      </c>
    </row>
    <row r="4898" spans="1:11" ht="51" x14ac:dyDescent="0.4">
      <c r="A4898" s="10" t="s">
        <v>2594</v>
      </c>
      <c r="B4898" s="10" t="s">
        <v>2595</v>
      </c>
      <c r="C4898" s="10" t="s">
        <v>2596</v>
      </c>
      <c r="D4898" s="10" t="s">
        <v>2597</v>
      </c>
      <c r="E4898" s="10" t="s">
        <v>103</v>
      </c>
      <c r="F4898" s="10" t="s">
        <v>149</v>
      </c>
      <c r="G4898" s="10" t="s">
        <v>32</v>
      </c>
      <c r="H4898" s="7" t="s">
        <v>24</v>
      </c>
      <c r="I4898" s="7" t="s">
        <v>25</v>
      </c>
      <c r="J4898" s="13" t="str">
        <f>HYPERLINK("https://www.airitibooks.com/Detail/Detail?PublicationID=P20150522012", "https://www.airitibooks.com/Detail/Detail?PublicationID=P20150522012")</f>
        <v>https://www.airitibooks.com/Detail/Detail?PublicationID=P20150522012</v>
      </c>
      <c r="K4898" s="13" t="str">
        <f>HYPERLINK("https://ntsu.idm.oclc.org/login?url=https://www.airitibooks.com/Detail/Detail?PublicationID=P20150522012", "https://ntsu.idm.oclc.org/login?url=https://www.airitibooks.com/Detail/Detail?PublicationID=P20150522012")</f>
        <v>https://ntsu.idm.oclc.org/login?url=https://www.airitibooks.com/Detail/Detail?PublicationID=P20150522012</v>
      </c>
    </row>
    <row r="4899" spans="1:11" ht="51" x14ac:dyDescent="0.4">
      <c r="A4899" s="10" t="s">
        <v>2625</v>
      </c>
      <c r="B4899" s="10" t="s">
        <v>2626</v>
      </c>
      <c r="C4899" s="10" t="s">
        <v>2596</v>
      </c>
      <c r="D4899" s="10" t="s">
        <v>2627</v>
      </c>
      <c r="E4899" s="10" t="s">
        <v>103</v>
      </c>
      <c r="F4899" s="10" t="s">
        <v>2628</v>
      </c>
      <c r="G4899" s="10" t="s">
        <v>32</v>
      </c>
      <c r="H4899" s="7" t="s">
        <v>24</v>
      </c>
      <c r="I4899" s="7" t="s">
        <v>25</v>
      </c>
      <c r="J4899" s="13" t="str">
        <f>HYPERLINK("https://www.airitibooks.com/Detail/Detail?PublicationID=P20150601054", "https://www.airitibooks.com/Detail/Detail?PublicationID=P20150601054")</f>
        <v>https://www.airitibooks.com/Detail/Detail?PublicationID=P20150601054</v>
      </c>
      <c r="K4899" s="13" t="str">
        <f>HYPERLINK("https://ntsu.idm.oclc.org/login?url=https://www.airitibooks.com/Detail/Detail?PublicationID=P20150601054", "https://ntsu.idm.oclc.org/login?url=https://www.airitibooks.com/Detail/Detail?PublicationID=P20150601054")</f>
        <v>https://ntsu.idm.oclc.org/login?url=https://www.airitibooks.com/Detail/Detail?PublicationID=P20150601054</v>
      </c>
    </row>
    <row r="4900" spans="1:11" ht="51" x14ac:dyDescent="0.4">
      <c r="A4900" s="10" t="s">
        <v>3406</v>
      </c>
      <c r="B4900" s="10" t="s">
        <v>3407</v>
      </c>
      <c r="C4900" s="10" t="s">
        <v>147</v>
      </c>
      <c r="D4900" s="10" t="s">
        <v>3408</v>
      </c>
      <c r="E4900" s="10" t="s">
        <v>103</v>
      </c>
      <c r="F4900" s="10" t="s">
        <v>1135</v>
      </c>
      <c r="G4900" s="10" t="s">
        <v>32</v>
      </c>
      <c r="H4900" s="7" t="s">
        <v>24</v>
      </c>
      <c r="I4900" s="7" t="s">
        <v>25</v>
      </c>
      <c r="J4900" s="13" t="str">
        <f>HYPERLINK("https://www.airitibooks.com/Detail/Detail?PublicationID=P20150915082", "https://www.airitibooks.com/Detail/Detail?PublicationID=P20150915082")</f>
        <v>https://www.airitibooks.com/Detail/Detail?PublicationID=P20150915082</v>
      </c>
      <c r="K4900" s="13" t="str">
        <f>HYPERLINK("https://ntsu.idm.oclc.org/login?url=https://www.airitibooks.com/Detail/Detail?PublicationID=P20150915082", "https://ntsu.idm.oclc.org/login?url=https://www.airitibooks.com/Detail/Detail?PublicationID=P20150915082")</f>
        <v>https://ntsu.idm.oclc.org/login?url=https://www.airitibooks.com/Detail/Detail?PublicationID=P20150915082</v>
      </c>
    </row>
    <row r="4901" spans="1:11" ht="51" x14ac:dyDescent="0.4">
      <c r="A4901" s="10" t="s">
        <v>4905</v>
      </c>
      <c r="B4901" s="10" t="s">
        <v>4906</v>
      </c>
      <c r="C4901" s="10" t="s">
        <v>4903</v>
      </c>
      <c r="D4901" s="10" t="s">
        <v>4907</v>
      </c>
      <c r="E4901" s="10" t="s">
        <v>103</v>
      </c>
      <c r="F4901" s="10" t="s">
        <v>1556</v>
      </c>
      <c r="G4901" s="10" t="s">
        <v>32</v>
      </c>
      <c r="H4901" s="7" t="s">
        <v>24</v>
      </c>
      <c r="I4901" s="7" t="s">
        <v>25</v>
      </c>
      <c r="J4901" s="13" t="str">
        <f>HYPERLINK("https://www.airitibooks.com/Detail/Detail?PublicationID=P20160715204", "https://www.airitibooks.com/Detail/Detail?PublicationID=P20160715204")</f>
        <v>https://www.airitibooks.com/Detail/Detail?PublicationID=P20160715204</v>
      </c>
      <c r="K4901" s="13" t="str">
        <f>HYPERLINK("https://ntsu.idm.oclc.org/login?url=https://www.airitibooks.com/Detail/Detail?PublicationID=P20160715204", "https://ntsu.idm.oclc.org/login?url=https://www.airitibooks.com/Detail/Detail?PublicationID=P20160715204")</f>
        <v>https://ntsu.idm.oclc.org/login?url=https://www.airitibooks.com/Detail/Detail?PublicationID=P20160715204</v>
      </c>
    </row>
    <row r="4902" spans="1:11" ht="51" x14ac:dyDescent="0.4">
      <c r="A4902" s="10" t="s">
        <v>4908</v>
      </c>
      <c r="B4902" s="10" t="s">
        <v>4909</v>
      </c>
      <c r="C4902" s="10" t="s">
        <v>4903</v>
      </c>
      <c r="D4902" s="10" t="s">
        <v>4907</v>
      </c>
      <c r="E4902" s="10" t="s">
        <v>103</v>
      </c>
      <c r="F4902" s="10" t="s">
        <v>1556</v>
      </c>
      <c r="G4902" s="10" t="s">
        <v>32</v>
      </c>
      <c r="H4902" s="7" t="s">
        <v>24</v>
      </c>
      <c r="I4902" s="7" t="s">
        <v>25</v>
      </c>
      <c r="J4902" s="13" t="str">
        <f>HYPERLINK("https://www.airitibooks.com/Detail/Detail?PublicationID=P20160715206", "https://www.airitibooks.com/Detail/Detail?PublicationID=P20160715206")</f>
        <v>https://www.airitibooks.com/Detail/Detail?PublicationID=P20160715206</v>
      </c>
      <c r="K4902" s="13" t="str">
        <f>HYPERLINK("https://ntsu.idm.oclc.org/login?url=https://www.airitibooks.com/Detail/Detail?PublicationID=P20160715206", "https://ntsu.idm.oclc.org/login?url=https://www.airitibooks.com/Detail/Detail?PublicationID=P20160715206")</f>
        <v>https://ntsu.idm.oclc.org/login?url=https://www.airitibooks.com/Detail/Detail?PublicationID=P20160715206</v>
      </c>
    </row>
    <row r="4903" spans="1:11" ht="51" x14ac:dyDescent="0.4">
      <c r="A4903" s="10" t="s">
        <v>5013</v>
      </c>
      <c r="B4903" s="10" t="s">
        <v>5014</v>
      </c>
      <c r="C4903" s="10" t="s">
        <v>738</v>
      </c>
      <c r="D4903" s="10" t="s">
        <v>5015</v>
      </c>
      <c r="E4903" s="10" t="s">
        <v>103</v>
      </c>
      <c r="F4903" s="10" t="s">
        <v>1005</v>
      </c>
      <c r="G4903" s="10" t="s">
        <v>32</v>
      </c>
      <c r="H4903" s="7" t="s">
        <v>24</v>
      </c>
      <c r="I4903" s="7" t="s">
        <v>25</v>
      </c>
      <c r="J4903" s="13" t="str">
        <f>HYPERLINK("https://www.airitibooks.com/Detail/Detail?PublicationID=P20160723104", "https://www.airitibooks.com/Detail/Detail?PublicationID=P20160723104")</f>
        <v>https://www.airitibooks.com/Detail/Detail?PublicationID=P20160723104</v>
      </c>
      <c r="K4903" s="13" t="str">
        <f>HYPERLINK("https://ntsu.idm.oclc.org/login?url=https://www.airitibooks.com/Detail/Detail?PublicationID=P20160723104", "https://ntsu.idm.oclc.org/login?url=https://www.airitibooks.com/Detail/Detail?PublicationID=P20160723104")</f>
        <v>https://ntsu.idm.oclc.org/login?url=https://www.airitibooks.com/Detail/Detail?PublicationID=P20160723104</v>
      </c>
    </row>
    <row r="4904" spans="1:11" ht="51" x14ac:dyDescent="0.4">
      <c r="A4904" s="10" t="s">
        <v>754</v>
      </c>
      <c r="B4904" s="10" t="s">
        <v>755</v>
      </c>
      <c r="C4904" s="10" t="s">
        <v>756</v>
      </c>
      <c r="D4904" s="10" t="s">
        <v>757</v>
      </c>
      <c r="E4904" s="10" t="s">
        <v>103</v>
      </c>
      <c r="F4904" s="10" t="s">
        <v>758</v>
      </c>
      <c r="G4904" s="10" t="s">
        <v>37</v>
      </c>
      <c r="H4904" s="7" t="s">
        <v>24</v>
      </c>
      <c r="I4904" s="7" t="s">
        <v>25</v>
      </c>
      <c r="J4904" s="13" t="str">
        <f>HYPERLINK("https://www.airitibooks.com/Detail/Detail?PublicationID=P20130829070", "https://www.airitibooks.com/Detail/Detail?PublicationID=P20130829070")</f>
        <v>https://www.airitibooks.com/Detail/Detail?PublicationID=P20130829070</v>
      </c>
      <c r="K4904" s="13" t="str">
        <f>HYPERLINK("https://ntsu.idm.oclc.org/login?url=https://www.airitibooks.com/Detail/Detail?PublicationID=P20130829070", "https://ntsu.idm.oclc.org/login?url=https://www.airitibooks.com/Detail/Detail?PublicationID=P20130829070")</f>
        <v>https://ntsu.idm.oclc.org/login?url=https://www.airitibooks.com/Detail/Detail?PublicationID=P20130829070</v>
      </c>
    </row>
    <row r="4905" spans="1:11" ht="51" x14ac:dyDescent="0.4">
      <c r="A4905" s="10" t="s">
        <v>1026</v>
      </c>
      <c r="B4905" s="10" t="s">
        <v>1027</v>
      </c>
      <c r="C4905" s="10" t="s">
        <v>1028</v>
      </c>
      <c r="D4905" s="10" t="s">
        <v>1029</v>
      </c>
      <c r="E4905" s="10" t="s">
        <v>103</v>
      </c>
      <c r="F4905" s="10" t="s">
        <v>1030</v>
      </c>
      <c r="G4905" s="10" t="s">
        <v>37</v>
      </c>
      <c r="H4905" s="7" t="s">
        <v>1031</v>
      </c>
      <c r="I4905" s="7" t="s">
        <v>25</v>
      </c>
      <c r="J4905" s="13" t="str">
        <f>HYPERLINK("https://www.airitibooks.com/Detail/Detail?PublicationID=P20131115537", "https://www.airitibooks.com/Detail/Detail?PublicationID=P20131115537")</f>
        <v>https://www.airitibooks.com/Detail/Detail?PublicationID=P20131115537</v>
      </c>
      <c r="K4905" s="13" t="str">
        <f>HYPERLINK("https://ntsu.idm.oclc.org/login?url=https://www.airitibooks.com/Detail/Detail?PublicationID=P20131115537", "https://ntsu.idm.oclc.org/login?url=https://www.airitibooks.com/Detail/Detail?PublicationID=P20131115537")</f>
        <v>https://ntsu.idm.oclc.org/login?url=https://www.airitibooks.com/Detail/Detail?PublicationID=P20131115537</v>
      </c>
    </row>
    <row r="4906" spans="1:11" ht="51" x14ac:dyDescent="0.4">
      <c r="A4906" s="10" t="s">
        <v>1165</v>
      </c>
      <c r="B4906" s="10" t="s">
        <v>1166</v>
      </c>
      <c r="C4906" s="10" t="s">
        <v>1160</v>
      </c>
      <c r="D4906" s="10" t="s">
        <v>1161</v>
      </c>
      <c r="E4906" s="10" t="s">
        <v>103</v>
      </c>
      <c r="F4906" s="10" t="s">
        <v>1167</v>
      </c>
      <c r="G4906" s="10" t="s">
        <v>37</v>
      </c>
      <c r="H4906" s="7" t="s">
        <v>24</v>
      </c>
      <c r="I4906" s="7" t="s">
        <v>25</v>
      </c>
      <c r="J4906" s="13" t="str">
        <f>HYPERLINK("https://www.airitibooks.com/Detail/Detail?PublicationID=P20140211049", "https://www.airitibooks.com/Detail/Detail?PublicationID=P20140211049")</f>
        <v>https://www.airitibooks.com/Detail/Detail?PublicationID=P20140211049</v>
      </c>
      <c r="K4906" s="13" t="str">
        <f>HYPERLINK("https://ntsu.idm.oclc.org/login?url=https://www.airitibooks.com/Detail/Detail?PublicationID=P20140211049", "https://ntsu.idm.oclc.org/login?url=https://www.airitibooks.com/Detail/Detail?PublicationID=P20140211049")</f>
        <v>https://ntsu.idm.oclc.org/login?url=https://www.airitibooks.com/Detail/Detail?PublicationID=P20140211049</v>
      </c>
    </row>
    <row r="4907" spans="1:11" ht="51" x14ac:dyDescent="0.4">
      <c r="A4907" s="10" t="s">
        <v>1331</v>
      </c>
      <c r="B4907" s="10" t="s">
        <v>1332</v>
      </c>
      <c r="C4907" s="10" t="s">
        <v>197</v>
      </c>
      <c r="D4907" s="10" t="s">
        <v>1333</v>
      </c>
      <c r="E4907" s="10" t="s">
        <v>103</v>
      </c>
      <c r="F4907" s="10" t="s">
        <v>1334</v>
      </c>
      <c r="G4907" s="10" t="s">
        <v>37</v>
      </c>
      <c r="H4907" s="7" t="s">
        <v>24</v>
      </c>
      <c r="I4907" s="7" t="s">
        <v>25</v>
      </c>
      <c r="J4907" s="13" t="str">
        <f>HYPERLINK("https://www.airitibooks.com/Detail/Detail?PublicationID=P20140814048", "https://www.airitibooks.com/Detail/Detail?PublicationID=P20140814048")</f>
        <v>https://www.airitibooks.com/Detail/Detail?PublicationID=P20140814048</v>
      </c>
      <c r="K4907" s="13" t="str">
        <f>HYPERLINK("https://ntsu.idm.oclc.org/login?url=https://www.airitibooks.com/Detail/Detail?PublicationID=P20140814048", "https://ntsu.idm.oclc.org/login?url=https://www.airitibooks.com/Detail/Detail?PublicationID=P20140814048")</f>
        <v>https://ntsu.idm.oclc.org/login?url=https://www.airitibooks.com/Detail/Detail?PublicationID=P20140814048</v>
      </c>
    </row>
    <row r="4908" spans="1:11" ht="51" x14ac:dyDescent="0.4">
      <c r="A4908" s="10" t="s">
        <v>1502</v>
      </c>
      <c r="B4908" s="10" t="s">
        <v>1503</v>
      </c>
      <c r="C4908" s="10" t="s">
        <v>1504</v>
      </c>
      <c r="D4908" s="10" t="s">
        <v>1505</v>
      </c>
      <c r="E4908" s="10" t="s">
        <v>103</v>
      </c>
      <c r="F4908" s="10" t="s">
        <v>1506</v>
      </c>
      <c r="G4908" s="10" t="s">
        <v>37</v>
      </c>
      <c r="H4908" s="7" t="s">
        <v>24</v>
      </c>
      <c r="I4908" s="7" t="s">
        <v>25</v>
      </c>
      <c r="J4908" s="13" t="str">
        <f>HYPERLINK("https://www.airitibooks.com/Detail/Detail?PublicationID=P20141017050", "https://www.airitibooks.com/Detail/Detail?PublicationID=P20141017050")</f>
        <v>https://www.airitibooks.com/Detail/Detail?PublicationID=P20141017050</v>
      </c>
      <c r="K4908" s="13" t="str">
        <f>HYPERLINK("https://ntsu.idm.oclc.org/login?url=https://www.airitibooks.com/Detail/Detail?PublicationID=P20141017050", "https://ntsu.idm.oclc.org/login?url=https://www.airitibooks.com/Detail/Detail?PublicationID=P20141017050")</f>
        <v>https://ntsu.idm.oclc.org/login?url=https://www.airitibooks.com/Detail/Detail?PublicationID=P20141017050</v>
      </c>
    </row>
    <row r="4909" spans="1:11" ht="51" x14ac:dyDescent="0.4">
      <c r="A4909" s="10" t="s">
        <v>3424</v>
      </c>
      <c r="B4909" s="10" t="s">
        <v>3425</v>
      </c>
      <c r="C4909" s="10" t="s">
        <v>3426</v>
      </c>
      <c r="D4909" s="10" t="s">
        <v>3427</v>
      </c>
      <c r="E4909" s="10" t="s">
        <v>103</v>
      </c>
      <c r="F4909" s="10" t="s">
        <v>3428</v>
      </c>
      <c r="G4909" s="10" t="s">
        <v>37</v>
      </c>
      <c r="H4909" s="7" t="s">
        <v>24</v>
      </c>
      <c r="I4909" s="7" t="s">
        <v>25</v>
      </c>
      <c r="J4909" s="13" t="str">
        <f>HYPERLINK("https://www.airitibooks.com/Detail/Detail?PublicationID=P20150918051", "https://www.airitibooks.com/Detail/Detail?PublicationID=P20150918051")</f>
        <v>https://www.airitibooks.com/Detail/Detail?PublicationID=P20150918051</v>
      </c>
      <c r="K4909" s="13" t="str">
        <f>HYPERLINK("https://ntsu.idm.oclc.org/login?url=https://www.airitibooks.com/Detail/Detail?PublicationID=P20150918051", "https://ntsu.idm.oclc.org/login?url=https://www.airitibooks.com/Detail/Detail?PublicationID=P20150918051")</f>
        <v>https://ntsu.idm.oclc.org/login?url=https://www.airitibooks.com/Detail/Detail?PublicationID=P20150918051</v>
      </c>
    </row>
    <row r="4910" spans="1:11" ht="51" x14ac:dyDescent="0.4">
      <c r="A4910" s="10" t="s">
        <v>6340</v>
      </c>
      <c r="B4910" s="10" t="s">
        <v>6341</v>
      </c>
      <c r="C4910" s="10" t="s">
        <v>4120</v>
      </c>
      <c r="D4910" s="10" t="s">
        <v>6342</v>
      </c>
      <c r="E4910" s="10" t="s">
        <v>103</v>
      </c>
      <c r="F4910" s="10" t="s">
        <v>1979</v>
      </c>
      <c r="G4910" s="10" t="s">
        <v>37</v>
      </c>
      <c r="H4910" s="7" t="s">
        <v>24</v>
      </c>
      <c r="I4910" s="7" t="s">
        <v>25</v>
      </c>
      <c r="J4910" s="13" t="str">
        <f>HYPERLINK("https://www.airitibooks.com/Detail/Detail?PublicationID=P20170327148", "https://www.airitibooks.com/Detail/Detail?PublicationID=P20170327148")</f>
        <v>https://www.airitibooks.com/Detail/Detail?PublicationID=P20170327148</v>
      </c>
      <c r="K4910" s="13" t="str">
        <f>HYPERLINK("https://ntsu.idm.oclc.org/login?url=https://www.airitibooks.com/Detail/Detail?PublicationID=P20170327148", "https://ntsu.idm.oclc.org/login?url=https://www.airitibooks.com/Detail/Detail?PublicationID=P20170327148")</f>
        <v>https://ntsu.idm.oclc.org/login?url=https://www.airitibooks.com/Detail/Detail?PublicationID=P20170327148</v>
      </c>
    </row>
    <row r="4911" spans="1:11" ht="51" x14ac:dyDescent="0.4">
      <c r="A4911" s="10" t="s">
        <v>6434</v>
      </c>
      <c r="B4911" s="10" t="s">
        <v>6435</v>
      </c>
      <c r="C4911" s="10" t="s">
        <v>6431</v>
      </c>
      <c r="D4911" s="10" t="s">
        <v>6436</v>
      </c>
      <c r="E4911" s="10" t="s">
        <v>103</v>
      </c>
      <c r="F4911" s="10" t="s">
        <v>6437</v>
      </c>
      <c r="G4911" s="10" t="s">
        <v>37</v>
      </c>
      <c r="H4911" s="7" t="s">
        <v>24</v>
      </c>
      <c r="I4911" s="7" t="s">
        <v>25</v>
      </c>
      <c r="J4911" s="13" t="str">
        <f>HYPERLINK("https://www.airitibooks.com/Detail/Detail?PublicationID=P20170419004", "https://www.airitibooks.com/Detail/Detail?PublicationID=P20170419004")</f>
        <v>https://www.airitibooks.com/Detail/Detail?PublicationID=P20170419004</v>
      </c>
      <c r="K4911" s="13" t="str">
        <f>HYPERLINK("https://ntsu.idm.oclc.org/login?url=https://www.airitibooks.com/Detail/Detail?PublicationID=P20170419004", "https://ntsu.idm.oclc.org/login?url=https://www.airitibooks.com/Detail/Detail?PublicationID=P20170419004")</f>
        <v>https://ntsu.idm.oclc.org/login?url=https://www.airitibooks.com/Detail/Detail?PublicationID=P20170419004</v>
      </c>
    </row>
    <row r="4912" spans="1:11" ht="51" x14ac:dyDescent="0.4">
      <c r="A4912" s="10" t="s">
        <v>9962</v>
      </c>
      <c r="B4912" s="10" t="s">
        <v>9963</v>
      </c>
      <c r="C4912" s="10" t="s">
        <v>9828</v>
      </c>
      <c r="D4912" s="10" t="s">
        <v>9964</v>
      </c>
      <c r="E4912" s="10" t="s">
        <v>103</v>
      </c>
      <c r="F4912" s="10" t="s">
        <v>9965</v>
      </c>
      <c r="G4912" s="10" t="s">
        <v>37</v>
      </c>
      <c r="H4912" s="7" t="s">
        <v>1031</v>
      </c>
      <c r="I4912" s="7" t="s">
        <v>25</v>
      </c>
      <c r="J4912" s="13" t="str">
        <f>HYPERLINK("https://www.airitibooks.com/Detail/Detail?PublicationID=P20181101038", "https://www.airitibooks.com/Detail/Detail?PublicationID=P20181101038")</f>
        <v>https://www.airitibooks.com/Detail/Detail?PublicationID=P20181101038</v>
      </c>
      <c r="K4912" s="13" t="str">
        <f>HYPERLINK("https://ntsu.idm.oclc.org/login?url=https://www.airitibooks.com/Detail/Detail?PublicationID=P20181101038", "https://ntsu.idm.oclc.org/login?url=https://www.airitibooks.com/Detail/Detail?PublicationID=P20181101038")</f>
        <v>https://ntsu.idm.oclc.org/login?url=https://www.airitibooks.com/Detail/Detail?PublicationID=P20181101038</v>
      </c>
    </row>
    <row r="4913" spans="1:11" ht="51" x14ac:dyDescent="0.4">
      <c r="A4913" s="10" t="s">
        <v>233</v>
      </c>
      <c r="B4913" s="10" t="s">
        <v>234</v>
      </c>
      <c r="C4913" s="10" t="s">
        <v>125</v>
      </c>
      <c r="D4913" s="10" t="s">
        <v>235</v>
      </c>
      <c r="E4913" s="10" t="s">
        <v>137</v>
      </c>
      <c r="F4913" s="10" t="s">
        <v>236</v>
      </c>
      <c r="G4913" s="10" t="s">
        <v>237</v>
      </c>
      <c r="H4913" s="7" t="s">
        <v>24</v>
      </c>
      <c r="I4913" s="7" t="s">
        <v>25</v>
      </c>
      <c r="J4913" s="13" t="str">
        <f>HYPERLINK("https://www.airitibooks.com/Detail/Detail?PublicationID=P20110907017", "https://www.airitibooks.com/Detail/Detail?PublicationID=P20110907017")</f>
        <v>https://www.airitibooks.com/Detail/Detail?PublicationID=P20110907017</v>
      </c>
      <c r="K4913" s="13" t="str">
        <f>HYPERLINK("https://ntsu.idm.oclc.org/login?url=https://www.airitibooks.com/Detail/Detail?PublicationID=P20110907017", "https://ntsu.idm.oclc.org/login?url=https://www.airitibooks.com/Detail/Detail?PublicationID=P20110907017")</f>
        <v>https://ntsu.idm.oclc.org/login?url=https://www.airitibooks.com/Detail/Detail?PublicationID=P20110907017</v>
      </c>
    </row>
    <row r="4914" spans="1:11" ht="51" x14ac:dyDescent="0.4">
      <c r="A4914" s="10" t="s">
        <v>302</v>
      </c>
      <c r="B4914" s="10" t="s">
        <v>303</v>
      </c>
      <c r="C4914" s="10" t="s">
        <v>304</v>
      </c>
      <c r="D4914" s="10" t="s">
        <v>305</v>
      </c>
      <c r="E4914" s="10" t="s">
        <v>137</v>
      </c>
      <c r="F4914" s="10" t="s">
        <v>306</v>
      </c>
      <c r="G4914" s="10" t="s">
        <v>237</v>
      </c>
      <c r="H4914" s="7" t="s">
        <v>24</v>
      </c>
      <c r="I4914" s="7" t="s">
        <v>25</v>
      </c>
      <c r="J4914" s="13" t="str">
        <f>HYPERLINK("https://www.airitibooks.com/Detail/Detail?PublicationID=P20120625167", "https://www.airitibooks.com/Detail/Detail?PublicationID=P20120625167")</f>
        <v>https://www.airitibooks.com/Detail/Detail?PublicationID=P20120625167</v>
      </c>
      <c r="K4914" s="13" t="str">
        <f>HYPERLINK("https://ntsu.idm.oclc.org/login?url=https://www.airitibooks.com/Detail/Detail?PublicationID=P20120625167", "https://ntsu.idm.oclc.org/login?url=https://www.airitibooks.com/Detail/Detail?PublicationID=P20120625167")</f>
        <v>https://ntsu.idm.oclc.org/login?url=https://www.airitibooks.com/Detail/Detail?PublicationID=P20120625167</v>
      </c>
    </row>
    <row r="4915" spans="1:11" ht="51" x14ac:dyDescent="0.4">
      <c r="A4915" s="10" t="s">
        <v>325</v>
      </c>
      <c r="B4915" s="10" t="s">
        <v>326</v>
      </c>
      <c r="C4915" s="10" t="s">
        <v>304</v>
      </c>
      <c r="D4915" s="10" t="s">
        <v>327</v>
      </c>
      <c r="E4915" s="10" t="s">
        <v>137</v>
      </c>
      <c r="F4915" s="10" t="s">
        <v>328</v>
      </c>
      <c r="G4915" s="10" t="s">
        <v>237</v>
      </c>
      <c r="H4915" s="7" t="s">
        <v>24</v>
      </c>
      <c r="I4915" s="7" t="s">
        <v>25</v>
      </c>
      <c r="J4915" s="13" t="str">
        <f>HYPERLINK("https://www.airitibooks.com/Detail/Detail?PublicationID=P20120625182", "https://www.airitibooks.com/Detail/Detail?PublicationID=P20120625182")</f>
        <v>https://www.airitibooks.com/Detail/Detail?PublicationID=P20120625182</v>
      </c>
      <c r="K4915" s="13" t="str">
        <f>HYPERLINK("https://ntsu.idm.oclc.org/login?url=https://www.airitibooks.com/Detail/Detail?PublicationID=P20120625182", "https://ntsu.idm.oclc.org/login?url=https://www.airitibooks.com/Detail/Detail?PublicationID=P20120625182")</f>
        <v>https://ntsu.idm.oclc.org/login?url=https://www.airitibooks.com/Detail/Detail?PublicationID=P20120625182</v>
      </c>
    </row>
    <row r="4916" spans="1:11" ht="51" x14ac:dyDescent="0.4">
      <c r="A4916" s="10" t="s">
        <v>344</v>
      </c>
      <c r="B4916" s="10" t="s">
        <v>345</v>
      </c>
      <c r="C4916" s="10" t="s">
        <v>304</v>
      </c>
      <c r="D4916" s="10" t="s">
        <v>313</v>
      </c>
      <c r="E4916" s="10" t="s">
        <v>137</v>
      </c>
      <c r="F4916" s="10" t="s">
        <v>346</v>
      </c>
      <c r="G4916" s="10" t="s">
        <v>237</v>
      </c>
      <c r="H4916" s="7" t="s">
        <v>24</v>
      </c>
      <c r="I4916" s="7" t="s">
        <v>25</v>
      </c>
      <c r="J4916" s="13" t="str">
        <f>HYPERLINK("https://www.airitibooks.com/Detail/Detail?PublicationID=P20120626060", "https://www.airitibooks.com/Detail/Detail?PublicationID=P20120626060")</f>
        <v>https://www.airitibooks.com/Detail/Detail?PublicationID=P20120626060</v>
      </c>
      <c r="K4916" s="13" t="str">
        <f>HYPERLINK("https://ntsu.idm.oclc.org/login?url=https://www.airitibooks.com/Detail/Detail?PublicationID=P20120626060", "https://ntsu.idm.oclc.org/login?url=https://www.airitibooks.com/Detail/Detail?PublicationID=P20120626060")</f>
        <v>https://ntsu.idm.oclc.org/login?url=https://www.airitibooks.com/Detail/Detail?PublicationID=P20120626060</v>
      </c>
    </row>
    <row r="4917" spans="1:11" ht="51" x14ac:dyDescent="0.4">
      <c r="A4917" s="10" t="s">
        <v>347</v>
      </c>
      <c r="B4917" s="10" t="s">
        <v>348</v>
      </c>
      <c r="C4917" s="10" t="s">
        <v>304</v>
      </c>
      <c r="D4917" s="10" t="s">
        <v>349</v>
      </c>
      <c r="E4917" s="10" t="s">
        <v>137</v>
      </c>
      <c r="F4917" s="10" t="s">
        <v>350</v>
      </c>
      <c r="G4917" s="10" t="s">
        <v>237</v>
      </c>
      <c r="H4917" s="7" t="s">
        <v>24</v>
      </c>
      <c r="I4917" s="7" t="s">
        <v>25</v>
      </c>
      <c r="J4917" s="13" t="str">
        <f>HYPERLINK("https://www.airitibooks.com/Detail/Detail?PublicationID=P20120626063", "https://www.airitibooks.com/Detail/Detail?PublicationID=P20120626063")</f>
        <v>https://www.airitibooks.com/Detail/Detail?PublicationID=P20120626063</v>
      </c>
      <c r="K4917" s="13" t="str">
        <f>HYPERLINK("https://ntsu.idm.oclc.org/login?url=https://www.airitibooks.com/Detail/Detail?PublicationID=P20120626063", "https://ntsu.idm.oclc.org/login?url=https://www.airitibooks.com/Detail/Detail?PublicationID=P20120626063")</f>
        <v>https://ntsu.idm.oclc.org/login?url=https://www.airitibooks.com/Detail/Detail?PublicationID=P20120626063</v>
      </c>
    </row>
    <row r="4918" spans="1:11" ht="51" x14ac:dyDescent="0.4">
      <c r="A4918" s="10" t="s">
        <v>351</v>
      </c>
      <c r="B4918" s="10" t="s">
        <v>352</v>
      </c>
      <c r="C4918" s="10" t="s">
        <v>304</v>
      </c>
      <c r="D4918" s="10" t="s">
        <v>353</v>
      </c>
      <c r="E4918" s="10" t="s">
        <v>137</v>
      </c>
      <c r="F4918" s="10" t="s">
        <v>354</v>
      </c>
      <c r="G4918" s="10" t="s">
        <v>237</v>
      </c>
      <c r="H4918" s="7" t="s">
        <v>24</v>
      </c>
      <c r="I4918" s="7" t="s">
        <v>25</v>
      </c>
      <c r="J4918" s="13" t="str">
        <f>HYPERLINK("https://www.airitibooks.com/Detail/Detail?PublicationID=P20120626064", "https://www.airitibooks.com/Detail/Detail?PublicationID=P20120626064")</f>
        <v>https://www.airitibooks.com/Detail/Detail?PublicationID=P20120626064</v>
      </c>
      <c r="K4918" s="13" t="str">
        <f>HYPERLINK("https://ntsu.idm.oclc.org/login?url=https://www.airitibooks.com/Detail/Detail?PublicationID=P20120626064", "https://ntsu.idm.oclc.org/login?url=https://www.airitibooks.com/Detail/Detail?PublicationID=P20120626064")</f>
        <v>https://ntsu.idm.oclc.org/login?url=https://www.airitibooks.com/Detail/Detail?PublicationID=P20120626064</v>
      </c>
    </row>
    <row r="4919" spans="1:11" ht="51" x14ac:dyDescent="0.4">
      <c r="A4919" s="10" t="s">
        <v>417</v>
      </c>
      <c r="B4919" s="10" t="s">
        <v>418</v>
      </c>
      <c r="C4919" s="10" t="s">
        <v>419</v>
      </c>
      <c r="D4919" s="10" t="s">
        <v>420</v>
      </c>
      <c r="E4919" s="10" t="s">
        <v>137</v>
      </c>
      <c r="F4919" s="10" t="s">
        <v>421</v>
      </c>
      <c r="G4919" s="10" t="s">
        <v>237</v>
      </c>
      <c r="H4919" s="7" t="s">
        <v>24</v>
      </c>
      <c r="I4919" s="7" t="s">
        <v>25</v>
      </c>
      <c r="J4919" s="13" t="str">
        <f>HYPERLINK("https://www.airitibooks.com/Detail/Detail?PublicationID=P20121026022", "https://www.airitibooks.com/Detail/Detail?PublicationID=P20121026022")</f>
        <v>https://www.airitibooks.com/Detail/Detail?PublicationID=P20121026022</v>
      </c>
      <c r="K4919" s="13" t="str">
        <f>HYPERLINK("https://ntsu.idm.oclc.org/login?url=https://www.airitibooks.com/Detail/Detail?PublicationID=P20121026022", "https://ntsu.idm.oclc.org/login?url=https://www.airitibooks.com/Detail/Detail?PublicationID=P20121026022")</f>
        <v>https://ntsu.idm.oclc.org/login?url=https://www.airitibooks.com/Detail/Detail?PublicationID=P20121026022</v>
      </c>
    </row>
    <row r="4920" spans="1:11" ht="51" x14ac:dyDescent="0.4">
      <c r="A4920" s="10" t="s">
        <v>621</v>
      </c>
      <c r="B4920" s="10" t="s">
        <v>622</v>
      </c>
      <c r="C4920" s="10" t="s">
        <v>297</v>
      </c>
      <c r="D4920" s="10" t="s">
        <v>623</v>
      </c>
      <c r="E4920" s="10" t="s">
        <v>137</v>
      </c>
      <c r="F4920" s="10" t="s">
        <v>624</v>
      </c>
      <c r="G4920" s="10" t="s">
        <v>237</v>
      </c>
      <c r="H4920" s="7" t="s">
        <v>24</v>
      </c>
      <c r="I4920" s="7" t="s">
        <v>25</v>
      </c>
      <c r="J4920" s="13" t="str">
        <f>HYPERLINK("https://www.airitibooks.com/Detail/Detail?PublicationID=P20130502241", "https://www.airitibooks.com/Detail/Detail?PublicationID=P20130502241")</f>
        <v>https://www.airitibooks.com/Detail/Detail?PublicationID=P20130502241</v>
      </c>
      <c r="K4920" s="13" t="str">
        <f>HYPERLINK("https://ntsu.idm.oclc.org/login?url=https://www.airitibooks.com/Detail/Detail?PublicationID=P20130502241", "https://ntsu.idm.oclc.org/login?url=https://www.airitibooks.com/Detail/Detail?PublicationID=P20130502241")</f>
        <v>https://ntsu.idm.oclc.org/login?url=https://www.airitibooks.com/Detail/Detail?PublicationID=P20130502241</v>
      </c>
    </row>
    <row r="4921" spans="1:11" ht="68" x14ac:dyDescent="0.4">
      <c r="A4921" s="10" t="s">
        <v>1151</v>
      </c>
      <c r="B4921" s="10" t="s">
        <v>1152</v>
      </c>
      <c r="C4921" s="10" t="s">
        <v>772</v>
      </c>
      <c r="D4921" s="10" t="s">
        <v>1153</v>
      </c>
      <c r="E4921" s="10" t="s">
        <v>137</v>
      </c>
      <c r="F4921" s="10" t="s">
        <v>1154</v>
      </c>
      <c r="G4921" s="10" t="s">
        <v>237</v>
      </c>
      <c r="H4921" s="7" t="s">
        <v>24</v>
      </c>
      <c r="I4921" s="7" t="s">
        <v>25</v>
      </c>
      <c r="J4921" s="13" t="str">
        <f>HYPERLINK("https://www.airitibooks.com/Detail/Detail?PublicationID=P20140206004", "https://www.airitibooks.com/Detail/Detail?PublicationID=P20140206004")</f>
        <v>https://www.airitibooks.com/Detail/Detail?PublicationID=P20140206004</v>
      </c>
      <c r="K4921" s="13" t="str">
        <f>HYPERLINK("https://ntsu.idm.oclc.org/login?url=https://www.airitibooks.com/Detail/Detail?PublicationID=P20140206004", "https://ntsu.idm.oclc.org/login?url=https://www.airitibooks.com/Detail/Detail?PublicationID=P20140206004")</f>
        <v>https://ntsu.idm.oclc.org/login?url=https://www.airitibooks.com/Detail/Detail?PublicationID=P20140206004</v>
      </c>
    </row>
    <row r="4922" spans="1:11" ht="51" x14ac:dyDescent="0.4">
      <c r="A4922" s="10" t="s">
        <v>1756</v>
      </c>
      <c r="B4922" s="10" t="s">
        <v>1757</v>
      </c>
      <c r="C4922" s="10" t="s">
        <v>1758</v>
      </c>
      <c r="D4922" s="10" t="s">
        <v>1759</v>
      </c>
      <c r="E4922" s="10" t="s">
        <v>137</v>
      </c>
      <c r="F4922" s="10" t="s">
        <v>1760</v>
      </c>
      <c r="G4922" s="10" t="s">
        <v>237</v>
      </c>
      <c r="H4922" s="7" t="s">
        <v>24</v>
      </c>
      <c r="I4922" s="7" t="s">
        <v>25</v>
      </c>
      <c r="J4922" s="13" t="str">
        <f>HYPERLINK("https://www.airitibooks.com/Detail/Detail?PublicationID=P20141211097", "https://www.airitibooks.com/Detail/Detail?PublicationID=P20141211097")</f>
        <v>https://www.airitibooks.com/Detail/Detail?PublicationID=P20141211097</v>
      </c>
      <c r="K4922" s="13" t="str">
        <f>HYPERLINK("https://ntsu.idm.oclc.org/login?url=https://www.airitibooks.com/Detail/Detail?PublicationID=P20141211097", "https://ntsu.idm.oclc.org/login?url=https://www.airitibooks.com/Detail/Detail?PublicationID=P20141211097")</f>
        <v>https://ntsu.idm.oclc.org/login?url=https://www.airitibooks.com/Detail/Detail?PublicationID=P20141211097</v>
      </c>
    </row>
    <row r="4923" spans="1:11" ht="51" x14ac:dyDescent="0.4">
      <c r="A4923" s="10" t="s">
        <v>1873</v>
      </c>
      <c r="B4923" s="10" t="s">
        <v>1874</v>
      </c>
      <c r="C4923" s="10" t="s">
        <v>544</v>
      </c>
      <c r="D4923" s="10" t="s">
        <v>1875</v>
      </c>
      <c r="E4923" s="10" t="s">
        <v>137</v>
      </c>
      <c r="F4923" s="10" t="s">
        <v>1876</v>
      </c>
      <c r="G4923" s="10" t="s">
        <v>237</v>
      </c>
      <c r="H4923" s="7" t="s">
        <v>24</v>
      </c>
      <c r="I4923" s="7" t="s">
        <v>25</v>
      </c>
      <c r="J4923" s="13" t="str">
        <f>HYPERLINK("https://www.airitibooks.com/Detail/Detail?PublicationID=P20150122056", "https://www.airitibooks.com/Detail/Detail?PublicationID=P20150122056")</f>
        <v>https://www.airitibooks.com/Detail/Detail?PublicationID=P20150122056</v>
      </c>
      <c r="K4923" s="13" t="str">
        <f>HYPERLINK("https://ntsu.idm.oclc.org/login?url=https://www.airitibooks.com/Detail/Detail?PublicationID=P20150122056", "https://ntsu.idm.oclc.org/login?url=https://www.airitibooks.com/Detail/Detail?PublicationID=P20150122056")</f>
        <v>https://ntsu.idm.oclc.org/login?url=https://www.airitibooks.com/Detail/Detail?PublicationID=P20150122056</v>
      </c>
    </row>
    <row r="4924" spans="1:11" ht="51" x14ac:dyDescent="0.4">
      <c r="A4924" s="10" t="s">
        <v>2581</v>
      </c>
      <c r="B4924" s="10" t="s">
        <v>2582</v>
      </c>
      <c r="C4924" s="10" t="s">
        <v>2583</v>
      </c>
      <c r="D4924" s="10" t="s">
        <v>2584</v>
      </c>
      <c r="E4924" s="10" t="s">
        <v>137</v>
      </c>
      <c r="F4924" s="10" t="s">
        <v>788</v>
      </c>
      <c r="G4924" s="10" t="s">
        <v>237</v>
      </c>
      <c r="H4924" s="7" t="s">
        <v>24</v>
      </c>
      <c r="I4924" s="7" t="s">
        <v>25</v>
      </c>
      <c r="J4924" s="13" t="str">
        <f>HYPERLINK("https://www.airitibooks.com/Detail/Detail?PublicationID=P20150513106", "https://www.airitibooks.com/Detail/Detail?PublicationID=P20150513106")</f>
        <v>https://www.airitibooks.com/Detail/Detail?PublicationID=P20150513106</v>
      </c>
      <c r="K4924" s="13" t="str">
        <f>HYPERLINK("https://ntsu.idm.oclc.org/login?url=https://www.airitibooks.com/Detail/Detail?PublicationID=P20150513106", "https://ntsu.idm.oclc.org/login?url=https://www.airitibooks.com/Detail/Detail?PublicationID=P20150513106")</f>
        <v>https://ntsu.idm.oclc.org/login?url=https://www.airitibooks.com/Detail/Detail?PublicationID=P20150513106</v>
      </c>
    </row>
    <row r="4925" spans="1:11" ht="51" x14ac:dyDescent="0.4">
      <c r="A4925" s="10" t="s">
        <v>9895</v>
      </c>
      <c r="B4925" s="10" t="s">
        <v>9896</v>
      </c>
      <c r="C4925" s="10" t="s">
        <v>9828</v>
      </c>
      <c r="D4925" s="10" t="s">
        <v>9897</v>
      </c>
      <c r="E4925" s="10" t="s">
        <v>137</v>
      </c>
      <c r="F4925" s="10" t="s">
        <v>9898</v>
      </c>
      <c r="G4925" s="10" t="s">
        <v>237</v>
      </c>
      <c r="H4925" s="7" t="s">
        <v>1031</v>
      </c>
      <c r="I4925" s="7" t="s">
        <v>25</v>
      </c>
      <c r="J4925" s="13" t="str">
        <f>HYPERLINK("https://www.airitibooks.com/Detail/Detail?PublicationID=P20181017029", "https://www.airitibooks.com/Detail/Detail?PublicationID=P20181017029")</f>
        <v>https://www.airitibooks.com/Detail/Detail?PublicationID=P20181017029</v>
      </c>
      <c r="K4925" s="13" t="str">
        <f>HYPERLINK("https://ntsu.idm.oclc.org/login?url=https://www.airitibooks.com/Detail/Detail?PublicationID=P20181017029", "https://ntsu.idm.oclc.org/login?url=https://www.airitibooks.com/Detail/Detail?PublicationID=P20181017029")</f>
        <v>https://ntsu.idm.oclc.org/login?url=https://www.airitibooks.com/Detail/Detail?PublicationID=P20181017029</v>
      </c>
    </row>
    <row r="4926" spans="1:11" ht="51" x14ac:dyDescent="0.4">
      <c r="A4926" s="10" t="s">
        <v>9904</v>
      </c>
      <c r="B4926" s="10" t="s">
        <v>9905</v>
      </c>
      <c r="C4926" s="10" t="s">
        <v>9828</v>
      </c>
      <c r="D4926" s="10" t="s">
        <v>9906</v>
      </c>
      <c r="E4926" s="10" t="s">
        <v>137</v>
      </c>
      <c r="F4926" s="10" t="s">
        <v>9907</v>
      </c>
      <c r="G4926" s="10" t="s">
        <v>237</v>
      </c>
      <c r="H4926" s="7" t="s">
        <v>1031</v>
      </c>
      <c r="I4926" s="7" t="s">
        <v>25</v>
      </c>
      <c r="J4926" s="13" t="str">
        <f>HYPERLINK("https://www.airitibooks.com/Detail/Detail?PublicationID=P20181018026", "https://www.airitibooks.com/Detail/Detail?PublicationID=P20181018026")</f>
        <v>https://www.airitibooks.com/Detail/Detail?PublicationID=P20181018026</v>
      </c>
      <c r="K4926" s="13" t="str">
        <f>HYPERLINK("https://ntsu.idm.oclc.org/login?url=https://www.airitibooks.com/Detail/Detail?PublicationID=P20181018026", "https://ntsu.idm.oclc.org/login?url=https://www.airitibooks.com/Detail/Detail?PublicationID=P20181018026")</f>
        <v>https://ntsu.idm.oclc.org/login?url=https://www.airitibooks.com/Detail/Detail?PublicationID=P20181018026</v>
      </c>
    </row>
    <row r="4927" spans="1:11" ht="51" x14ac:dyDescent="0.4">
      <c r="A4927" s="10" t="s">
        <v>9908</v>
      </c>
      <c r="B4927" s="10" t="s">
        <v>9909</v>
      </c>
      <c r="C4927" s="10" t="s">
        <v>9828</v>
      </c>
      <c r="D4927" s="10" t="s">
        <v>9910</v>
      </c>
      <c r="E4927" s="10" t="s">
        <v>137</v>
      </c>
      <c r="F4927" s="10" t="s">
        <v>393</v>
      </c>
      <c r="G4927" s="10" t="s">
        <v>237</v>
      </c>
      <c r="H4927" s="7" t="s">
        <v>1031</v>
      </c>
      <c r="I4927" s="7" t="s">
        <v>25</v>
      </c>
      <c r="J4927" s="13" t="str">
        <f>HYPERLINK("https://www.airitibooks.com/Detail/Detail?PublicationID=P20181018027", "https://www.airitibooks.com/Detail/Detail?PublicationID=P20181018027")</f>
        <v>https://www.airitibooks.com/Detail/Detail?PublicationID=P20181018027</v>
      </c>
      <c r="K4927" s="13" t="str">
        <f>HYPERLINK("https://ntsu.idm.oclc.org/login?url=https://www.airitibooks.com/Detail/Detail?PublicationID=P20181018027", "https://ntsu.idm.oclc.org/login?url=https://www.airitibooks.com/Detail/Detail?PublicationID=P20181018027")</f>
        <v>https://ntsu.idm.oclc.org/login?url=https://www.airitibooks.com/Detail/Detail?PublicationID=P20181018027</v>
      </c>
    </row>
    <row r="4928" spans="1:11" ht="51" x14ac:dyDescent="0.4">
      <c r="A4928" s="10" t="s">
        <v>204</v>
      </c>
      <c r="B4928" s="10" t="s">
        <v>205</v>
      </c>
      <c r="C4928" s="10" t="s">
        <v>206</v>
      </c>
      <c r="D4928" s="10" t="s">
        <v>207</v>
      </c>
      <c r="E4928" s="10" t="s">
        <v>137</v>
      </c>
      <c r="F4928" s="10" t="s">
        <v>208</v>
      </c>
      <c r="G4928" s="10" t="s">
        <v>209</v>
      </c>
      <c r="H4928" s="7" t="s">
        <v>24</v>
      </c>
      <c r="I4928" s="7" t="s">
        <v>25</v>
      </c>
      <c r="J4928" s="13" t="str">
        <f>HYPERLINK("https://www.airitibooks.com/Detail/Detail?PublicationID=P20110819021", "https://www.airitibooks.com/Detail/Detail?PublicationID=P20110819021")</f>
        <v>https://www.airitibooks.com/Detail/Detail?PublicationID=P20110819021</v>
      </c>
      <c r="K4928" s="13" t="str">
        <f>HYPERLINK("https://ntsu.idm.oclc.org/login?url=https://www.airitibooks.com/Detail/Detail?PublicationID=P20110819021", "https://ntsu.idm.oclc.org/login?url=https://www.airitibooks.com/Detail/Detail?PublicationID=P20110819021")</f>
        <v>https://ntsu.idm.oclc.org/login?url=https://www.airitibooks.com/Detail/Detail?PublicationID=P20110819021</v>
      </c>
    </row>
    <row r="4929" spans="1:11" ht="51" x14ac:dyDescent="0.4">
      <c r="A4929" s="10" t="s">
        <v>267</v>
      </c>
      <c r="B4929" s="10" t="s">
        <v>268</v>
      </c>
      <c r="C4929" s="10" t="s">
        <v>269</v>
      </c>
      <c r="D4929" s="10" t="s">
        <v>270</v>
      </c>
      <c r="E4929" s="10" t="s">
        <v>137</v>
      </c>
      <c r="F4929" s="10" t="s">
        <v>271</v>
      </c>
      <c r="G4929" s="10" t="s">
        <v>209</v>
      </c>
      <c r="H4929" s="7" t="s">
        <v>24</v>
      </c>
      <c r="I4929" s="7" t="s">
        <v>25</v>
      </c>
      <c r="J4929" s="13" t="str">
        <f>HYPERLINK("https://www.airitibooks.com/Detail/Detail?PublicationID=P20111027005", "https://www.airitibooks.com/Detail/Detail?PublicationID=P20111027005")</f>
        <v>https://www.airitibooks.com/Detail/Detail?PublicationID=P20111027005</v>
      </c>
      <c r="K4929" s="13" t="str">
        <f>HYPERLINK("https://ntsu.idm.oclc.org/login?url=https://www.airitibooks.com/Detail/Detail?PublicationID=P20111027005", "https://ntsu.idm.oclc.org/login?url=https://www.airitibooks.com/Detail/Detail?PublicationID=P20111027005")</f>
        <v>https://ntsu.idm.oclc.org/login?url=https://www.airitibooks.com/Detail/Detail?PublicationID=P20111027005</v>
      </c>
    </row>
    <row r="4930" spans="1:11" ht="51" x14ac:dyDescent="0.4">
      <c r="A4930" s="10" t="s">
        <v>275</v>
      </c>
      <c r="B4930" s="10" t="s">
        <v>276</v>
      </c>
      <c r="C4930" s="10" t="s">
        <v>277</v>
      </c>
      <c r="D4930" s="10" t="s">
        <v>278</v>
      </c>
      <c r="E4930" s="10" t="s">
        <v>137</v>
      </c>
      <c r="F4930" s="10" t="s">
        <v>279</v>
      </c>
      <c r="G4930" s="10" t="s">
        <v>209</v>
      </c>
      <c r="H4930" s="7" t="s">
        <v>24</v>
      </c>
      <c r="I4930" s="7" t="s">
        <v>25</v>
      </c>
      <c r="J4930" s="13" t="str">
        <f>HYPERLINK("https://www.airitibooks.com/Detail/Detail?PublicationID=P20111214011", "https://www.airitibooks.com/Detail/Detail?PublicationID=P20111214011")</f>
        <v>https://www.airitibooks.com/Detail/Detail?PublicationID=P20111214011</v>
      </c>
      <c r="K4930" s="13" t="str">
        <f>HYPERLINK("https://ntsu.idm.oclc.org/login?url=https://www.airitibooks.com/Detail/Detail?PublicationID=P20111214011", "https://ntsu.idm.oclc.org/login?url=https://www.airitibooks.com/Detail/Detail?PublicationID=P20111214011")</f>
        <v>https://ntsu.idm.oclc.org/login?url=https://www.airitibooks.com/Detail/Detail?PublicationID=P20111214011</v>
      </c>
    </row>
    <row r="4931" spans="1:11" ht="51" x14ac:dyDescent="0.4">
      <c r="A4931" s="10" t="s">
        <v>360</v>
      </c>
      <c r="B4931" s="10" t="s">
        <v>361</v>
      </c>
      <c r="C4931" s="10" t="s">
        <v>362</v>
      </c>
      <c r="D4931" s="10" t="s">
        <v>363</v>
      </c>
      <c r="E4931" s="10" t="s">
        <v>137</v>
      </c>
      <c r="F4931" s="10" t="s">
        <v>364</v>
      </c>
      <c r="G4931" s="10" t="s">
        <v>209</v>
      </c>
      <c r="H4931" s="7" t="s">
        <v>24</v>
      </c>
      <c r="I4931" s="7" t="s">
        <v>25</v>
      </c>
      <c r="J4931" s="13" t="str">
        <f>HYPERLINK("https://www.airitibooks.com/Detail/Detail?PublicationID=P20120704048", "https://www.airitibooks.com/Detail/Detail?PublicationID=P20120704048")</f>
        <v>https://www.airitibooks.com/Detail/Detail?PublicationID=P20120704048</v>
      </c>
      <c r="K4931" s="13" t="str">
        <f>HYPERLINK("https://ntsu.idm.oclc.org/login?url=https://www.airitibooks.com/Detail/Detail?PublicationID=P20120704048", "https://ntsu.idm.oclc.org/login?url=https://www.airitibooks.com/Detail/Detail?PublicationID=P20120704048")</f>
        <v>https://ntsu.idm.oclc.org/login?url=https://www.airitibooks.com/Detail/Detail?PublicationID=P20120704048</v>
      </c>
    </row>
    <row r="4932" spans="1:11" ht="51" x14ac:dyDescent="0.4">
      <c r="A4932" s="10" t="s">
        <v>365</v>
      </c>
      <c r="B4932" s="10" t="s">
        <v>366</v>
      </c>
      <c r="C4932" s="10" t="s">
        <v>304</v>
      </c>
      <c r="D4932" s="10" t="s">
        <v>367</v>
      </c>
      <c r="E4932" s="10" t="s">
        <v>137</v>
      </c>
      <c r="F4932" s="10" t="s">
        <v>368</v>
      </c>
      <c r="G4932" s="10" t="s">
        <v>209</v>
      </c>
      <c r="H4932" s="7" t="s">
        <v>24</v>
      </c>
      <c r="I4932" s="7" t="s">
        <v>25</v>
      </c>
      <c r="J4932" s="13" t="str">
        <f>HYPERLINK("https://www.airitibooks.com/Detail/Detail?PublicationID=P20120816002", "https://www.airitibooks.com/Detail/Detail?PublicationID=P20120816002")</f>
        <v>https://www.airitibooks.com/Detail/Detail?PublicationID=P20120816002</v>
      </c>
      <c r="K4932" s="13" t="str">
        <f>HYPERLINK("https://ntsu.idm.oclc.org/login?url=https://www.airitibooks.com/Detail/Detail?PublicationID=P20120816002", "https://ntsu.idm.oclc.org/login?url=https://www.airitibooks.com/Detail/Detail?PublicationID=P20120816002")</f>
        <v>https://ntsu.idm.oclc.org/login?url=https://www.airitibooks.com/Detail/Detail?PublicationID=P20120816002</v>
      </c>
    </row>
    <row r="4933" spans="1:11" ht="51" x14ac:dyDescent="0.4">
      <c r="A4933" s="10" t="s">
        <v>407</v>
      </c>
      <c r="B4933" s="10" t="s">
        <v>408</v>
      </c>
      <c r="C4933" s="10" t="s">
        <v>409</v>
      </c>
      <c r="D4933" s="10" t="s">
        <v>410</v>
      </c>
      <c r="E4933" s="10" t="s">
        <v>137</v>
      </c>
      <c r="F4933" s="10" t="s">
        <v>279</v>
      </c>
      <c r="G4933" s="10" t="s">
        <v>209</v>
      </c>
      <c r="H4933" s="7" t="s">
        <v>24</v>
      </c>
      <c r="I4933" s="7" t="s">
        <v>25</v>
      </c>
      <c r="J4933" s="13" t="str">
        <f>HYPERLINK("https://www.airitibooks.com/Detail/Detail?PublicationID=P20121012313", "https://www.airitibooks.com/Detail/Detail?PublicationID=P20121012313")</f>
        <v>https://www.airitibooks.com/Detail/Detail?PublicationID=P20121012313</v>
      </c>
      <c r="K4933" s="13" t="str">
        <f>HYPERLINK("https://ntsu.idm.oclc.org/login?url=https://www.airitibooks.com/Detail/Detail?PublicationID=P20121012313", "https://ntsu.idm.oclc.org/login?url=https://www.airitibooks.com/Detail/Detail?PublicationID=P20121012313")</f>
        <v>https://ntsu.idm.oclc.org/login?url=https://www.airitibooks.com/Detail/Detail?PublicationID=P20121012313</v>
      </c>
    </row>
    <row r="4934" spans="1:11" ht="51" x14ac:dyDescent="0.4">
      <c r="A4934" s="10" t="s">
        <v>503</v>
      </c>
      <c r="B4934" s="10" t="s">
        <v>504</v>
      </c>
      <c r="C4934" s="10" t="s">
        <v>505</v>
      </c>
      <c r="D4934" s="10" t="s">
        <v>506</v>
      </c>
      <c r="E4934" s="10" t="s">
        <v>137</v>
      </c>
      <c r="F4934" s="10" t="s">
        <v>507</v>
      </c>
      <c r="G4934" s="10" t="s">
        <v>209</v>
      </c>
      <c r="H4934" s="7" t="s">
        <v>24</v>
      </c>
      <c r="I4934" s="7" t="s">
        <v>25</v>
      </c>
      <c r="J4934" s="13" t="str">
        <f>HYPERLINK("https://www.airitibooks.com/Detail/Detail?PublicationID=P20130205068", "https://www.airitibooks.com/Detail/Detail?PublicationID=P20130205068")</f>
        <v>https://www.airitibooks.com/Detail/Detail?PublicationID=P20130205068</v>
      </c>
      <c r="K4934" s="13" t="str">
        <f>HYPERLINK("https://ntsu.idm.oclc.org/login?url=https://www.airitibooks.com/Detail/Detail?PublicationID=P20130205068", "https://ntsu.idm.oclc.org/login?url=https://www.airitibooks.com/Detail/Detail?PublicationID=P20130205068")</f>
        <v>https://ntsu.idm.oclc.org/login?url=https://www.airitibooks.com/Detail/Detail?PublicationID=P20130205068</v>
      </c>
    </row>
    <row r="4935" spans="1:11" ht="51" x14ac:dyDescent="0.4">
      <c r="A4935" s="10" t="s">
        <v>615</v>
      </c>
      <c r="B4935" s="10" t="s">
        <v>616</v>
      </c>
      <c r="C4935" s="10" t="s">
        <v>297</v>
      </c>
      <c r="D4935" s="10" t="s">
        <v>617</v>
      </c>
      <c r="E4935" s="10" t="s">
        <v>137</v>
      </c>
      <c r="F4935" s="10" t="s">
        <v>618</v>
      </c>
      <c r="G4935" s="10" t="s">
        <v>209</v>
      </c>
      <c r="H4935" s="7" t="s">
        <v>24</v>
      </c>
      <c r="I4935" s="7" t="s">
        <v>25</v>
      </c>
      <c r="J4935" s="13" t="str">
        <f>HYPERLINK("https://www.airitibooks.com/Detail/Detail?PublicationID=P20130502239", "https://www.airitibooks.com/Detail/Detail?PublicationID=P20130502239")</f>
        <v>https://www.airitibooks.com/Detail/Detail?PublicationID=P20130502239</v>
      </c>
      <c r="K4935" s="13" t="str">
        <f>HYPERLINK("https://ntsu.idm.oclc.org/login?url=https://www.airitibooks.com/Detail/Detail?PublicationID=P20130502239", "https://ntsu.idm.oclc.org/login?url=https://www.airitibooks.com/Detail/Detail?PublicationID=P20130502239")</f>
        <v>https://ntsu.idm.oclc.org/login?url=https://www.airitibooks.com/Detail/Detail?PublicationID=P20130502239</v>
      </c>
    </row>
    <row r="4936" spans="1:11" ht="51" x14ac:dyDescent="0.4">
      <c r="A4936" s="10" t="s">
        <v>619</v>
      </c>
      <c r="B4936" s="10" t="s">
        <v>620</v>
      </c>
      <c r="C4936" s="10" t="s">
        <v>297</v>
      </c>
      <c r="D4936" s="10" t="s">
        <v>617</v>
      </c>
      <c r="E4936" s="10" t="s">
        <v>137</v>
      </c>
      <c r="F4936" s="10" t="s">
        <v>618</v>
      </c>
      <c r="G4936" s="10" t="s">
        <v>209</v>
      </c>
      <c r="H4936" s="7" t="s">
        <v>24</v>
      </c>
      <c r="I4936" s="7" t="s">
        <v>25</v>
      </c>
      <c r="J4936" s="13" t="str">
        <f>HYPERLINK("https://www.airitibooks.com/Detail/Detail?PublicationID=P20130502240", "https://www.airitibooks.com/Detail/Detail?PublicationID=P20130502240")</f>
        <v>https://www.airitibooks.com/Detail/Detail?PublicationID=P20130502240</v>
      </c>
      <c r="K4936" s="13" t="str">
        <f>HYPERLINK("https://ntsu.idm.oclc.org/login?url=https://www.airitibooks.com/Detail/Detail?PublicationID=P20130502240", "https://ntsu.idm.oclc.org/login?url=https://www.airitibooks.com/Detail/Detail?PublicationID=P20130502240")</f>
        <v>https://ntsu.idm.oclc.org/login?url=https://www.airitibooks.com/Detail/Detail?PublicationID=P20130502240</v>
      </c>
    </row>
    <row r="4937" spans="1:11" ht="51" x14ac:dyDescent="0.4">
      <c r="A4937" s="10" t="s">
        <v>664</v>
      </c>
      <c r="B4937" s="10" t="s">
        <v>665</v>
      </c>
      <c r="C4937" s="10" t="s">
        <v>666</v>
      </c>
      <c r="D4937" s="10" t="s">
        <v>667</v>
      </c>
      <c r="E4937" s="10" t="s">
        <v>137</v>
      </c>
      <c r="F4937" s="10" t="s">
        <v>668</v>
      </c>
      <c r="G4937" s="10" t="s">
        <v>209</v>
      </c>
      <c r="H4937" s="7" t="s">
        <v>24</v>
      </c>
      <c r="I4937" s="7" t="s">
        <v>25</v>
      </c>
      <c r="J4937" s="13" t="str">
        <f>HYPERLINK("https://www.airitibooks.com/Detail/Detail?PublicationID=P20130626044", "https://www.airitibooks.com/Detail/Detail?PublicationID=P20130626044")</f>
        <v>https://www.airitibooks.com/Detail/Detail?PublicationID=P20130626044</v>
      </c>
      <c r="K4937" s="13" t="str">
        <f>HYPERLINK("https://ntsu.idm.oclc.org/login?url=https://www.airitibooks.com/Detail/Detail?PublicationID=P20130626044", "https://ntsu.idm.oclc.org/login?url=https://www.airitibooks.com/Detail/Detail?PublicationID=P20130626044")</f>
        <v>https://ntsu.idm.oclc.org/login?url=https://www.airitibooks.com/Detail/Detail?PublicationID=P20130626044</v>
      </c>
    </row>
    <row r="4938" spans="1:11" ht="51" x14ac:dyDescent="0.4">
      <c r="A4938" s="10" t="s">
        <v>290</v>
      </c>
      <c r="B4938" s="10" t="s">
        <v>291</v>
      </c>
      <c r="C4938" s="10" t="s">
        <v>292</v>
      </c>
      <c r="D4938" s="10" t="s">
        <v>293</v>
      </c>
      <c r="E4938" s="10" t="s">
        <v>137</v>
      </c>
      <c r="F4938" s="10" t="s">
        <v>294</v>
      </c>
      <c r="G4938" s="10" t="s">
        <v>76</v>
      </c>
      <c r="H4938" s="7" t="s">
        <v>24</v>
      </c>
      <c r="I4938" s="7" t="s">
        <v>25</v>
      </c>
      <c r="J4938" s="13" t="str">
        <f>HYPERLINK("https://www.airitibooks.com/Detail/Detail?PublicationID=P20120521044", "https://www.airitibooks.com/Detail/Detail?PublicationID=P20120521044")</f>
        <v>https://www.airitibooks.com/Detail/Detail?PublicationID=P20120521044</v>
      </c>
      <c r="K4938" s="13" t="str">
        <f>HYPERLINK("https://ntsu.idm.oclc.org/login?url=https://www.airitibooks.com/Detail/Detail?PublicationID=P20120521044", "https://ntsu.idm.oclc.org/login?url=https://www.airitibooks.com/Detail/Detail?PublicationID=P20120521044")</f>
        <v>https://ntsu.idm.oclc.org/login?url=https://www.airitibooks.com/Detail/Detail?PublicationID=P20120521044</v>
      </c>
    </row>
    <row r="4939" spans="1:11" ht="68" x14ac:dyDescent="0.4">
      <c r="A4939" s="10" t="s">
        <v>311</v>
      </c>
      <c r="B4939" s="10" t="s">
        <v>312</v>
      </c>
      <c r="C4939" s="10" t="s">
        <v>304</v>
      </c>
      <c r="D4939" s="10" t="s">
        <v>313</v>
      </c>
      <c r="E4939" s="10" t="s">
        <v>137</v>
      </c>
      <c r="F4939" s="10" t="s">
        <v>310</v>
      </c>
      <c r="G4939" s="10" t="s">
        <v>76</v>
      </c>
      <c r="H4939" s="7" t="s">
        <v>24</v>
      </c>
      <c r="I4939" s="7" t="s">
        <v>25</v>
      </c>
      <c r="J4939" s="13" t="str">
        <f>HYPERLINK("https://www.airitibooks.com/Detail/Detail?PublicationID=P20120625177", "https://www.airitibooks.com/Detail/Detail?PublicationID=P20120625177")</f>
        <v>https://www.airitibooks.com/Detail/Detail?PublicationID=P20120625177</v>
      </c>
      <c r="K4939" s="13" t="str">
        <f>HYPERLINK("https://ntsu.idm.oclc.org/login?url=https://www.airitibooks.com/Detail/Detail?PublicationID=P20120625177", "https://ntsu.idm.oclc.org/login?url=https://www.airitibooks.com/Detail/Detail?PublicationID=P20120625177")</f>
        <v>https://ntsu.idm.oclc.org/login?url=https://www.airitibooks.com/Detail/Detail?PublicationID=P20120625177</v>
      </c>
    </row>
    <row r="4940" spans="1:11" ht="51" x14ac:dyDescent="0.4">
      <c r="A4940" s="10" t="s">
        <v>314</v>
      </c>
      <c r="B4940" s="10" t="s">
        <v>315</v>
      </c>
      <c r="C4940" s="10" t="s">
        <v>304</v>
      </c>
      <c r="D4940" s="10" t="s">
        <v>316</v>
      </c>
      <c r="E4940" s="10" t="s">
        <v>137</v>
      </c>
      <c r="F4940" s="10" t="s">
        <v>317</v>
      </c>
      <c r="G4940" s="10" t="s">
        <v>76</v>
      </c>
      <c r="H4940" s="7" t="s">
        <v>24</v>
      </c>
      <c r="I4940" s="7" t="s">
        <v>25</v>
      </c>
      <c r="J4940" s="13" t="str">
        <f>HYPERLINK("https://www.airitibooks.com/Detail/Detail?PublicationID=P20120625178", "https://www.airitibooks.com/Detail/Detail?PublicationID=P20120625178")</f>
        <v>https://www.airitibooks.com/Detail/Detail?PublicationID=P20120625178</v>
      </c>
      <c r="K4940" s="13" t="str">
        <f>HYPERLINK("https://ntsu.idm.oclc.org/login?url=https://www.airitibooks.com/Detail/Detail?PublicationID=P20120625178", "https://ntsu.idm.oclc.org/login?url=https://www.airitibooks.com/Detail/Detail?PublicationID=P20120625178")</f>
        <v>https://ntsu.idm.oclc.org/login?url=https://www.airitibooks.com/Detail/Detail?PublicationID=P20120625178</v>
      </c>
    </row>
    <row r="4941" spans="1:11" ht="51" x14ac:dyDescent="0.4">
      <c r="A4941" s="10" t="s">
        <v>318</v>
      </c>
      <c r="B4941" s="10" t="s">
        <v>319</v>
      </c>
      <c r="C4941" s="10" t="s">
        <v>304</v>
      </c>
      <c r="D4941" s="10" t="s">
        <v>320</v>
      </c>
      <c r="E4941" s="10" t="s">
        <v>137</v>
      </c>
      <c r="F4941" s="10" t="s">
        <v>310</v>
      </c>
      <c r="G4941" s="10" t="s">
        <v>76</v>
      </c>
      <c r="H4941" s="7" t="s">
        <v>24</v>
      </c>
      <c r="I4941" s="7" t="s">
        <v>25</v>
      </c>
      <c r="J4941" s="13" t="str">
        <f>HYPERLINK("https://www.airitibooks.com/Detail/Detail?PublicationID=P20120625179", "https://www.airitibooks.com/Detail/Detail?PublicationID=P20120625179")</f>
        <v>https://www.airitibooks.com/Detail/Detail?PublicationID=P20120625179</v>
      </c>
      <c r="K4941" s="13" t="str">
        <f>HYPERLINK("https://ntsu.idm.oclc.org/login?url=https://www.airitibooks.com/Detail/Detail?PublicationID=P20120625179", "https://ntsu.idm.oclc.org/login?url=https://www.airitibooks.com/Detail/Detail?PublicationID=P20120625179")</f>
        <v>https://ntsu.idm.oclc.org/login?url=https://www.airitibooks.com/Detail/Detail?PublicationID=P20120625179</v>
      </c>
    </row>
    <row r="4942" spans="1:11" ht="51" x14ac:dyDescent="0.4">
      <c r="A4942" s="10" t="s">
        <v>329</v>
      </c>
      <c r="B4942" s="10" t="s">
        <v>330</v>
      </c>
      <c r="C4942" s="10" t="s">
        <v>304</v>
      </c>
      <c r="D4942" s="10" t="s">
        <v>331</v>
      </c>
      <c r="E4942" s="10" t="s">
        <v>137</v>
      </c>
      <c r="F4942" s="10" t="s">
        <v>332</v>
      </c>
      <c r="G4942" s="10" t="s">
        <v>76</v>
      </c>
      <c r="H4942" s="7" t="s">
        <v>24</v>
      </c>
      <c r="I4942" s="7" t="s">
        <v>25</v>
      </c>
      <c r="J4942" s="13" t="str">
        <f>HYPERLINK("https://www.airitibooks.com/Detail/Detail?PublicationID=P20120625185", "https://www.airitibooks.com/Detail/Detail?PublicationID=P20120625185")</f>
        <v>https://www.airitibooks.com/Detail/Detail?PublicationID=P20120625185</v>
      </c>
      <c r="K4942" s="13" t="str">
        <f>HYPERLINK("https://ntsu.idm.oclc.org/login?url=https://www.airitibooks.com/Detail/Detail?PublicationID=P20120625185", "https://ntsu.idm.oclc.org/login?url=https://www.airitibooks.com/Detail/Detail?PublicationID=P20120625185")</f>
        <v>https://ntsu.idm.oclc.org/login?url=https://www.airitibooks.com/Detail/Detail?PublicationID=P20120625185</v>
      </c>
    </row>
    <row r="4943" spans="1:11" ht="51" x14ac:dyDescent="0.4">
      <c r="A4943" s="10" t="s">
        <v>333</v>
      </c>
      <c r="B4943" s="10" t="s">
        <v>334</v>
      </c>
      <c r="C4943" s="10" t="s">
        <v>304</v>
      </c>
      <c r="D4943" s="10" t="s">
        <v>335</v>
      </c>
      <c r="E4943" s="10" t="s">
        <v>137</v>
      </c>
      <c r="F4943" s="10" t="s">
        <v>336</v>
      </c>
      <c r="G4943" s="10" t="s">
        <v>76</v>
      </c>
      <c r="H4943" s="7" t="s">
        <v>24</v>
      </c>
      <c r="I4943" s="7" t="s">
        <v>25</v>
      </c>
      <c r="J4943" s="13" t="str">
        <f>HYPERLINK("https://www.airitibooks.com/Detail/Detail?PublicationID=P20120625206", "https://www.airitibooks.com/Detail/Detail?PublicationID=P20120625206")</f>
        <v>https://www.airitibooks.com/Detail/Detail?PublicationID=P20120625206</v>
      </c>
      <c r="K4943" s="13" t="str">
        <f>HYPERLINK("https://ntsu.idm.oclc.org/login?url=https://www.airitibooks.com/Detail/Detail?PublicationID=P20120625206", "https://ntsu.idm.oclc.org/login?url=https://www.airitibooks.com/Detail/Detail?PublicationID=P20120625206")</f>
        <v>https://ntsu.idm.oclc.org/login?url=https://www.airitibooks.com/Detail/Detail?PublicationID=P20120625206</v>
      </c>
    </row>
    <row r="4944" spans="1:11" ht="51" x14ac:dyDescent="0.4">
      <c r="A4944" s="10" t="s">
        <v>337</v>
      </c>
      <c r="B4944" s="10" t="s">
        <v>338</v>
      </c>
      <c r="C4944" s="10" t="s">
        <v>304</v>
      </c>
      <c r="D4944" s="10" t="s">
        <v>339</v>
      </c>
      <c r="E4944" s="10" t="s">
        <v>137</v>
      </c>
      <c r="F4944" s="10" t="s">
        <v>336</v>
      </c>
      <c r="G4944" s="10" t="s">
        <v>76</v>
      </c>
      <c r="H4944" s="7" t="s">
        <v>24</v>
      </c>
      <c r="I4944" s="7" t="s">
        <v>25</v>
      </c>
      <c r="J4944" s="13" t="str">
        <f>HYPERLINK("https://www.airitibooks.com/Detail/Detail?PublicationID=P20120625211", "https://www.airitibooks.com/Detail/Detail?PublicationID=P20120625211")</f>
        <v>https://www.airitibooks.com/Detail/Detail?PublicationID=P20120625211</v>
      </c>
      <c r="K4944" s="13" t="str">
        <f>HYPERLINK("https://ntsu.idm.oclc.org/login?url=https://www.airitibooks.com/Detail/Detail?PublicationID=P20120625211", "https://ntsu.idm.oclc.org/login?url=https://www.airitibooks.com/Detail/Detail?PublicationID=P20120625211")</f>
        <v>https://ntsu.idm.oclc.org/login?url=https://www.airitibooks.com/Detail/Detail?PublicationID=P20120625211</v>
      </c>
    </row>
    <row r="4945" spans="1:11" ht="51" x14ac:dyDescent="0.4">
      <c r="A4945" s="10" t="s">
        <v>340</v>
      </c>
      <c r="B4945" s="10" t="s">
        <v>341</v>
      </c>
      <c r="C4945" s="10" t="s">
        <v>304</v>
      </c>
      <c r="D4945" s="10" t="s">
        <v>342</v>
      </c>
      <c r="E4945" s="10" t="s">
        <v>137</v>
      </c>
      <c r="F4945" s="10" t="s">
        <v>343</v>
      </c>
      <c r="G4945" s="10" t="s">
        <v>76</v>
      </c>
      <c r="H4945" s="7" t="s">
        <v>24</v>
      </c>
      <c r="I4945" s="7" t="s">
        <v>25</v>
      </c>
      <c r="J4945" s="13" t="str">
        <f>HYPERLINK("https://www.airitibooks.com/Detail/Detail?PublicationID=P20120625229", "https://www.airitibooks.com/Detail/Detail?PublicationID=P20120625229")</f>
        <v>https://www.airitibooks.com/Detail/Detail?PublicationID=P20120625229</v>
      </c>
      <c r="K4945" s="13" t="str">
        <f>HYPERLINK("https://ntsu.idm.oclc.org/login?url=https://www.airitibooks.com/Detail/Detail?PublicationID=P20120625229", "https://ntsu.idm.oclc.org/login?url=https://www.airitibooks.com/Detail/Detail?PublicationID=P20120625229")</f>
        <v>https://ntsu.idm.oclc.org/login?url=https://www.airitibooks.com/Detail/Detail?PublicationID=P20120625229</v>
      </c>
    </row>
    <row r="4946" spans="1:11" ht="51" x14ac:dyDescent="0.4">
      <c r="A4946" s="10" t="s">
        <v>369</v>
      </c>
      <c r="B4946" s="10" t="s">
        <v>370</v>
      </c>
      <c r="C4946" s="10" t="s">
        <v>371</v>
      </c>
      <c r="D4946" s="10" t="s">
        <v>372</v>
      </c>
      <c r="E4946" s="10" t="s">
        <v>137</v>
      </c>
      <c r="F4946" s="10" t="s">
        <v>373</v>
      </c>
      <c r="G4946" s="10" t="s">
        <v>76</v>
      </c>
      <c r="H4946" s="7" t="s">
        <v>24</v>
      </c>
      <c r="I4946" s="7" t="s">
        <v>25</v>
      </c>
      <c r="J4946" s="13" t="str">
        <f>HYPERLINK("https://www.airitibooks.com/Detail/Detail?PublicationID=P20120820024", "https://www.airitibooks.com/Detail/Detail?PublicationID=P20120820024")</f>
        <v>https://www.airitibooks.com/Detail/Detail?PublicationID=P20120820024</v>
      </c>
      <c r="K4946" s="13" t="str">
        <f>HYPERLINK("https://ntsu.idm.oclc.org/login?url=https://www.airitibooks.com/Detail/Detail?PublicationID=P20120820024", "https://ntsu.idm.oclc.org/login?url=https://www.airitibooks.com/Detail/Detail?PublicationID=P20120820024")</f>
        <v>https://ntsu.idm.oclc.org/login?url=https://www.airitibooks.com/Detail/Detail?PublicationID=P20120820024</v>
      </c>
    </row>
    <row r="4947" spans="1:11" ht="51" x14ac:dyDescent="0.4">
      <c r="A4947" s="10" t="s">
        <v>374</v>
      </c>
      <c r="B4947" s="10" t="s">
        <v>375</v>
      </c>
      <c r="C4947" s="10" t="s">
        <v>371</v>
      </c>
      <c r="D4947" s="10" t="s">
        <v>372</v>
      </c>
      <c r="E4947" s="10" t="s">
        <v>137</v>
      </c>
      <c r="F4947" s="10" t="s">
        <v>373</v>
      </c>
      <c r="G4947" s="10" t="s">
        <v>76</v>
      </c>
      <c r="H4947" s="7" t="s">
        <v>24</v>
      </c>
      <c r="I4947" s="7" t="s">
        <v>25</v>
      </c>
      <c r="J4947" s="13" t="str">
        <f>HYPERLINK("https://www.airitibooks.com/Detail/Detail?PublicationID=P20120820025", "https://www.airitibooks.com/Detail/Detail?PublicationID=P20120820025")</f>
        <v>https://www.airitibooks.com/Detail/Detail?PublicationID=P20120820025</v>
      </c>
      <c r="K4947" s="13" t="str">
        <f>HYPERLINK("https://ntsu.idm.oclc.org/login?url=https://www.airitibooks.com/Detail/Detail?PublicationID=P20120820025", "https://ntsu.idm.oclc.org/login?url=https://www.airitibooks.com/Detail/Detail?PublicationID=P20120820025")</f>
        <v>https://ntsu.idm.oclc.org/login?url=https://www.airitibooks.com/Detail/Detail?PublicationID=P20120820025</v>
      </c>
    </row>
    <row r="4948" spans="1:11" ht="51" x14ac:dyDescent="0.4">
      <c r="A4948" s="10" t="s">
        <v>376</v>
      </c>
      <c r="B4948" s="10" t="s">
        <v>377</v>
      </c>
      <c r="C4948" s="10" t="s">
        <v>371</v>
      </c>
      <c r="D4948" s="10" t="s">
        <v>372</v>
      </c>
      <c r="E4948" s="10" t="s">
        <v>137</v>
      </c>
      <c r="F4948" s="10" t="s">
        <v>373</v>
      </c>
      <c r="G4948" s="10" t="s">
        <v>76</v>
      </c>
      <c r="H4948" s="7" t="s">
        <v>24</v>
      </c>
      <c r="I4948" s="7" t="s">
        <v>25</v>
      </c>
      <c r="J4948" s="13" t="str">
        <f>HYPERLINK("https://www.airitibooks.com/Detail/Detail?PublicationID=P20120820026", "https://www.airitibooks.com/Detail/Detail?PublicationID=P20120820026")</f>
        <v>https://www.airitibooks.com/Detail/Detail?PublicationID=P20120820026</v>
      </c>
      <c r="K4948" s="13" t="str">
        <f>HYPERLINK("https://ntsu.idm.oclc.org/login?url=https://www.airitibooks.com/Detail/Detail?PublicationID=P20120820026", "https://ntsu.idm.oclc.org/login?url=https://www.airitibooks.com/Detail/Detail?PublicationID=P20120820026")</f>
        <v>https://ntsu.idm.oclc.org/login?url=https://www.airitibooks.com/Detail/Detail?PublicationID=P20120820026</v>
      </c>
    </row>
    <row r="4949" spans="1:11" ht="51" x14ac:dyDescent="0.4">
      <c r="A4949" s="10" t="s">
        <v>403</v>
      </c>
      <c r="B4949" s="10" t="s">
        <v>404</v>
      </c>
      <c r="C4949" s="10" t="s">
        <v>147</v>
      </c>
      <c r="D4949" s="10" t="s">
        <v>405</v>
      </c>
      <c r="E4949" s="10" t="s">
        <v>137</v>
      </c>
      <c r="F4949" s="10" t="s">
        <v>406</v>
      </c>
      <c r="G4949" s="10" t="s">
        <v>76</v>
      </c>
      <c r="H4949" s="7" t="s">
        <v>24</v>
      </c>
      <c r="I4949" s="7" t="s">
        <v>25</v>
      </c>
      <c r="J4949" s="13" t="str">
        <f>HYPERLINK("https://www.airitibooks.com/Detail/Detail?PublicationID=P20120927011", "https://www.airitibooks.com/Detail/Detail?PublicationID=P20120927011")</f>
        <v>https://www.airitibooks.com/Detail/Detail?PublicationID=P20120927011</v>
      </c>
      <c r="K4949" s="13" t="str">
        <f>HYPERLINK("https://ntsu.idm.oclc.org/login?url=https://www.airitibooks.com/Detail/Detail?PublicationID=P20120927011", "https://ntsu.idm.oclc.org/login?url=https://www.airitibooks.com/Detail/Detail?PublicationID=P20120927011")</f>
        <v>https://ntsu.idm.oclc.org/login?url=https://www.airitibooks.com/Detail/Detail?PublicationID=P20120927011</v>
      </c>
    </row>
    <row r="4950" spans="1:11" ht="51" x14ac:dyDescent="0.4">
      <c r="A4950" s="10" t="s">
        <v>465</v>
      </c>
      <c r="B4950" s="10" t="s">
        <v>466</v>
      </c>
      <c r="C4950" s="10" t="s">
        <v>467</v>
      </c>
      <c r="D4950" s="10" t="s">
        <v>468</v>
      </c>
      <c r="E4950" s="10" t="s">
        <v>137</v>
      </c>
      <c r="F4950" s="10" t="s">
        <v>470</v>
      </c>
      <c r="G4950" s="10" t="s">
        <v>76</v>
      </c>
      <c r="H4950" s="7" t="s">
        <v>24</v>
      </c>
      <c r="I4950" s="7" t="s">
        <v>25</v>
      </c>
      <c r="J4950" s="13" t="str">
        <f>HYPERLINK("https://www.airitibooks.com/Detail/Detail?PublicationID=P20121205029", "https://www.airitibooks.com/Detail/Detail?PublicationID=P20121205029")</f>
        <v>https://www.airitibooks.com/Detail/Detail?PublicationID=P20121205029</v>
      </c>
      <c r="K4950" s="13" t="str">
        <f>HYPERLINK("https://ntsu.idm.oclc.org/login?url=https://www.airitibooks.com/Detail/Detail?PublicationID=P20121205029", "https://ntsu.idm.oclc.org/login?url=https://www.airitibooks.com/Detail/Detail?PublicationID=P20121205029")</f>
        <v>https://ntsu.idm.oclc.org/login?url=https://www.airitibooks.com/Detail/Detail?PublicationID=P20121205029</v>
      </c>
    </row>
    <row r="4951" spans="1:11" ht="51" x14ac:dyDescent="0.4">
      <c r="A4951" s="10" t="s">
        <v>770</v>
      </c>
      <c r="B4951" s="10" t="s">
        <v>771</v>
      </c>
      <c r="C4951" s="10" t="s">
        <v>772</v>
      </c>
      <c r="D4951" s="10" t="s">
        <v>773</v>
      </c>
      <c r="E4951" s="10" t="s">
        <v>137</v>
      </c>
      <c r="F4951" s="10" t="s">
        <v>774</v>
      </c>
      <c r="G4951" s="10" t="s">
        <v>76</v>
      </c>
      <c r="H4951" s="7" t="s">
        <v>24</v>
      </c>
      <c r="I4951" s="7" t="s">
        <v>25</v>
      </c>
      <c r="J4951" s="13" t="str">
        <f>HYPERLINK("https://www.airitibooks.com/Detail/Detail?PublicationID=P20130830060", "https://www.airitibooks.com/Detail/Detail?PublicationID=P20130830060")</f>
        <v>https://www.airitibooks.com/Detail/Detail?PublicationID=P20130830060</v>
      </c>
      <c r="K4951" s="13" t="str">
        <f>HYPERLINK("https://ntsu.idm.oclc.org/login?url=https://www.airitibooks.com/Detail/Detail?PublicationID=P20130830060", "https://ntsu.idm.oclc.org/login?url=https://www.airitibooks.com/Detail/Detail?PublicationID=P20130830060")</f>
        <v>https://ntsu.idm.oclc.org/login?url=https://www.airitibooks.com/Detail/Detail?PublicationID=P20130830060</v>
      </c>
    </row>
    <row r="4952" spans="1:11" ht="68" x14ac:dyDescent="0.4">
      <c r="A4952" s="10" t="s">
        <v>775</v>
      </c>
      <c r="B4952" s="10" t="s">
        <v>776</v>
      </c>
      <c r="C4952" s="10" t="s">
        <v>772</v>
      </c>
      <c r="D4952" s="10" t="s">
        <v>777</v>
      </c>
      <c r="E4952" s="10" t="s">
        <v>137</v>
      </c>
      <c r="F4952" s="10" t="s">
        <v>774</v>
      </c>
      <c r="G4952" s="10" t="s">
        <v>76</v>
      </c>
      <c r="H4952" s="7" t="s">
        <v>24</v>
      </c>
      <c r="I4952" s="7" t="s">
        <v>25</v>
      </c>
      <c r="J4952" s="13" t="str">
        <f>HYPERLINK("https://www.airitibooks.com/Detail/Detail?PublicationID=P20130830061", "https://www.airitibooks.com/Detail/Detail?PublicationID=P20130830061")</f>
        <v>https://www.airitibooks.com/Detail/Detail?PublicationID=P20130830061</v>
      </c>
      <c r="K4952" s="13" t="str">
        <f>HYPERLINK("https://ntsu.idm.oclc.org/login?url=https://www.airitibooks.com/Detail/Detail?PublicationID=P20130830061", "https://ntsu.idm.oclc.org/login?url=https://www.airitibooks.com/Detail/Detail?PublicationID=P20130830061")</f>
        <v>https://ntsu.idm.oclc.org/login?url=https://www.airitibooks.com/Detail/Detail?PublicationID=P20130830061</v>
      </c>
    </row>
    <row r="4953" spans="1:11" ht="51" x14ac:dyDescent="0.4">
      <c r="A4953" s="10" t="s">
        <v>2314</v>
      </c>
      <c r="B4953" s="10" t="s">
        <v>2315</v>
      </c>
      <c r="C4953" s="10" t="s">
        <v>1982</v>
      </c>
      <c r="D4953" s="10" t="s">
        <v>2316</v>
      </c>
      <c r="E4953" s="10" t="s">
        <v>137</v>
      </c>
      <c r="F4953" s="10" t="s">
        <v>2313</v>
      </c>
      <c r="G4953" s="10" t="s">
        <v>76</v>
      </c>
      <c r="H4953" s="7" t="s">
        <v>24</v>
      </c>
      <c r="I4953" s="7" t="s">
        <v>25</v>
      </c>
      <c r="J4953" s="13" t="str">
        <f>HYPERLINK("https://www.airitibooks.com/Detail/Detail?PublicationID=P20150409014", "https://www.airitibooks.com/Detail/Detail?PublicationID=P20150409014")</f>
        <v>https://www.airitibooks.com/Detail/Detail?PublicationID=P20150409014</v>
      </c>
      <c r="K4953" s="13" t="str">
        <f>HYPERLINK("https://ntsu.idm.oclc.org/login?url=https://www.airitibooks.com/Detail/Detail?PublicationID=P20150409014", "https://ntsu.idm.oclc.org/login?url=https://www.airitibooks.com/Detail/Detail?PublicationID=P20150409014")</f>
        <v>https://ntsu.idm.oclc.org/login?url=https://www.airitibooks.com/Detail/Detail?PublicationID=P20150409014</v>
      </c>
    </row>
    <row r="4954" spans="1:11" ht="51" x14ac:dyDescent="0.4">
      <c r="A4954" s="10" t="s">
        <v>2329</v>
      </c>
      <c r="B4954" s="10" t="s">
        <v>2330</v>
      </c>
      <c r="C4954" s="10" t="s">
        <v>1982</v>
      </c>
      <c r="D4954" s="10" t="s">
        <v>2331</v>
      </c>
      <c r="E4954" s="10" t="s">
        <v>137</v>
      </c>
      <c r="F4954" s="10" t="s">
        <v>2332</v>
      </c>
      <c r="G4954" s="10" t="s">
        <v>76</v>
      </c>
      <c r="H4954" s="7" t="s">
        <v>24</v>
      </c>
      <c r="I4954" s="7" t="s">
        <v>25</v>
      </c>
      <c r="J4954" s="13" t="str">
        <f>HYPERLINK("https://www.airitibooks.com/Detail/Detail?PublicationID=P20150409034", "https://www.airitibooks.com/Detail/Detail?PublicationID=P20150409034")</f>
        <v>https://www.airitibooks.com/Detail/Detail?PublicationID=P20150409034</v>
      </c>
      <c r="K4954" s="13" t="str">
        <f>HYPERLINK("https://ntsu.idm.oclc.org/login?url=https://www.airitibooks.com/Detail/Detail?PublicationID=P20150409034", "https://ntsu.idm.oclc.org/login?url=https://www.airitibooks.com/Detail/Detail?PublicationID=P20150409034")</f>
        <v>https://ntsu.idm.oclc.org/login?url=https://www.airitibooks.com/Detail/Detail?PublicationID=P20150409034</v>
      </c>
    </row>
    <row r="4955" spans="1:11" ht="51" x14ac:dyDescent="0.4">
      <c r="A4955" s="10" t="s">
        <v>5830</v>
      </c>
      <c r="B4955" s="10" t="s">
        <v>5831</v>
      </c>
      <c r="C4955" s="10" t="s">
        <v>4120</v>
      </c>
      <c r="D4955" s="10" t="s">
        <v>5832</v>
      </c>
      <c r="E4955" s="10" t="s">
        <v>137</v>
      </c>
      <c r="F4955" s="10" t="s">
        <v>700</v>
      </c>
      <c r="G4955" s="10" t="s">
        <v>76</v>
      </c>
      <c r="H4955" s="7" t="s">
        <v>24</v>
      </c>
      <c r="I4955" s="7" t="s">
        <v>25</v>
      </c>
      <c r="J4955" s="13" t="str">
        <f>HYPERLINK("https://www.airitibooks.com/Detail/Detail?PublicationID=P20161221173", "https://www.airitibooks.com/Detail/Detail?PublicationID=P20161221173")</f>
        <v>https://www.airitibooks.com/Detail/Detail?PublicationID=P20161221173</v>
      </c>
      <c r="K4955" s="13" t="str">
        <f>HYPERLINK("https://ntsu.idm.oclc.org/login?url=https://www.airitibooks.com/Detail/Detail?PublicationID=P20161221173", "https://ntsu.idm.oclc.org/login?url=https://www.airitibooks.com/Detail/Detail?PublicationID=P20161221173")</f>
        <v>https://ntsu.idm.oclc.org/login?url=https://www.airitibooks.com/Detail/Detail?PublicationID=P20161221173</v>
      </c>
    </row>
    <row r="4956" spans="1:11" ht="51" x14ac:dyDescent="0.4">
      <c r="A4956" s="10" t="s">
        <v>2169</v>
      </c>
      <c r="B4956" s="10" t="s">
        <v>2170</v>
      </c>
      <c r="C4956" s="10" t="s">
        <v>1504</v>
      </c>
      <c r="D4956" s="10" t="s">
        <v>2171</v>
      </c>
      <c r="E4956" s="10" t="s">
        <v>137</v>
      </c>
      <c r="F4956" s="10" t="s">
        <v>2172</v>
      </c>
      <c r="G4956" s="10" t="s">
        <v>55</v>
      </c>
      <c r="H4956" s="7" t="s">
        <v>24</v>
      </c>
      <c r="I4956" s="7" t="s">
        <v>25</v>
      </c>
      <c r="J4956" s="13" t="str">
        <f>HYPERLINK("https://www.airitibooks.com/Detail/Detail?PublicationID=P20150318009", "https://www.airitibooks.com/Detail/Detail?PublicationID=P20150318009")</f>
        <v>https://www.airitibooks.com/Detail/Detail?PublicationID=P20150318009</v>
      </c>
      <c r="K4956" s="13" t="str">
        <f>HYPERLINK("https://ntsu.idm.oclc.org/login?url=https://www.airitibooks.com/Detail/Detail?PublicationID=P20150318009", "https://ntsu.idm.oclc.org/login?url=https://www.airitibooks.com/Detail/Detail?PublicationID=P20150318009")</f>
        <v>https://ntsu.idm.oclc.org/login?url=https://www.airitibooks.com/Detail/Detail?PublicationID=P20150318009</v>
      </c>
    </row>
    <row r="4957" spans="1:11" ht="51" x14ac:dyDescent="0.4">
      <c r="A4957" s="10" t="s">
        <v>133</v>
      </c>
      <c r="B4957" s="10" t="s">
        <v>134</v>
      </c>
      <c r="C4957" s="10" t="s">
        <v>135</v>
      </c>
      <c r="D4957" s="10" t="s">
        <v>136</v>
      </c>
      <c r="E4957" s="10" t="s">
        <v>137</v>
      </c>
      <c r="F4957" s="10" t="s">
        <v>138</v>
      </c>
      <c r="G4957" s="10" t="s">
        <v>87</v>
      </c>
      <c r="H4957" s="7" t="s">
        <v>24</v>
      </c>
      <c r="I4957" s="7" t="s">
        <v>25</v>
      </c>
      <c r="J4957" s="13" t="str">
        <f>HYPERLINK("https://www.airitibooks.com/Detail/Detail?PublicationID=P20101230003", "https://www.airitibooks.com/Detail/Detail?PublicationID=P20101230003")</f>
        <v>https://www.airitibooks.com/Detail/Detail?PublicationID=P20101230003</v>
      </c>
      <c r="K4957" s="13" t="str">
        <f>HYPERLINK("https://ntsu.idm.oclc.org/login?url=https://www.airitibooks.com/Detail/Detail?PublicationID=P20101230003", "https://ntsu.idm.oclc.org/login?url=https://www.airitibooks.com/Detail/Detail?PublicationID=P20101230003")</f>
        <v>https://ntsu.idm.oclc.org/login?url=https://www.airitibooks.com/Detail/Detail?PublicationID=P20101230003</v>
      </c>
    </row>
    <row r="4958" spans="1:11" ht="51" x14ac:dyDescent="0.4">
      <c r="A4958" s="10" t="s">
        <v>629</v>
      </c>
      <c r="B4958" s="10" t="s">
        <v>630</v>
      </c>
      <c r="C4958" s="10" t="s">
        <v>627</v>
      </c>
      <c r="D4958" s="10" t="s">
        <v>631</v>
      </c>
      <c r="E4958" s="10" t="s">
        <v>137</v>
      </c>
      <c r="F4958" s="10" t="s">
        <v>633</v>
      </c>
      <c r="G4958" s="10" t="s">
        <v>87</v>
      </c>
      <c r="H4958" s="7" t="s">
        <v>24</v>
      </c>
      <c r="I4958" s="7" t="s">
        <v>25</v>
      </c>
      <c r="J4958" s="13" t="str">
        <f>HYPERLINK("https://www.airitibooks.com/Detail/Detail?PublicationID=P20130517068", "https://www.airitibooks.com/Detail/Detail?PublicationID=P20130517068")</f>
        <v>https://www.airitibooks.com/Detail/Detail?PublicationID=P20130517068</v>
      </c>
      <c r="K4958" s="13" t="str">
        <f>HYPERLINK("https://ntsu.idm.oclc.org/login?url=https://www.airitibooks.com/Detail/Detail?PublicationID=P20130517068", "https://ntsu.idm.oclc.org/login?url=https://www.airitibooks.com/Detail/Detail?PublicationID=P20130517068")</f>
        <v>https://ntsu.idm.oclc.org/login?url=https://www.airitibooks.com/Detail/Detail?PublicationID=P20130517068</v>
      </c>
    </row>
    <row r="4959" spans="1:11" ht="51" x14ac:dyDescent="0.4">
      <c r="A4959" s="10" t="s">
        <v>163</v>
      </c>
      <c r="B4959" s="10" t="s">
        <v>164</v>
      </c>
      <c r="C4959" s="10" t="s">
        <v>165</v>
      </c>
      <c r="D4959" s="10" t="s">
        <v>166</v>
      </c>
      <c r="E4959" s="10" t="s">
        <v>137</v>
      </c>
      <c r="F4959" s="10" t="s">
        <v>167</v>
      </c>
      <c r="G4959" s="10" t="s">
        <v>23</v>
      </c>
      <c r="H4959" s="7" t="s">
        <v>24</v>
      </c>
      <c r="I4959" s="7" t="s">
        <v>25</v>
      </c>
      <c r="J4959" s="13" t="str">
        <f>HYPERLINK("https://www.airitibooks.com/Detail/Detail?PublicationID=P20110623039", "https://www.airitibooks.com/Detail/Detail?PublicationID=P20110623039")</f>
        <v>https://www.airitibooks.com/Detail/Detail?PublicationID=P20110623039</v>
      </c>
      <c r="K4959" s="13" t="str">
        <f>HYPERLINK("https://ntsu.idm.oclc.org/login?url=https://www.airitibooks.com/Detail/Detail?PublicationID=P20110623039", "https://ntsu.idm.oclc.org/login?url=https://www.airitibooks.com/Detail/Detail?PublicationID=P20110623039")</f>
        <v>https://ntsu.idm.oclc.org/login?url=https://www.airitibooks.com/Detail/Detail?PublicationID=P20110623039</v>
      </c>
    </row>
    <row r="4960" spans="1:11" ht="51" x14ac:dyDescent="0.4">
      <c r="A4960" s="10" t="s">
        <v>195</v>
      </c>
      <c r="B4960" s="10" t="s">
        <v>196</v>
      </c>
      <c r="C4960" s="10" t="s">
        <v>197</v>
      </c>
      <c r="D4960" s="10" t="s">
        <v>198</v>
      </c>
      <c r="E4960" s="10" t="s">
        <v>137</v>
      </c>
      <c r="F4960" s="10" t="s">
        <v>199</v>
      </c>
      <c r="G4960" s="10" t="s">
        <v>23</v>
      </c>
      <c r="H4960" s="7" t="s">
        <v>24</v>
      </c>
      <c r="I4960" s="7" t="s">
        <v>25</v>
      </c>
      <c r="J4960" s="13" t="str">
        <f>HYPERLINK("https://www.airitibooks.com/Detail/Detail?PublicationID=P20110818042", "https://www.airitibooks.com/Detail/Detail?PublicationID=P20110818042")</f>
        <v>https://www.airitibooks.com/Detail/Detail?PublicationID=P20110818042</v>
      </c>
      <c r="K4960" s="13" t="str">
        <f>HYPERLINK("https://ntsu.idm.oclc.org/login?url=https://www.airitibooks.com/Detail/Detail?PublicationID=P20110818042", "https://ntsu.idm.oclc.org/login?url=https://www.airitibooks.com/Detail/Detail?PublicationID=P20110818042")</f>
        <v>https://ntsu.idm.oclc.org/login?url=https://www.airitibooks.com/Detail/Detail?PublicationID=P20110818042</v>
      </c>
    </row>
    <row r="4961" spans="1:11" ht="51" x14ac:dyDescent="0.4">
      <c r="A4961" s="10" t="s">
        <v>247</v>
      </c>
      <c r="B4961" s="10" t="s">
        <v>248</v>
      </c>
      <c r="C4961" s="10" t="s">
        <v>240</v>
      </c>
      <c r="D4961" s="10" t="s">
        <v>249</v>
      </c>
      <c r="E4961" s="10" t="s">
        <v>137</v>
      </c>
      <c r="F4961" s="10" t="s">
        <v>250</v>
      </c>
      <c r="G4961" s="10" t="s">
        <v>23</v>
      </c>
      <c r="H4961" s="7" t="s">
        <v>24</v>
      </c>
      <c r="I4961" s="7" t="s">
        <v>25</v>
      </c>
      <c r="J4961" s="13" t="str">
        <f>HYPERLINK("https://www.airitibooks.com/Detail/Detail?PublicationID=P20110921010", "https://www.airitibooks.com/Detail/Detail?PublicationID=P20110921010")</f>
        <v>https://www.airitibooks.com/Detail/Detail?PublicationID=P20110921010</v>
      </c>
      <c r="K4961" s="13" t="str">
        <f>HYPERLINK("https://ntsu.idm.oclc.org/login?url=https://www.airitibooks.com/Detail/Detail?PublicationID=P20110921010", "https://ntsu.idm.oclc.org/login?url=https://www.airitibooks.com/Detail/Detail?PublicationID=P20110921010")</f>
        <v>https://ntsu.idm.oclc.org/login?url=https://www.airitibooks.com/Detail/Detail?PublicationID=P20110921010</v>
      </c>
    </row>
    <row r="4962" spans="1:11" ht="51" x14ac:dyDescent="0.4">
      <c r="A4962" s="10" t="s">
        <v>355</v>
      </c>
      <c r="B4962" s="10" t="s">
        <v>356</v>
      </c>
      <c r="C4962" s="10" t="s">
        <v>357</v>
      </c>
      <c r="D4962" s="10" t="s">
        <v>358</v>
      </c>
      <c r="E4962" s="10" t="s">
        <v>137</v>
      </c>
      <c r="F4962" s="10" t="s">
        <v>359</v>
      </c>
      <c r="G4962" s="10" t="s">
        <v>23</v>
      </c>
      <c r="H4962" s="7" t="s">
        <v>24</v>
      </c>
      <c r="I4962" s="7" t="s">
        <v>25</v>
      </c>
      <c r="J4962" s="13" t="str">
        <f>HYPERLINK("https://www.airitibooks.com/Detail/Detail?PublicationID=P20120703097", "https://www.airitibooks.com/Detail/Detail?PublicationID=P20120703097")</f>
        <v>https://www.airitibooks.com/Detail/Detail?PublicationID=P20120703097</v>
      </c>
      <c r="K4962" s="13" t="str">
        <f>HYPERLINK("https://ntsu.idm.oclc.org/login?url=https://www.airitibooks.com/Detail/Detail?PublicationID=P20120703097", "https://ntsu.idm.oclc.org/login?url=https://www.airitibooks.com/Detail/Detail?PublicationID=P20120703097")</f>
        <v>https://ntsu.idm.oclc.org/login?url=https://www.airitibooks.com/Detail/Detail?PublicationID=P20120703097</v>
      </c>
    </row>
    <row r="4963" spans="1:11" ht="51" x14ac:dyDescent="0.4">
      <c r="A4963" s="10" t="s">
        <v>387</v>
      </c>
      <c r="B4963" s="10" t="s">
        <v>388</v>
      </c>
      <c r="C4963" s="10" t="s">
        <v>384</v>
      </c>
      <c r="D4963" s="10" t="s">
        <v>389</v>
      </c>
      <c r="E4963" s="10" t="s">
        <v>137</v>
      </c>
      <c r="F4963" s="10" t="s">
        <v>386</v>
      </c>
      <c r="G4963" s="10" t="s">
        <v>23</v>
      </c>
      <c r="H4963" s="7" t="s">
        <v>24</v>
      </c>
      <c r="I4963" s="7" t="s">
        <v>25</v>
      </c>
      <c r="J4963" s="13" t="str">
        <f>HYPERLINK("https://www.airitibooks.com/Detail/Detail?PublicationID=P20120910069", "https://www.airitibooks.com/Detail/Detail?PublicationID=P20120910069")</f>
        <v>https://www.airitibooks.com/Detail/Detail?PublicationID=P20120910069</v>
      </c>
      <c r="K4963" s="13" t="str">
        <f>HYPERLINK("https://ntsu.idm.oclc.org/login?url=https://www.airitibooks.com/Detail/Detail?PublicationID=P20120910069", "https://ntsu.idm.oclc.org/login?url=https://www.airitibooks.com/Detail/Detail?PublicationID=P20120910069")</f>
        <v>https://ntsu.idm.oclc.org/login?url=https://www.airitibooks.com/Detail/Detail?PublicationID=P20120910069</v>
      </c>
    </row>
    <row r="4964" spans="1:11" ht="51" x14ac:dyDescent="0.4">
      <c r="A4964" s="10" t="s">
        <v>717</v>
      </c>
      <c r="B4964" s="10" t="s">
        <v>718</v>
      </c>
      <c r="C4964" s="10" t="s">
        <v>707</v>
      </c>
      <c r="D4964" s="10" t="s">
        <v>719</v>
      </c>
      <c r="E4964" s="10" t="s">
        <v>137</v>
      </c>
      <c r="F4964" s="10" t="s">
        <v>720</v>
      </c>
      <c r="G4964" s="10" t="s">
        <v>23</v>
      </c>
      <c r="H4964" s="7" t="s">
        <v>24</v>
      </c>
      <c r="I4964" s="7" t="s">
        <v>25</v>
      </c>
      <c r="J4964" s="13" t="str">
        <f>HYPERLINK("https://www.airitibooks.com/Detail/Detail?PublicationID=P20130802089", "https://www.airitibooks.com/Detail/Detail?PublicationID=P20130802089")</f>
        <v>https://www.airitibooks.com/Detail/Detail?PublicationID=P20130802089</v>
      </c>
      <c r="K4964" s="13" t="str">
        <f>HYPERLINK("https://ntsu.idm.oclc.org/login?url=https://www.airitibooks.com/Detail/Detail?PublicationID=P20130802089", "https://ntsu.idm.oclc.org/login?url=https://www.airitibooks.com/Detail/Detail?PublicationID=P20130802089")</f>
        <v>https://ntsu.idm.oclc.org/login?url=https://www.airitibooks.com/Detail/Detail?PublicationID=P20130802089</v>
      </c>
    </row>
    <row r="4965" spans="1:11" ht="51" x14ac:dyDescent="0.4">
      <c r="A4965" s="10" t="s">
        <v>789</v>
      </c>
      <c r="B4965" s="10" t="s">
        <v>790</v>
      </c>
      <c r="C4965" s="10" t="s">
        <v>791</v>
      </c>
      <c r="D4965" s="10" t="s">
        <v>792</v>
      </c>
      <c r="E4965" s="10" t="s">
        <v>137</v>
      </c>
      <c r="F4965" s="10" t="s">
        <v>793</v>
      </c>
      <c r="G4965" s="10" t="s">
        <v>23</v>
      </c>
      <c r="H4965" s="7" t="s">
        <v>24</v>
      </c>
      <c r="I4965" s="7" t="s">
        <v>25</v>
      </c>
      <c r="J4965" s="13" t="str">
        <f>HYPERLINK("https://www.airitibooks.com/Detail/Detail?PublicationID=P20130916001", "https://www.airitibooks.com/Detail/Detail?PublicationID=P20130916001")</f>
        <v>https://www.airitibooks.com/Detail/Detail?PublicationID=P20130916001</v>
      </c>
      <c r="K4965" s="13" t="str">
        <f>HYPERLINK("https://ntsu.idm.oclc.org/login?url=https://www.airitibooks.com/Detail/Detail?PublicationID=P20130916001", "https://ntsu.idm.oclc.org/login?url=https://www.airitibooks.com/Detail/Detail?PublicationID=P20130916001")</f>
        <v>https://ntsu.idm.oclc.org/login?url=https://www.airitibooks.com/Detail/Detail?PublicationID=P20130916001</v>
      </c>
    </row>
    <row r="4966" spans="1:11" ht="51" x14ac:dyDescent="0.4">
      <c r="A4966" s="10" t="s">
        <v>1865</v>
      </c>
      <c r="B4966" s="10" t="s">
        <v>1866</v>
      </c>
      <c r="C4966" s="10" t="s">
        <v>544</v>
      </c>
      <c r="D4966" s="10" t="s">
        <v>1867</v>
      </c>
      <c r="E4966" s="10" t="s">
        <v>137</v>
      </c>
      <c r="F4966" s="10" t="s">
        <v>1868</v>
      </c>
      <c r="G4966" s="10" t="s">
        <v>23</v>
      </c>
      <c r="H4966" s="7" t="s">
        <v>24</v>
      </c>
      <c r="I4966" s="7" t="s">
        <v>25</v>
      </c>
      <c r="J4966" s="13" t="str">
        <f>HYPERLINK("https://www.airitibooks.com/Detail/Detail?PublicationID=P20150122034", "https://www.airitibooks.com/Detail/Detail?PublicationID=P20150122034")</f>
        <v>https://www.airitibooks.com/Detail/Detail?PublicationID=P20150122034</v>
      </c>
      <c r="K4966" s="13" t="str">
        <f>HYPERLINK("https://ntsu.idm.oclc.org/login?url=https://www.airitibooks.com/Detail/Detail?PublicationID=P20150122034", "https://ntsu.idm.oclc.org/login?url=https://www.airitibooks.com/Detail/Detail?PublicationID=P20150122034")</f>
        <v>https://ntsu.idm.oclc.org/login?url=https://www.airitibooks.com/Detail/Detail?PublicationID=P20150122034</v>
      </c>
    </row>
    <row r="4967" spans="1:11" ht="68" x14ac:dyDescent="0.4">
      <c r="A4967" s="10" t="s">
        <v>2399</v>
      </c>
      <c r="B4967" s="10" t="s">
        <v>2400</v>
      </c>
      <c r="C4967" s="10" t="s">
        <v>2299</v>
      </c>
      <c r="D4967" s="10" t="s">
        <v>2401</v>
      </c>
      <c r="E4967" s="10" t="s">
        <v>137</v>
      </c>
      <c r="F4967" s="10" t="s">
        <v>1646</v>
      </c>
      <c r="G4967" s="10" t="s">
        <v>23</v>
      </c>
      <c r="H4967" s="7" t="s">
        <v>1467</v>
      </c>
      <c r="I4967" s="7" t="s">
        <v>25</v>
      </c>
      <c r="J4967" s="13" t="str">
        <f>HYPERLINK("https://www.airitibooks.com/Detail/Detail?PublicationID=P20150420023", "https://www.airitibooks.com/Detail/Detail?PublicationID=P20150420023")</f>
        <v>https://www.airitibooks.com/Detail/Detail?PublicationID=P20150420023</v>
      </c>
      <c r="K4967" s="13" t="str">
        <f>HYPERLINK("https://ntsu.idm.oclc.org/login?url=https://www.airitibooks.com/Detail/Detail?PublicationID=P20150420023", "https://ntsu.idm.oclc.org/login?url=https://www.airitibooks.com/Detail/Detail?PublicationID=P20150420023")</f>
        <v>https://ntsu.idm.oclc.org/login?url=https://www.airitibooks.com/Detail/Detail?PublicationID=P20150420023</v>
      </c>
    </row>
    <row r="4968" spans="1:11" ht="68" x14ac:dyDescent="0.4">
      <c r="A4968" s="10" t="s">
        <v>2402</v>
      </c>
      <c r="B4968" s="10" t="s">
        <v>2403</v>
      </c>
      <c r="C4968" s="10" t="s">
        <v>2299</v>
      </c>
      <c r="D4968" s="10" t="s">
        <v>2401</v>
      </c>
      <c r="E4968" s="10" t="s">
        <v>137</v>
      </c>
      <c r="F4968" s="10" t="s">
        <v>1646</v>
      </c>
      <c r="G4968" s="10" t="s">
        <v>23</v>
      </c>
      <c r="H4968" s="7" t="s">
        <v>1467</v>
      </c>
      <c r="I4968" s="7" t="s">
        <v>25</v>
      </c>
      <c r="J4968" s="13" t="str">
        <f>HYPERLINK("https://www.airitibooks.com/Detail/Detail?PublicationID=P20150420024", "https://www.airitibooks.com/Detail/Detail?PublicationID=P20150420024")</f>
        <v>https://www.airitibooks.com/Detail/Detail?PublicationID=P20150420024</v>
      </c>
      <c r="K4968" s="13" t="str">
        <f>HYPERLINK("https://ntsu.idm.oclc.org/login?url=https://www.airitibooks.com/Detail/Detail?PublicationID=P20150420024", "https://ntsu.idm.oclc.org/login?url=https://www.airitibooks.com/Detail/Detail?PublicationID=P20150420024")</f>
        <v>https://ntsu.idm.oclc.org/login?url=https://www.airitibooks.com/Detail/Detail?PublicationID=P20150420024</v>
      </c>
    </row>
    <row r="4969" spans="1:11" ht="136" x14ac:dyDescent="0.4">
      <c r="A4969" s="10" t="s">
        <v>2404</v>
      </c>
      <c r="B4969" s="10" t="s">
        <v>2405</v>
      </c>
      <c r="C4969" s="10" t="s">
        <v>2299</v>
      </c>
      <c r="D4969" s="10" t="s">
        <v>2406</v>
      </c>
      <c r="E4969" s="10" t="s">
        <v>137</v>
      </c>
      <c r="F4969" s="10" t="s">
        <v>1646</v>
      </c>
      <c r="G4969" s="10" t="s">
        <v>23</v>
      </c>
      <c r="H4969" s="7" t="s">
        <v>1467</v>
      </c>
      <c r="I4969" s="7" t="s">
        <v>25</v>
      </c>
      <c r="J4969" s="13" t="str">
        <f>HYPERLINK("https://www.airitibooks.com/Detail/Detail?PublicationID=P20150420025", "https://www.airitibooks.com/Detail/Detail?PublicationID=P20150420025")</f>
        <v>https://www.airitibooks.com/Detail/Detail?PublicationID=P20150420025</v>
      </c>
      <c r="K4969" s="13" t="str">
        <f>HYPERLINK("https://ntsu.idm.oclc.org/login?url=https://www.airitibooks.com/Detail/Detail?PublicationID=P20150420025", "https://ntsu.idm.oclc.org/login?url=https://www.airitibooks.com/Detail/Detail?PublicationID=P20150420025")</f>
        <v>https://ntsu.idm.oclc.org/login?url=https://www.airitibooks.com/Detail/Detail?PublicationID=P20150420025</v>
      </c>
    </row>
    <row r="4970" spans="1:11" ht="119" x14ac:dyDescent="0.4">
      <c r="A4970" s="10" t="s">
        <v>2407</v>
      </c>
      <c r="B4970" s="10" t="s">
        <v>2408</v>
      </c>
      <c r="C4970" s="10" t="s">
        <v>2299</v>
      </c>
      <c r="D4970" s="10" t="s">
        <v>2409</v>
      </c>
      <c r="E4970" s="10" t="s">
        <v>137</v>
      </c>
      <c r="F4970" s="10" t="s">
        <v>1646</v>
      </c>
      <c r="G4970" s="10" t="s">
        <v>23</v>
      </c>
      <c r="H4970" s="7" t="s">
        <v>1467</v>
      </c>
      <c r="I4970" s="7" t="s">
        <v>25</v>
      </c>
      <c r="J4970" s="13" t="str">
        <f>HYPERLINK("https://www.airitibooks.com/Detail/Detail?PublicationID=P20150420026", "https://www.airitibooks.com/Detail/Detail?PublicationID=P20150420026")</f>
        <v>https://www.airitibooks.com/Detail/Detail?PublicationID=P20150420026</v>
      </c>
      <c r="K4970" s="13" t="str">
        <f>HYPERLINK("https://ntsu.idm.oclc.org/login?url=https://www.airitibooks.com/Detail/Detail?PublicationID=P20150420026", "https://ntsu.idm.oclc.org/login?url=https://www.airitibooks.com/Detail/Detail?PublicationID=P20150420026")</f>
        <v>https://ntsu.idm.oclc.org/login?url=https://www.airitibooks.com/Detail/Detail?PublicationID=P20150420026</v>
      </c>
    </row>
    <row r="4971" spans="1:11" ht="85" x14ac:dyDescent="0.4">
      <c r="A4971" s="10" t="s">
        <v>2410</v>
      </c>
      <c r="B4971" s="10" t="s">
        <v>2411</v>
      </c>
      <c r="C4971" s="10" t="s">
        <v>2299</v>
      </c>
      <c r="D4971" s="10" t="s">
        <v>2412</v>
      </c>
      <c r="E4971" s="10" t="s">
        <v>137</v>
      </c>
      <c r="F4971" s="10" t="s">
        <v>1646</v>
      </c>
      <c r="G4971" s="10" t="s">
        <v>23</v>
      </c>
      <c r="H4971" s="7" t="s">
        <v>1467</v>
      </c>
      <c r="I4971" s="7" t="s">
        <v>25</v>
      </c>
      <c r="J4971" s="13" t="str">
        <f>HYPERLINK("https://www.airitibooks.com/Detail/Detail?PublicationID=P20150420027", "https://www.airitibooks.com/Detail/Detail?PublicationID=P20150420027")</f>
        <v>https://www.airitibooks.com/Detail/Detail?PublicationID=P20150420027</v>
      </c>
      <c r="K4971" s="13" t="str">
        <f>HYPERLINK("https://ntsu.idm.oclc.org/login?url=https://www.airitibooks.com/Detail/Detail?PublicationID=P20150420027", "https://ntsu.idm.oclc.org/login?url=https://www.airitibooks.com/Detail/Detail?PublicationID=P20150420027")</f>
        <v>https://ntsu.idm.oclc.org/login?url=https://www.airitibooks.com/Detail/Detail?PublicationID=P20150420027</v>
      </c>
    </row>
    <row r="4972" spans="1:11" ht="85" x14ac:dyDescent="0.4">
      <c r="A4972" s="10" t="s">
        <v>2413</v>
      </c>
      <c r="B4972" s="10" t="s">
        <v>2414</v>
      </c>
      <c r="C4972" s="10" t="s">
        <v>2299</v>
      </c>
      <c r="D4972" s="10" t="s">
        <v>2415</v>
      </c>
      <c r="E4972" s="10" t="s">
        <v>137</v>
      </c>
      <c r="F4972" s="10" t="s">
        <v>1646</v>
      </c>
      <c r="G4972" s="10" t="s">
        <v>23</v>
      </c>
      <c r="H4972" s="7" t="s">
        <v>1467</v>
      </c>
      <c r="I4972" s="7" t="s">
        <v>25</v>
      </c>
      <c r="J4972" s="13" t="str">
        <f>HYPERLINK("https://www.airitibooks.com/Detail/Detail?PublicationID=P20150420028", "https://www.airitibooks.com/Detail/Detail?PublicationID=P20150420028")</f>
        <v>https://www.airitibooks.com/Detail/Detail?PublicationID=P20150420028</v>
      </c>
      <c r="K4972" s="13" t="str">
        <f>HYPERLINK("https://ntsu.idm.oclc.org/login?url=https://www.airitibooks.com/Detail/Detail?PublicationID=P20150420028", "https://ntsu.idm.oclc.org/login?url=https://www.airitibooks.com/Detail/Detail?PublicationID=P20150420028")</f>
        <v>https://ntsu.idm.oclc.org/login?url=https://www.airitibooks.com/Detail/Detail?PublicationID=P20150420028</v>
      </c>
    </row>
    <row r="4973" spans="1:11" ht="68" x14ac:dyDescent="0.4">
      <c r="A4973" s="10" t="s">
        <v>2419</v>
      </c>
      <c r="B4973" s="10" t="s">
        <v>2420</v>
      </c>
      <c r="C4973" s="10" t="s">
        <v>2299</v>
      </c>
      <c r="D4973" s="10" t="s">
        <v>2421</v>
      </c>
      <c r="E4973" s="10" t="s">
        <v>137</v>
      </c>
      <c r="F4973" s="10" t="s">
        <v>1646</v>
      </c>
      <c r="G4973" s="10" t="s">
        <v>23</v>
      </c>
      <c r="H4973" s="7" t="s">
        <v>1467</v>
      </c>
      <c r="I4973" s="7" t="s">
        <v>25</v>
      </c>
      <c r="J4973" s="13" t="str">
        <f>HYPERLINK("https://www.airitibooks.com/Detail/Detail?PublicationID=P20150420031", "https://www.airitibooks.com/Detail/Detail?PublicationID=P20150420031")</f>
        <v>https://www.airitibooks.com/Detail/Detail?PublicationID=P20150420031</v>
      </c>
      <c r="K4973" s="13" t="str">
        <f>HYPERLINK("https://ntsu.idm.oclc.org/login?url=https://www.airitibooks.com/Detail/Detail?PublicationID=P20150420031", "https://ntsu.idm.oclc.org/login?url=https://www.airitibooks.com/Detail/Detail?PublicationID=P20150420031")</f>
        <v>https://ntsu.idm.oclc.org/login?url=https://www.airitibooks.com/Detail/Detail?PublicationID=P20150420031</v>
      </c>
    </row>
    <row r="4974" spans="1:11" ht="119" x14ac:dyDescent="0.4">
      <c r="A4974" s="10" t="s">
        <v>2422</v>
      </c>
      <c r="B4974" s="10" t="s">
        <v>2423</v>
      </c>
      <c r="C4974" s="10" t="s">
        <v>2299</v>
      </c>
      <c r="D4974" s="10" t="s">
        <v>2424</v>
      </c>
      <c r="E4974" s="10" t="s">
        <v>137</v>
      </c>
      <c r="F4974" s="10" t="s">
        <v>1646</v>
      </c>
      <c r="G4974" s="10" t="s">
        <v>23</v>
      </c>
      <c r="H4974" s="7" t="s">
        <v>1467</v>
      </c>
      <c r="I4974" s="7" t="s">
        <v>25</v>
      </c>
      <c r="J4974" s="13" t="str">
        <f>HYPERLINK("https://www.airitibooks.com/Detail/Detail?PublicationID=P20150420037", "https://www.airitibooks.com/Detail/Detail?PublicationID=P20150420037")</f>
        <v>https://www.airitibooks.com/Detail/Detail?PublicationID=P20150420037</v>
      </c>
      <c r="K4974" s="13" t="str">
        <f>HYPERLINK("https://ntsu.idm.oclc.org/login?url=https://www.airitibooks.com/Detail/Detail?PublicationID=P20150420037", "https://ntsu.idm.oclc.org/login?url=https://www.airitibooks.com/Detail/Detail?PublicationID=P20150420037")</f>
        <v>https://ntsu.idm.oclc.org/login?url=https://www.airitibooks.com/Detail/Detail?PublicationID=P20150420037</v>
      </c>
    </row>
    <row r="4975" spans="1:11" ht="51" x14ac:dyDescent="0.4">
      <c r="A4975" s="10" t="s">
        <v>2828</v>
      </c>
      <c r="B4975" s="10" t="s">
        <v>2829</v>
      </c>
      <c r="C4975" s="10" t="s">
        <v>2830</v>
      </c>
      <c r="D4975" s="10" t="s">
        <v>2831</v>
      </c>
      <c r="E4975" s="10" t="s">
        <v>137</v>
      </c>
      <c r="F4975" s="10" t="s">
        <v>1164</v>
      </c>
      <c r="G4975" s="10" t="s">
        <v>23</v>
      </c>
      <c r="H4975" s="7" t="s">
        <v>24</v>
      </c>
      <c r="I4975" s="7" t="s">
        <v>25</v>
      </c>
      <c r="J4975" s="13" t="str">
        <f>HYPERLINK("https://www.airitibooks.com/Detail/Detail?PublicationID=P20150626042", "https://www.airitibooks.com/Detail/Detail?PublicationID=P20150626042")</f>
        <v>https://www.airitibooks.com/Detail/Detail?PublicationID=P20150626042</v>
      </c>
      <c r="K4975" s="13" t="str">
        <f>HYPERLINK("https://ntsu.idm.oclc.org/login?url=https://www.airitibooks.com/Detail/Detail?PublicationID=P20150626042", "https://ntsu.idm.oclc.org/login?url=https://www.airitibooks.com/Detail/Detail?PublicationID=P20150626042")</f>
        <v>https://ntsu.idm.oclc.org/login?url=https://www.airitibooks.com/Detail/Detail?PublicationID=P20150626042</v>
      </c>
    </row>
    <row r="4976" spans="1:11" ht="51" x14ac:dyDescent="0.4">
      <c r="A4976" s="10" t="s">
        <v>4118</v>
      </c>
      <c r="B4976" s="10" t="s">
        <v>4119</v>
      </c>
      <c r="C4976" s="10" t="s">
        <v>4120</v>
      </c>
      <c r="D4976" s="10" t="s">
        <v>4121</v>
      </c>
      <c r="E4976" s="10" t="s">
        <v>137</v>
      </c>
      <c r="F4976" s="10" t="s">
        <v>4122</v>
      </c>
      <c r="G4976" s="10" t="s">
        <v>23</v>
      </c>
      <c r="H4976" s="7" t="s">
        <v>24</v>
      </c>
      <c r="I4976" s="7" t="s">
        <v>25</v>
      </c>
      <c r="J4976" s="13" t="str">
        <f>HYPERLINK("https://www.airitibooks.com/Detail/Detail?PublicationID=P20151229003", "https://www.airitibooks.com/Detail/Detail?PublicationID=P20151229003")</f>
        <v>https://www.airitibooks.com/Detail/Detail?PublicationID=P20151229003</v>
      </c>
      <c r="K4976" s="13" t="str">
        <f>HYPERLINK("https://ntsu.idm.oclc.org/login?url=https://www.airitibooks.com/Detail/Detail?PublicationID=P20151229003", "https://ntsu.idm.oclc.org/login?url=https://www.airitibooks.com/Detail/Detail?PublicationID=P20151229003")</f>
        <v>https://ntsu.idm.oclc.org/login?url=https://www.airitibooks.com/Detail/Detail?PublicationID=P20151229003</v>
      </c>
    </row>
    <row r="4977" spans="1:11" ht="51" x14ac:dyDescent="0.4">
      <c r="A4977" s="10" t="s">
        <v>5066</v>
      </c>
      <c r="B4977" s="10" t="s">
        <v>5067</v>
      </c>
      <c r="C4977" s="10" t="s">
        <v>5050</v>
      </c>
      <c r="D4977" s="10" t="s">
        <v>5068</v>
      </c>
      <c r="E4977" s="10" t="s">
        <v>137</v>
      </c>
      <c r="F4977" s="10" t="s">
        <v>250</v>
      </c>
      <c r="G4977" s="10" t="s">
        <v>23</v>
      </c>
      <c r="H4977" s="7" t="s">
        <v>24</v>
      </c>
      <c r="I4977" s="7" t="s">
        <v>25</v>
      </c>
      <c r="J4977" s="13" t="str">
        <f>HYPERLINK("https://www.airitibooks.com/Detail/Detail?PublicationID=P20160801211", "https://www.airitibooks.com/Detail/Detail?PublicationID=P20160801211")</f>
        <v>https://www.airitibooks.com/Detail/Detail?PublicationID=P20160801211</v>
      </c>
      <c r="K4977" s="13" t="str">
        <f>HYPERLINK("https://ntsu.idm.oclc.org/login?url=https://www.airitibooks.com/Detail/Detail?PublicationID=P20160801211", "https://ntsu.idm.oclc.org/login?url=https://www.airitibooks.com/Detail/Detail?PublicationID=P20160801211")</f>
        <v>https://ntsu.idm.oclc.org/login?url=https://www.airitibooks.com/Detail/Detail?PublicationID=P20160801211</v>
      </c>
    </row>
    <row r="4978" spans="1:11" ht="51" x14ac:dyDescent="0.4">
      <c r="A4978" s="10" t="s">
        <v>5069</v>
      </c>
      <c r="B4978" s="10" t="s">
        <v>5070</v>
      </c>
      <c r="C4978" s="10" t="s">
        <v>5050</v>
      </c>
      <c r="D4978" s="10" t="s">
        <v>5071</v>
      </c>
      <c r="E4978" s="10" t="s">
        <v>137</v>
      </c>
      <c r="F4978" s="10" t="s">
        <v>250</v>
      </c>
      <c r="G4978" s="10" t="s">
        <v>23</v>
      </c>
      <c r="H4978" s="7" t="s">
        <v>24</v>
      </c>
      <c r="I4978" s="7" t="s">
        <v>25</v>
      </c>
      <c r="J4978" s="13" t="str">
        <f>HYPERLINK("https://www.airitibooks.com/Detail/Detail?PublicationID=P20160801212", "https://www.airitibooks.com/Detail/Detail?PublicationID=P20160801212")</f>
        <v>https://www.airitibooks.com/Detail/Detail?PublicationID=P20160801212</v>
      </c>
      <c r="K4978" s="13" t="str">
        <f>HYPERLINK("https://ntsu.idm.oclc.org/login?url=https://www.airitibooks.com/Detail/Detail?PublicationID=P20160801212", "https://ntsu.idm.oclc.org/login?url=https://www.airitibooks.com/Detail/Detail?PublicationID=P20160801212")</f>
        <v>https://ntsu.idm.oclc.org/login?url=https://www.airitibooks.com/Detail/Detail?PublicationID=P20160801212</v>
      </c>
    </row>
    <row r="4979" spans="1:11" ht="51" x14ac:dyDescent="0.4">
      <c r="A4979" s="10" t="s">
        <v>5072</v>
      </c>
      <c r="B4979" s="10" t="s">
        <v>5073</v>
      </c>
      <c r="C4979" s="10" t="s">
        <v>5050</v>
      </c>
      <c r="D4979" s="10" t="s">
        <v>5074</v>
      </c>
      <c r="E4979" s="10" t="s">
        <v>137</v>
      </c>
      <c r="F4979" s="10" t="s">
        <v>250</v>
      </c>
      <c r="G4979" s="10" t="s">
        <v>23</v>
      </c>
      <c r="H4979" s="7" t="s">
        <v>24</v>
      </c>
      <c r="I4979" s="7" t="s">
        <v>25</v>
      </c>
      <c r="J4979" s="13" t="str">
        <f>HYPERLINK("https://www.airitibooks.com/Detail/Detail?PublicationID=P20160801214", "https://www.airitibooks.com/Detail/Detail?PublicationID=P20160801214")</f>
        <v>https://www.airitibooks.com/Detail/Detail?PublicationID=P20160801214</v>
      </c>
      <c r="K4979" s="13" t="str">
        <f>HYPERLINK("https://ntsu.idm.oclc.org/login?url=https://www.airitibooks.com/Detail/Detail?PublicationID=P20160801214", "https://ntsu.idm.oclc.org/login?url=https://www.airitibooks.com/Detail/Detail?PublicationID=P20160801214")</f>
        <v>https://ntsu.idm.oclc.org/login?url=https://www.airitibooks.com/Detail/Detail?PublicationID=P20160801214</v>
      </c>
    </row>
    <row r="4980" spans="1:11" ht="51" x14ac:dyDescent="0.4">
      <c r="A4980" s="10" t="s">
        <v>5416</v>
      </c>
      <c r="B4980" s="10" t="s">
        <v>5417</v>
      </c>
      <c r="C4980" s="10" t="s">
        <v>5418</v>
      </c>
      <c r="D4980" s="10" t="s">
        <v>5419</v>
      </c>
      <c r="E4980" s="10" t="s">
        <v>137</v>
      </c>
      <c r="F4980" s="10" t="s">
        <v>1049</v>
      </c>
      <c r="G4980" s="10" t="s">
        <v>23</v>
      </c>
      <c r="H4980" s="7" t="s">
        <v>24</v>
      </c>
      <c r="I4980" s="7" t="s">
        <v>25</v>
      </c>
      <c r="J4980" s="13" t="str">
        <f>HYPERLINK("https://www.airitibooks.com/Detail/Detail?PublicationID=P20160907334", "https://www.airitibooks.com/Detail/Detail?PublicationID=P20160907334")</f>
        <v>https://www.airitibooks.com/Detail/Detail?PublicationID=P20160907334</v>
      </c>
      <c r="K4980" s="13" t="str">
        <f>HYPERLINK("https://ntsu.idm.oclc.org/login?url=https://www.airitibooks.com/Detail/Detail?PublicationID=P20160907334", "https://ntsu.idm.oclc.org/login?url=https://www.airitibooks.com/Detail/Detail?PublicationID=P20160907334")</f>
        <v>https://ntsu.idm.oclc.org/login?url=https://www.airitibooks.com/Detail/Detail?PublicationID=P20160907334</v>
      </c>
    </row>
    <row r="4981" spans="1:11" ht="51" x14ac:dyDescent="0.4">
      <c r="A4981" s="10" t="s">
        <v>191</v>
      </c>
      <c r="B4981" s="10" t="s">
        <v>192</v>
      </c>
      <c r="C4981" s="10" t="s">
        <v>193</v>
      </c>
      <c r="D4981" s="10" t="s">
        <v>194</v>
      </c>
      <c r="E4981" s="10" t="s">
        <v>137</v>
      </c>
      <c r="F4981" s="10" t="s">
        <v>176</v>
      </c>
      <c r="G4981" s="10" t="s">
        <v>32</v>
      </c>
      <c r="H4981" s="7" t="s">
        <v>24</v>
      </c>
      <c r="I4981" s="7" t="s">
        <v>25</v>
      </c>
      <c r="J4981" s="13" t="str">
        <f>HYPERLINK("https://www.airitibooks.com/Detail/Detail?PublicationID=P20110815047", "https://www.airitibooks.com/Detail/Detail?PublicationID=P20110815047")</f>
        <v>https://www.airitibooks.com/Detail/Detail?PublicationID=P20110815047</v>
      </c>
      <c r="K4981" s="13" t="str">
        <f>HYPERLINK("https://ntsu.idm.oclc.org/login?url=https://www.airitibooks.com/Detail/Detail?PublicationID=P20110815047", "https://ntsu.idm.oclc.org/login?url=https://www.airitibooks.com/Detail/Detail?PublicationID=P20110815047")</f>
        <v>https://ntsu.idm.oclc.org/login?url=https://www.airitibooks.com/Detail/Detail?PublicationID=P20110815047</v>
      </c>
    </row>
    <row r="4982" spans="1:11" ht="51" x14ac:dyDescent="0.4">
      <c r="A4982" s="10" t="s">
        <v>255</v>
      </c>
      <c r="B4982" s="10" t="s">
        <v>256</v>
      </c>
      <c r="C4982" s="10" t="s">
        <v>28</v>
      </c>
      <c r="D4982" s="10" t="s">
        <v>257</v>
      </c>
      <c r="E4982" s="10" t="s">
        <v>137</v>
      </c>
      <c r="F4982" s="10" t="s">
        <v>258</v>
      </c>
      <c r="G4982" s="10" t="s">
        <v>32</v>
      </c>
      <c r="H4982" s="7" t="s">
        <v>24</v>
      </c>
      <c r="I4982" s="7" t="s">
        <v>25</v>
      </c>
      <c r="J4982" s="13" t="str">
        <f>HYPERLINK("https://www.airitibooks.com/Detail/Detail?PublicationID=P20110929087", "https://www.airitibooks.com/Detail/Detail?PublicationID=P20110929087")</f>
        <v>https://www.airitibooks.com/Detail/Detail?PublicationID=P20110929087</v>
      </c>
      <c r="K4982" s="13" t="str">
        <f>HYPERLINK("https://ntsu.idm.oclc.org/login?url=https://www.airitibooks.com/Detail/Detail?PublicationID=P20110929087", "https://ntsu.idm.oclc.org/login?url=https://www.airitibooks.com/Detail/Detail?PublicationID=P20110929087")</f>
        <v>https://ntsu.idm.oclc.org/login?url=https://www.airitibooks.com/Detail/Detail?PublicationID=P20110929087</v>
      </c>
    </row>
    <row r="4983" spans="1:11" ht="51" x14ac:dyDescent="0.4">
      <c r="A4983" s="10" t="s">
        <v>259</v>
      </c>
      <c r="B4983" s="10" t="s">
        <v>260</v>
      </c>
      <c r="C4983" s="10" t="s">
        <v>28</v>
      </c>
      <c r="D4983" s="10" t="s">
        <v>261</v>
      </c>
      <c r="E4983" s="10" t="s">
        <v>137</v>
      </c>
      <c r="F4983" s="10" t="s">
        <v>47</v>
      </c>
      <c r="G4983" s="10" t="s">
        <v>32</v>
      </c>
      <c r="H4983" s="7" t="s">
        <v>24</v>
      </c>
      <c r="I4983" s="7" t="s">
        <v>25</v>
      </c>
      <c r="J4983" s="13" t="str">
        <f>HYPERLINK("https://www.airitibooks.com/Detail/Detail?PublicationID=P20110929088", "https://www.airitibooks.com/Detail/Detail?PublicationID=P20110929088")</f>
        <v>https://www.airitibooks.com/Detail/Detail?PublicationID=P20110929088</v>
      </c>
      <c r="K4983" s="13" t="str">
        <f>HYPERLINK("https://ntsu.idm.oclc.org/login?url=https://www.airitibooks.com/Detail/Detail?PublicationID=P20110929088", "https://ntsu.idm.oclc.org/login?url=https://www.airitibooks.com/Detail/Detail?PublicationID=P20110929088")</f>
        <v>https://ntsu.idm.oclc.org/login?url=https://www.airitibooks.com/Detail/Detail?PublicationID=P20110929088</v>
      </c>
    </row>
    <row r="4984" spans="1:11" ht="51" x14ac:dyDescent="0.4">
      <c r="A4984" s="10" t="s">
        <v>272</v>
      </c>
      <c r="B4984" s="10" t="s">
        <v>273</v>
      </c>
      <c r="C4984" s="10" t="s">
        <v>135</v>
      </c>
      <c r="D4984" s="10" t="s">
        <v>136</v>
      </c>
      <c r="E4984" s="10" t="s">
        <v>137</v>
      </c>
      <c r="F4984" s="10" t="s">
        <v>274</v>
      </c>
      <c r="G4984" s="10" t="s">
        <v>32</v>
      </c>
      <c r="H4984" s="7" t="s">
        <v>24</v>
      </c>
      <c r="I4984" s="7" t="s">
        <v>25</v>
      </c>
      <c r="J4984" s="13" t="str">
        <f>HYPERLINK("https://www.airitibooks.com/Detail/Detail?PublicationID=P20111130001", "https://www.airitibooks.com/Detail/Detail?PublicationID=P20111130001")</f>
        <v>https://www.airitibooks.com/Detail/Detail?PublicationID=P20111130001</v>
      </c>
      <c r="K4984" s="13" t="str">
        <f>HYPERLINK("https://ntsu.idm.oclc.org/login?url=https://www.airitibooks.com/Detail/Detail?PublicationID=P20111130001", "https://ntsu.idm.oclc.org/login?url=https://www.airitibooks.com/Detail/Detail?PublicationID=P20111130001")</f>
        <v>https://ntsu.idm.oclc.org/login?url=https://www.airitibooks.com/Detail/Detail?PublicationID=P20111130001</v>
      </c>
    </row>
    <row r="4985" spans="1:11" ht="51" x14ac:dyDescent="0.4">
      <c r="A4985" s="10" t="s">
        <v>285</v>
      </c>
      <c r="B4985" s="10" t="s">
        <v>286</v>
      </c>
      <c r="C4985" s="10" t="s">
        <v>287</v>
      </c>
      <c r="D4985" s="10" t="s">
        <v>288</v>
      </c>
      <c r="E4985" s="10" t="s">
        <v>137</v>
      </c>
      <c r="F4985" s="10" t="s">
        <v>289</v>
      </c>
      <c r="G4985" s="10" t="s">
        <v>32</v>
      </c>
      <c r="H4985" s="7" t="s">
        <v>24</v>
      </c>
      <c r="I4985" s="7" t="s">
        <v>25</v>
      </c>
      <c r="J4985" s="13" t="str">
        <f>HYPERLINK("https://www.airitibooks.com/Detail/Detail?PublicationID=P20120319035", "https://www.airitibooks.com/Detail/Detail?PublicationID=P20120319035")</f>
        <v>https://www.airitibooks.com/Detail/Detail?PublicationID=P20120319035</v>
      </c>
      <c r="K4985" s="13" t="str">
        <f>HYPERLINK("https://ntsu.idm.oclc.org/login?url=https://www.airitibooks.com/Detail/Detail?PublicationID=P20120319035", "https://ntsu.idm.oclc.org/login?url=https://www.airitibooks.com/Detail/Detail?PublicationID=P20120319035")</f>
        <v>https://ntsu.idm.oclc.org/login?url=https://www.airitibooks.com/Detail/Detail?PublicationID=P20120319035</v>
      </c>
    </row>
    <row r="4986" spans="1:11" ht="51" x14ac:dyDescent="0.4">
      <c r="A4986" s="10" t="s">
        <v>442</v>
      </c>
      <c r="B4986" s="10" t="s">
        <v>443</v>
      </c>
      <c r="C4986" s="10" t="s">
        <v>147</v>
      </c>
      <c r="D4986" s="10" t="s">
        <v>444</v>
      </c>
      <c r="E4986" s="10" t="s">
        <v>137</v>
      </c>
      <c r="F4986" s="10" t="s">
        <v>445</v>
      </c>
      <c r="G4986" s="10" t="s">
        <v>32</v>
      </c>
      <c r="H4986" s="7" t="s">
        <v>24</v>
      </c>
      <c r="I4986" s="7" t="s">
        <v>25</v>
      </c>
      <c r="J4986" s="13" t="str">
        <f>HYPERLINK("https://www.airitibooks.com/Detail/Detail?PublicationID=P20121105018", "https://www.airitibooks.com/Detail/Detail?PublicationID=P20121105018")</f>
        <v>https://www.airitibooks.com/Detail/Detail?PublicationID=P20121105018</v>
      </c>
      <c r="K4986" s="13" t="str">
        <f>HYPERLINK("https://ntsu.idm.oclc.org/login?url=https://www.airitibooks.com/Detail/Detail?PublicationID=P20121105018", "https://ntsu.idm.oclc.org/login?url=https://www.airitibooks.com/Detail/Detail?PublicationID=P20121105018")</f>
        <v>https://ntsu.idm.oclc.org/login?url=https://www.airitibooks.com/Detail/Detail?PublicationID=P20121105018</v>
      </c>
    </row>
    <row r="4987" spans="1:11" ht="51" x14ac:dyDescent="0.4">
      <c r="A4987" s="10" t="s">
        <v>460</v>
      </c>
      <c r="B4987" s="10" t="s">
        <v>461</v>
      </c>
      <c r="C4987" s="10" t="s">
        <v>462</v>
      </c>
      <c r="D4987" s="10" t="s">
        <v>463</v>
      </c>
      <c r="E4987" s="10" t="s">
        <v>137</v>
      </c>
      <c r="F4987" s="10" t="s">
        <v>464</v>
      </c>
      <c r="G4987" s="10" t="s">
        <v>32</v>
      </c>
      <c r="H4987" s="7" t="s">
        <v>24</v>
      </c>
      <c r="I4987" s="7" t="s">
        <v>25</v>
      </c>
      <c r="J4987" s="13" t="str">
        <f>HYPERLINK("https://www.airitibooks.com/Detail/Detail?PublicationID=P20121115150", "https://www.airitibooks.com/Detail/Detail?PublicationID=P20121115150")</f>
        <v>https://www.airitibooks.com/Detail/Detail?PublicationID=P20121115150</v>
      </c>
      <c r="K4987" s="13" t="str">
        <f>HYPERLINK("https://ntsu.idm.oclc.org/login?url=https://www.airitibooks.com/Detail/Detail?PublicationID=P20121115150", "https://ntsu.idm.oclc.org/login?url=https://www.airitibooks.com/Detail/Detail?PublicationID=P20121115150")</f>
        <v>https://ntsu.idm.oclc.org/login?url=https://www.airitibooks.com/Detail/Detail?PublicationID=P20121115150</v>
      </c>
    </row>
    <row r="4988" spans="1:11" ht="68" x14ac:dyDescent="0.4">
      <c r="A4988" s="10" t="s">
        <v>584</v>
      </c>
      <c r="B4988" s="10" t="s">
        <v>585</v>
      </c>
      <c r="C4988" s="10" t="s">
        <v>125</v>
      </c>
      <c r="D4988" s="10" t="s">
        <v>586</v>
      </c>
      <c r="E4988" s="10" t="s">
        <v>137</v>
      </c>
      <c r="F4988" s="10" t="s">
        <v>587</v>
      </c>
      <c r="G4988" s="10" t="s">
        <v>32</v>
      </c>
      <c r="H4988" s="7" t="s">
        <v>24</v>
      </c>
      <c r="I4988" s="7" t="s">
        <v>25</v>
      </c>
      <c r="J4988" s="13" t="str">
        <f>HYPERLINK("https://www.airitibooks.com/Detail/Detail?PublicationID=P20130419144", "https://www.airitibooks.com/Detail/Detail?PublicationID=P20130419144")</f>
        <v>https://www.airitibooks.com/Detail/Detail?PublicationID=P20130419144</v>
      </c>
      <c r="K4988" s="13" t="str">
        <f>HYPERLINK("https://ntsu.idm.oclc.org/login?url=https://www.airitibooks.com/Detail/Detail?PublicationID=P20130419144", "https://ntsu.idm.oclc.org/login?url=https://www.airitibooks.com/Detail/Detail?PublicationID=P20130419144")</f>
        <v>https://ntsu.idm.oclc.org/login?url=https://www.airitibooks.com/Detail/Detail?PublicationID=P20130419144</v>
      </c>
    </row>
    <row r="4989" spans="1:11" ht="51" x14ac:dyDescent="0.4">
      <c r="A4989" s="10" t="s">
        <v>598</v>
      </c>
      <c r="B4989" s="10" t="s">
        <v>599</v>
      </c>
      <c r="C4989" s="10" t="s">
        <v>578</v>
      </c>
      <c r="D4989" s="10" t="s">
        <v>600</v>
      </c>
      <c r="E4989" s="10" t="s">
        <v>137</v>
      </c>
      <c r="F4989" s="10" t="s">
        <v>274</v>
      </c>
      <c r="G4989" s="10" t="s">
        <v>32</v>
      </c>
      <c r="H4989" s="7" t="s">
        <v>24</v>
      </c>
      <c r="I4989" s="7" t="s">
        <v>25</v>
      </c>
      <c r="J4989" s="13" t="str">
        <f>HYPERLINK("https://www.airitibooks.com/Detail/Detail?PublicationID=P20130419148", "https://www.airitibooks.com/Detail/Detail?PublicationID=P20130419148")</f>
        <v>https://www.airitibooks.com/Detail/Detail?PublicationID=P20130419148</v>
      </c>
      <c r="K4989" s="13" t="str">
        <f>HYPERLINK("https://ntsu.idm.oclc.org/login?url=https://www.airitibooks.com/Detail/Detail?PublicationID=P20130419148", "https://ntsu.idm.oclc.org/login?url=https://www.airitibooks.com/Detail/Detail?PublicationID=P20130419148")</f>
        <v>https://ntsu.idm.oclc.org/login?url=https://www.airitibooks.com/Detail/Detail?PublicationID=P20130419148</v>
      </c>
    </row>
    <row r="4990" spans="1:11" ht="51" x14ac:dyDescent="0.4">
      <c r="A4990" s="10" t="s">
        <v>651</v>
      </c>
      <c r="B4990" s="10" t="s">
        <v>652</v>
      </c>
      <c r="C4990" s="10" t="s">
        <v>462</v>
      </c>
      <c r="D4990" s="10" t="s">
        <v>653</v>
      </c>
      <c r="E4990" s="10" t="s">
        <v>137</v>
      </c>
      <c r="F4990" s="10" t="s">
        <v>654</v>
      </c>
      <c r="G4990" s="10" t="s">
        <v>32</v>
      </c>
      <c r="H4990" s="7" t="s">
        <v>24</v>
      </c>
      <c r="I4990" s="7" t="s">
        <v>25</v>
      </c>
      <c r="J4990" s="13" t="str">
        <f>HYPERLINK("https://www.airitibooks.com/Detail/Detail?PublicationID=P20130606083", "https://www.airitibooks.com/Detail/Detail?PublicationID=P20130606083")</f>
        <v>https://www.airitibooks.com/Detail/Detail?PublicationID=P20130606083</v>
      </c>
      <c r="K4990" s="13" t="str">
        <f>HYPERLINK("https://ntsu.idm.oclc.org/login?url=https://www.airitibooks.com/Detail/Detail?PublicationID=P20130606083", "https://ntsu.idm.oclc.org/login?url=https://www.airitibooks.com/Detail/Detail?PublicationID=P20130606083")</f>
        <v>https://ntsu.idm.oclc.org/login?url=https://www.airitibooks.com/Detail/Detail?PublicationID=P20130606083</v>
      </c>
    </row>
    <row r="4991" spans="1:11" ht="51" x14ac:dyDescent="0.4">
      <c r="A4991" s="10" t="s">
        <v>1499</v>
      </c>
      <c r="B4991" s="10" t="s">
        <v>1500</v>
      </c>
      <c r="C4991" s="10" t="s">
        <v>264</v>
      </c>
      <c r="D4991" s="10" t="s">
        <v>653</v>
      </c>
      <c r="E4991" s="10" t="s">
        <v>137</v>
      </c>
      <c r="F4991" s="10" t="s">
        <v>1501</v>
      </c>
      <c r="G4991" s="10" t="s">
        <v>32</v>
      </c>
      <c r="H4991" s="7" t="s">
        <v>24</v>
      </c>
      <c r="I4991" s="7" t="s">
        <v>25</v>
      </c>
      <c r="J4991" s="13" t="str">
        <f>HYPERLINK("https://www.airitibooks.com/Detail/Detail?PublicationID=P20141009042", "https://www.airitibooks.com/Detail/Detail?PublicationID=P20141009042")</f>
        <v>https://www.airitibooks.com/Detail/Detail?PublicationID=P20141009042</v>
      </c>
      <c r="K4991" s="13" t="str">
        <f>HYPERLINK("https://ntsu.idm.oclc.org/login?url=https://www.airitibooks.com/Detail/Detail?PublicationID=P20141009042", "https://ntsu.idm.oclc.org/login?url=https://www.airitibooks.com/Detail/Detail?PublicationID=P20141009042")</f>
        <v>https://ntsu.idm.oclc.org/login?url=https://www.airitibooks.com/Detail/Detail?PublicationID=P20141009042</v>
      </c>
    </row>
    <row r="4992" spans="1:11" ht="51" x14ac:dyDescent="0.4">
      <c r="A4992" s="10" t="s">
        <v>1708</v>
      </c>
      <c r="B4992" s="10" t="s">
        <v>1709</v>
      </c>
      <c r="C4992" s="10" t="s">
        <v>1710</v>
      </c>
      <c r="D4992" s="10" t="s">
        <v>1711</v>
      </c>
      <c r="E4992" s="10" t="s">
        <v>137</v>
      </c>
      <c r="F4992" s="10" t="s">
        <v>172</v>
      </c>
      <c r="G4992" s="10" t="s">
        <v>32</v>
      </c>
      <c r="H4992" s="7" t="s">
        <v>24</v>
      </c>
      <c r="I4992" s="7" t="s">
        <v>25</v>
      </c>
      <c r="J4992" s="13" t="str">
        <f>HYPERLINK("https://www.airitibooks.com/Detail/Detail?PublicationID=P20141205075", "https://www.airitibooks.com/Detail/Detail?PublicationID=P20141205075")</f>
        <v>https://www.airitibooks.com/Detail/Detail?PublicationID=P20141205075</v>
      </c>
      <c r="K4992" s="13" t="str">
        <f>HYPERLINK("https://ntsu.idm.oclc.org/login?url=https://www.airitibooks.com/Detail/Detail?PublicationID=P20141205075", "https://ntsu.idm.oclc.org/login?url=https://www.airitibooks.com/Detail/Detail?PublicationID=P20141205075")</f>
        <v>https://ntsu.idm.oclc.org/login?url=https://www.airitibooks.com/Detail/Detail?PublicationID=P20141205075</v>
      </c>
    </row>
    <row r="4993" spans="1:11" ht="51" x14ac:dyDescent="0.4">
      <c r="A4993" s="10" t="s">
        <v>1747</v>
      </c>
      <c r="B4993" s="10" t="s">
        <v>1748</v>
      </c>
      <c r="C4993" s="10" t="s">
        <v>1749</v>
      </c>
      <c r="D4993" s="10" t="s">
        <v>1750</v>
      </c>
      <c r="E4993" s="10" t="s">
        <v>137</v>
      </c>
      <c r="F4993" s="10" t="s">
        <v>1751</v>
      </c>
      <c r="G4993" s="10" t="s">
        <v>32</v>
      </c>
      <c r="H4993" s="7" t="s">
        <v>24</v>
      </c>
      <c r="I4993" s="7" t="s">
        <v>25</v>
      </c>
      <c r="J4993" s="13" t="str">
        <f>HYPERLINK("https://www.airitibooks.com/Detail/Detail?PublicationID=P20141211089", "https://www.airitibooks.com/Detail/Detail?PublicationID=P20141211089")</f>
        <v>https://www.airitibooks.com/Detail/Detail?PublicationID=P20141211089</v>
      </c>
      <c r="K4993" s="13" t="str">
        <f>HYPERLINK("https://ntsu.idm.oclc.org/login?url=https://www.airitibooks.com/Detail/Detail?PublicationID=P20141211089", "https://ntsu.idm.oclc.org/login?url=https://www.airitibooks.com/Detail/Detail?PublicationID=P20141211089")</f>
        <v>https://ntsu.idm.oclc.org/login?url=https://www.airitibooks.com/Detail/Detail?PublicationID=P20141211089</v>
      </c>
    </row>
    <row r="4994" spans="1:11" ht="51" x14ac:dyDescent="0.4">
      <c r="A4994" s="10" t="s">
        <v>2342</v>
      </c>
      <c r="B4994" s="10" t="s">
        <v>2343</v>
      </c>
      <c r="C4994" s="10" t="s">
        <v>2344</v>
      </c>
      <c r="D4994" s="10" t="s">
        <v>2345</v>
      </c>
      <c r="E4994" s="10" t="s">
        <v>137</v>
      </c>
      <c r="F4994" s="10" t="s">
        <v>2346</v>
      </c>
      <c r="G4994" s="10" t="s">
        <v>32</v>
      </c>
      <c r="H4994" s="7" t="s">
        <v>24</v>
      </c>
      <c r="I4994" s="7" t="s">
        <v>25</v>
      </c>
      <c r="J4994" s="13" t="str">
        <f>HYPERLINK("https://www.airitibooks.com/Detail/Detail?PublicationID=P20150414068", "https://www.airitibooks.com/Detail/Detail?PublicationID=P20150414068")</f>
        <v>https://www.airitibooks.com/Detail/Detail?PublicationID=P20150414068</v>
      </c>
      <c r="K4994" s="13" t="str">
        <f>HYPERLINK("https://ntsu.idm.oclc.org/login?url=https://www.airitibooks.com/Detail/Detail?PublicationID=P20150414068", "https://ntsu.idm.oclc.org/login?url=https://www.airitibooks.com/Detail/Detail?PublicationID=P20150414068")</f>
        <v>https://ntsu.idm.oclc.org/login?url=https://www.airitibooks.com/Detail/Detail?PublicationID=P20150414068</v>
      </c>
    </row>
    <row r="4995" spans="1:11" ht="51" x14ac:dyDescent="0.4">
      <c r="A4995" s="10" t="s">
        <v>3438</v>
      </c>
      <c r="B4995" s="10" t="s">
        <v>3439</v>
      </c>
      <c r="C4995" s="10" t="s">
        <v>3426</v>
      </c>
      <c r="D4995" s="10" t="s">
        <v>3440</v>
      </c>
      <c r="E4995" s="10" t="s">
        <v>137</v>
      </c>
      <c r="F4995" s="10" t="s">
        <v>3441</v>
      </c>
      <c r="G4995" s="10" t="s">
        <v>32</v>
      </c>
      <c r="H4995" s="7" t="s">
        <v>24</v>
      </c>
      <c r="I4995" s="7" t="s">
        <v>25</v>
      </c>
      <c r="J4995" s="13" t="str">
        <f>HYPERLINK("https://www.airitibooks.com/Detail/Detail?PublicationID=P20150918063", "https://www.airitibooks.com/Detail/Detail?PublicationID=P20150918063")</f>
        <v>https://www.airitibooks.com/Detail/Detail?PublicationID=P20150918063</v>
      </c>
      <c r="K4995" s="13" t="str">
        <f>HYPERLINK("https://ntsu.idm.oclc.org/login?url=https://www.airitibooks.com/Detail/Detail?PublicationID=P20150918063", "https://ntsu.idm.oclc.org/login?url=https://www.airitibooks.com/Detail/Detail?PublicationID=P20150918063")</f>
        <v>https://ntsu.idm.oclc.org/login?url=https://www.airitibooks.com/Detail/Detail?PublicationID=P20150918063</v>
      </c>
    </row>
    <row r="4996" spans="1:11" ht="51" x14ac:dyDescent="0.4">
      <c r="A4996" s="10" t="s">
        <v>4223</v>
      </c>
      <c r="B4996" s="10" t="s">
        <v>4224</v>
      </c>
      <c r="C4996" s="10" t="s">
        <v>499</v>
      </c>
      <c r="D4996" s="10" t="s">
        <v>4225</v>
      </c>
      <c r="E4996" s="10" t="s">
        <v>137</v>
      </c>
      <c r="F4996" s="10" t="s">
        <v>4226</v>
      </c>
      <c r="G4996" s="10" t="s">
        <v>32</v>
      </c>
      <c r="H4996" s="7" t="s">
        <v>24</v>
      </c>
      <c r="I4996" s="7" t="s">
        <v>25</v>
      </c>
      <c r="J4996" s="13" t="str">
        <f>HYPERLINK("https://www.airitibooks.com/Detail/Detail?PublicationID=P20160309004", "https://www.airitibooks.com/Detail/Detail?PublicationID=P20160309004")</f>
        <v>https://www.airitibooks.com/Detail/Detail?PublicationID=P20160309004</v>
      </c>
      <c r="K4996" s="13" t="str">
        <f>HYPERLINK("https://ntsu.idm.oclc.org/login?url=https://www.airitibooks.com/Detail/Detail?PublicationID=P20160309004", "https://ntsu.idm.oclc.org/login?url=https://www.airitibooks.com/Detail/Detail?PublicationID=P20160309004")</f>
        <v>https://ntsu.idm.oclc.org/login?url=https://www.airitibooks.com/Detail/Detail?PublicationID=P20160309004</v>
      </c>
    </row>
    <row r="4997" spans="1:11" ht="51" x14ac:dyDescent="0.4">
      <c r="A4997" s="10" t="s">
        <v>497</v>
      </c>
      <c r="B4997" s="10" t="s">
        <v>498</v>
      </c>
      <c r="C4997" s="10" t="s">
        <v>499</v>
      </c>
      <c r="D4997" s="10" t="s">
        <v>500</v>
      </c>
      <c r="E4997" s="10" t="s">
        <v>137</v>
      </c>
      <c r="F4997" s="10" t="s">
        <v>501</v>
      </c>
      <c r="G4997" s="10" t="s">
        <v>502</v>
      </c>
      <c r="H4997" s="7" t="s">
        <v>24</v>
      </c>
      <c r="I4997" s="7" t="s">
        <v>25</v>
      </c>
      <c r="J4997" s="13" t="str">
        <f>HYPERLINK("https://www.airitibooks.com/Detail/Detail?PublicationID=P20130131110", "https://www.airitibooks.com/Detail/Detail?PublicationID=P20130131110")</f>
        <v>https://www.airitibooks.com/Detail/Detail?PublicationID=P20130131110</v>
      </c>
      <c r="K4997" s="13" t="str">
        <f>HYPERLINK("https://ntsu.idm.oclc.org/login?url=https://www.airitibooks.com/Detail/Detail?PublicationID=P20130131110", "https://ntsu.idm.oclc.org/login?url=https://www.airitibooks.com/Detail/Detail?PublicationID=P20130131110")</f>
        <v>https://ntsu.idm.oclc.org/login?url=https://www.airitibooks.com/Detail/Detail?PublicationID=P20130131110</v>
      </c>
    </row>
    <row r="4998" spans="1:11" ht="51" x14ac:dyDescent="0.4">
      <c r="A4998" s="10" t="s">
        <v>3429</v>
      </c>
      <c r="B4998" s="10" t="s">
        <v>3430</v>
      </c>
      <c r="C4998" s="10" t="s">
        <v>3426</v>
      </c>
      <c r="D4998" s="10" t="s">
        <v>3427</v>
      </c>
      <c r="E4998" s="10" t="s">
        <v>137</v>
      </c>
      <c r="F4998" s="10" t="s">
        <v>3431</v>
      </c>
      <c r="G4998" s="10" t="s">
        <v>37</v>
      </c>
      <c r="H4998" s="7" t="s">
        <v>24</v>
      </c>
      <c r="I4998" s="7" t="s">
        <v>25</v>
      </c>
      <c r="J4998" s="13" t="str">
        <f>HYPERLINK("https://www.airitibooks.com/Detail/Detail?PublicationID=P20150918053", "https://www.airitibooks.com/Detail/Detail?PublicationID=P20150918053")</f>
        <v>https://www.airitibooks.com/Detail/Detail?PublicationID=P20150918053</v>
      </c>
      <c r="K4998" s="13" t="str">
        <f>HYPERLINK("https://ntsu.idm.oclc.org/login?url=https://www.airitibooks.com/Detail/Detail?PublicationID=P20150918053", "https://ntsu.idm.oclc.org/login?url=https://www.airitibooks.com/Detail/Detail?PublicationID=P20150918053")</f>
        <v>https://ntsu.idm.oclc.org/login?url=https://www.airitibooks.com/Detail/Detail?PublicationID=P20150918053</v>
      </c>
    </row>
    <row r="4999" spans="1:11" ht="51" x14ac:dyDescent="0.4">
      <c r="A4999" s="10" t="s">
        <v>3442</v>
      </c>
      <c r="B4999" s="10" t="s">
        <v>3443</v>
      </c>
      <c r="C4999" s="10" t="s">
        <v>3426</v>
      </c>
      <c r="D4999" s="10" t="s">
        <v>3444</v>
      </c>
      <c r="E4999" s="10" t="s">
        <v>137</v>
      </c>
      <c r="F4999" s="10" t="s">
        <v>3445</v>
      </c>
      <c r="G4999" s="10" t="s">
        <v>37</v>
      </c>
      <c r="H4999" s="7" t="s">
        <v>24</v>
      </c>
      <c r="I4999" s="7" t="s">
        <v>25</v>
      </c>
      <c r="J4999" s="13" t="str">
        <f>HYPERLINK("https://www.airitibooks.com/Detail/Detail?PublicationID=P20150918066", "https://www.airitibooks.com/Detail/Detail?PublicationID=P20150918066")</f>
        <v>https://www.airitibooks.com/Detail/Detail?PublicationID=P20150918066</v>
      </c>
      <c r="K4999" s="13" t="str">
        <f>HYPERLINK("https://ntsu.idm.oclc.org/login?url=https://www.airitibooks.com/Detail/Detail?PublicationID=P20150918066", "https://ntsu.idm.oclc.org/login?url=https://www.airitibooks.com/Detail/Detail?PublicationID=P20150918066")</f>
        <v>https://ntsu.idm.oclc.org/login?url=https://www.airitibooks.com/Detail/Detail?PublicationID=P20150918066</v>
      </c>
    </row>
    <row r="5000" spans="1:11" ht="51" x14ac:dyDescent="0.4">
      <c r="A5000" s="10" t="s">
        <v>3446</v>
      </c>
      <c r="B5000" s="10" t="s">
        <v>3447</v>
      </c>
      <c r="C5000" s="10" t="s">
        <v>3426</v>
      </c>
      <c r="D5000" s="10" t="s">
        <v>3448</v>
      </c>
      <c r="E5000" s="10" t="s">
        <v>137</v>
      </c>
      <c r="F5000" s="10" t="s">
        <v>3449</v>
      </c>
      <c r="G5000" s="10" t="s">
        <v>37</v>
      </c>
      <c r="H5000" s="7" t="s">
        <v>24</v>
      </c>
      <c r="I5000" s="7" t="s">
        <v>25</v>
      </c>
      <c r="J5000" s="13" t="str">
        <f>HYPERLINK("https://www.airitibooks.com/Detail/Detail?PublicationID=P20150918067", "https://www.airitibooks.com/Detail/Detail?PublicationID=P20150918067")</f>
        <v>https://www.airitibooks.com/Detail/Detail?PublicationID=P20150918067</v>
      </c>
      <c r="K5000" s="13" t="str">
        <f>HYPERLINK("https://ntsu.idm.oclc.org/login?url=https://www.airitibooks.com/Detail/Detail?PublicationID=P20150918067", "https://ntsu.idm.oclc.org/login?url=https://www.airitibooks.com/Detail/Detail?PublicationID=P20150918067")</f>
        <v>https://ntsu.idm.oclc.org/login?url=https://www.airitibooks.com/Detail/Detail?PublicationID=P20150918067</v>
      </c>
    </row>
    <row r="5001" spans="1:11" ht="68" x14ac:dyDescent="0.4">
      <c r="A5001" s="10" t="s">
        <v>3814</v>
      </c>
      <c r="B5001" s="10" t="s">
        <v>3815</v>
      </c>
      <c r="C5001" s="10" t="s">
        <v>3426</v>
      </c>
      <c r="D5001" s="10" t="s">
        <v>3816</v>
      </c>
      <c r="E5001" s="10" t="s">
        <v>137</v>
      </c>
      <c r="F5001" s="10" t="s">
        <v>1116</v>
      </c>
      <c r="G5001" s="10" t="s">
        <v>37</v>
      </c>
      <c r="H5001" s="7" t="s">
        <v>24</v>
      </c>
      <c r="I5001" s="7" t="s">
        <v>25</v>
      </c>
      <c r="J5001" s="13" t="str">
        <f>HYPERLINK("https://www.airitibooks.com/Detail/Detail?PublicationID=P20151022004", "https://www.airitibooks.com/Detail/Detail?PublicationID=P20151022004")</f>
        <v>https://www.airitibooks.com/Detail/Detail?PublicationID=P20151022004</v>
      </c>
      <c r="K5001" s="13" t="str">
        <f>HYPERLINK("https://ntsu.idm.oclc.org/login?url=https://www.airitibooks.com/Detail/Detail?PublicationID=P20151022004", "https://ntsu.idm.oclc.org/login?url=https://www.airitibooks.com/Detail/Detail?PublicationID=P20151022004")</f>
        <v>https://ntsu.idm.oclc.org/login?url=https://www.airitibooks.com/Detail/Detail?PublicationID=P20151022004</v>
      </c>
    </row>
    <row r="5002" spans="1:11" ht="51" x14ac:dyDescent="0.4">
      <c r="A5002" s="10" t="s">
        <v>9891</v>
      </c>
      <c r="B5002" s="10" t="s">
        <v>9892</v>
      </c>
      <c r="C5002" s="10" t="s">
        <v>9828</v>
      </c>
      <c r="D5002" s="10" t="s">
        <v>9893</v>
      </c>
      <c r="E5002" s="10" t="s">
        <v>137</v>
      </c>
      <c r="F5002" s="10" t="s">
        <v>9894</v>
      </c>
      <c r="G5002" s="10" t="s">
        <v>37</v>
      </c>
      <c r="H5002" s="7" t="s">
        <v>1031</v>
      </c>
      <c r="I5002" s="7" t="s">
        <v>25</v>
      </c>
      <c r="J5002" s="13" t="str">
        <f>HYPERLINK("https://www.airitibooks.com/Detail/Detail?PublicationID=P20181017028", "https://www.airitibooks.com/Detail/Detail?PublicationID=P20181017028")</f>
        <v>https://www.airitibooks.com/Detail/Detail?PublicationID=P20181017028</v>
      </c>
      <c r="K5002" s="13" t="str">
        <f>HYPERLINK("https://ntsu.idm.oclc.org/login?url=https://www.airitibooks.com/Detail/Detail?PublicationID=P20181017028", "https://ntsu.idm.oclc.org/login?url=https://www.airitibooks.com/Detail/Detail?PublicationID=P20181017028")</f>
        <v>https://ntsu.idm.oclc.org/login?url=https://www.airitibooks.com/Detail/Detail?PublicationID=P20181017028</v>
      </c>
    </row>
    <row r="5003" spans="1:11" ht="51" x14ac:dyDescent="0.4">
      <c r="A5003" s="10" t="s">
        <v>9934</v>
      </c>
      <c r="B5003" s="10" t="s">
        <v>9935</v>
      </c>
      <c r="C5003" s="10" t="s">
        <v>9828</v>
      </c>
      <c r="D5003" s="10" t="s">
        <v>9936</v>
      </c>
      <c r="E5003" s="10" t="s">
        <v>137</v>
      </c>
      <c r="F5003" s="10" t="s">
        <v>4739</v>
      </c>
      <c r="G5003" s="10" t="s">
        <v>37</v>
      </c>
      <c r="H5003" s="7" t="s">
        <v>1031</v>
      </c>
      <c r="I5003" s="7" t="s">
        <v>25</v>
      </c>
      <c r="J5003" s="13" t="str">
        <f>HYPERLINK("https://www.airitibooks.com/Detail/Detail?PublicationID=P20181024044", "https://www.airitibooks.com/Detail/Detail?PublicationID=P20181024044")</f>
        <v>https://www.airitibooks.com/Detail/Detail?PublicationID=P20181024044</v>
      </c>
      <c r="K5003" s="13" t="str">
        <f>HYPERLINK("https://ntsu.idm.oclc.org/login?url=https://www.airitibooks.com/Detail/Detail?PublicationID=P20181024044", "https://ntsu.idm.oclc.org/login?url=https://www.airitibooks.com/Detail/Detail?PublicationID=P20181024044")</f>
        <v>https://ntsu.idm.oclc.org/login?url=https://www.airitibooks.com/Detail/Detail?PublicationID=P20181024044</v>
      </c>
    </row>
    <row r="5004" spans="1:11" ht="85" x14ac:dyDescent="0.4">
      <c r="A5004" s="10" t="s">
        <v>701</v>
      </c>
      <c r="B5004" s="10" t="s">
        <v>702</v>
      </c>
      <c r="C5004" s="10" t="s">
        <v>703</v>
      </c>
      <c r="D5004" s="10" t="s">
        <v>703</v>
      </c>
      <c r="E5004" s="10" t="s">
        <v>20</v>
      </c>
      <c r="F5004" s="10" t="s">
        <v>704</v>
      </c>
      <c r="G5004" s="10" t="s">
        <v>237</v>
      </c>
      <c r="H5004" s="7" t="s">
        <v>24</v>
      </c>
      <c r="I5004" s="7" t="s">
        <v>25</v>
      </c>
      <c r="J5004" s="13" t="str">
        <f>HYPERLINK("https://www.airitibooks.com/Detail/Detail?PublicationID=P20130802052", "https://www.airitibooks.com/Detail/Detail?PublicationID=P20130802052")</f>
        <v>https://www.airitibooks.com/Detail/Detail?PublicationID=P20130802052</v>
      </c>
      <c r="K5004" s="13" t="str">
        <f>HYPERLINK("https://ntsu.idm.oclc.org/login?url=https://www.airitibooks.com/Detail/Detail?PublicationID=P20130802052", "https://ntsu.idm.oclc.org/login?url=https://www.airitibooks.com/Detail/Detail?PublicationID=P20130802052")</f>
        <v>https://ntsu.idm.oclc.org/login?url=https://www.airitibooks.com/Detail/Detail?PublicationID=P20130802052</v>
      </c>
    </row>
    <row r="5005" spans="1:11" ht="51" x14ac:dyDescent="0.4">
      <c r="A5005" s="10" t="s">
        <v>484</v>
      </c>
      <c r="B5005" s="10" t="s">
        <v>485</v>
      </c>
      <c r="C5005" s="10" t="s">
        <v>486</v>
      </c>
      <c r="D5005" s="10" t="s">
        <v>487</v>
      </c>
      <c r="E5005" s="10" t="s">
        <v>20</v>
      </c>
      <c r="F5005" s="10" t="s">
        <v>488</v>
      </c>
      <c r="G5005" s="10" t="s">
        <v>209</v>
      </c>
      <c r="H5005" s="7" t="s">
        <v>24</v>
      </c>
      <c r="I5005" s="7" t="s">
        <v>25</v>
      </c>
      <c r="J5005" s="13" t="str">
        <f>HYPERLINK("https://www.airitibooks.com/Detail/Detail?PublicationID=P20130125079", "https://www.airitibooks.com/Detail/Detail?PublicationID=P20130125079")</f>
        <v>https://www.airitibooks.com/Detail/Detail?PublicationID=P20130125079</v>
      </c>
      <c r="K5005" s="13" t="str">
        <f>HYPERLINK("https://ntsu.idm.oclc.org/login?url=https://www.airitibooks.com/Detail/Detail?PublicationID=P20130125079", "https://ntsu.idm.oclc.org/login?url=https://www.airitibooks.com/Detail/Detail?PublicationID=P20130125079")</f>
        <v>https://ntsu.idm.oclc.org/login?url=https://www.airitibooks.com/Detail/Detail?PublicationID=P20130125079</v>
      </c>
    </row>
    <row r="5006" spans="1:11" ht="51" x14ac:dyDescent="0.4">
      <c r="A5006" s="10" t="s">
        <v>150</v>
      </c>
      <c r="B5006" s="10" t="s">
        <v>151</v>
      </c>
      <c r="C5006" s="10" t="s">
        <v>152</v>
      </c>
      <c r="D5006" s="10" t="s">
        <v>153</v>
      </c>
      <c r="E5006" s="10" t="s">
        <v>20</v>
      </c>
      <c r="F5006" s="10" t="s">
        <v>154</v>
      </c>
      <c r="G5006" s="10" t="s">
        <v>76</v>
      </c>
      <c r="H5006" s="7" t="s">
        <v>24</v>
      </c>
      <c r="I5006" s="7" t="s">
        <v>25</v>
      </c>
      <c r="J5006" s="13" t="str">
        <f>HYPERLINK("https://www.airitibooks.com/Detail/Detail?PublicationID=P20110513204", "https://www.airitibooks.com/Detail/Detail?PublicationID=P20110513204")</f>
        <v>https://www.airitibooks.com/Detail/Detail?PublicationID=P20110513204</v>
      </c>
      <c r="K5006" s="13" t="str">
        <f>HYPERLINK("https://ntsu.idm.oclc.org/login?url=https://www.airitibooks.com/Detail/Detail?PublicationID=P20110513204", "https://ntsu.idm.oclc.org/login?url=https://www.airitibooks.com/Detail/Detail?PublicationID=P20110513204")</f>
        <v>https://ntsu.idm.oclc.org/login?url=https://www.airitibooks.com/Detail/Detail?PublicationID=P20110513204</v>
      </c>
    </row>
    <row r="5007" spans="1:11" ht="51" x14ac:dyDescent="0.4">
      <c r="A5007" s="10" t="s">
        <v>220</v>
      </c>
      <c r="B5007" s="10" t="s">
        <v>221</v>
      </c>
      <c r="C5007" s="10" t="s">
        <v>222</v>
      </c>
      <c r="D5007" s="10" t="s">
        <v>223</v>
      </c>
      <c r="E5007" s="10" t="s">
        <v>20</v>
      </c>
      <c r="F5007" s="10" t="s">
        <v>224</v>
      </c>
      <c r="G5007" s="10" t="s">
        <v>76</v>
      </c>
      <c r="H5007" s="7" t="s">
        <v>24</v>
      </c>
      <c r="I5007" s="7" t="s">
        <v>25</v>
      </c>
      <c r="J5007" s="13" t="str">
        <f>HYPERLINK("https://www.airitibooks.com/Detail/Detail?PublicationID=P20110831019", "https://www.airitibooks.com/Detail/Detail?PublicationID=P20110831019")</f>
        <v>https://www.airitibooks.com/Detail/Detail?PublicationID=P20110831019</v>
      </c>
      <c r="K5007" s="13" t="str">
        <f>HYPERLINK("https://ntsu.idm.oclc.org/login?url=https://www.airitibooks.com/Detail/Detail?PublicationID=P20110831019", "https://ntsu.idm.oclc.org/login?url=https://www.airitibooks.com/Detail/Detail?PublicationID=P20110831019")</f>
        <v>https://ntsu.idm.oclc.org/login?url=https://www.airitibooks.com/Detail/Detail?PublicationID=P20110831019</v>
      </c>
    </row>
    <row r="5008" spans="1:11" ht="51" x14ac:dyDescent="0.4">
      <c r="A5008" s="10" t="s">
        <v>244</v>
      </c>
      <c r="B5008" s="10" t="s">
        <v>245</v>
      </c>
      <c r="C5008" s="10" t="s">
        <v>240</v>
      </c>
      <c r="D5008" s="10" t="s">
        <v>246</v>
      </c>
      <c r="E5008" s="10" t="s">
        <v>20</v>
      </c>
      <c r="F5008" s="10" t="s">
        <v>79</v>
      </c>
      <c r="G5008" s="10" t="s">
        <v>76</v>
      </c>
      <c r="H5008" s="7" t="s">
        <v>24</v>
      </c>
      <c r="I5008" s="7" t="s">
        <v>25</v>
      </c>
      <c r="J5008" s="13" t="str">
        <f>HYPERLINK("https://www.airitibooks.com/Detail/Detail?PublicationID=P20110920027", "https://www.airitibooks.com/Detail/Detail?PublicationID=P20110920027")</f>
        <v>https://www.airitibooks.com/Detail/Detail?PublicationID=P20110920027</v>
      </c>
      <c r="K5008" s="13" t="str">
        <f>HYPERLINK("https://ntsu.idm.oclc.org/login?url=https://www.airitibooks.com/Detail/Detail?PublicationID=P20110920027", "https://ntsu.idm.oclc.org/login?url=https://www.airitibooks.com/Detail/Detail?PublicationID=P20110920027")</f>
        <v>https://ntsu.idm.oclc.org/login?url=https://www.airitibooks.com/Detail/Detail?PublicationID=P20110920027</v>
      </c>
    </row>
    <row r="5009" spans="1:11" ht="51" x14ac:dyDescent="0.4">
      <c r="A5009" s="10" t="s">
        <v>534</v>
      </c>
      <c r="B5009" s="10" t="s">
        <v>535</v>
      </c>
      <c r="C5009" s="10" t="s">
        <v>536</v>
      </c>
      <c r="D5009" s="10" t="s">
        <v>537</v>
      </c>
      <c r="E5009" s="10" t="s">
        <v>20</v>
      </c>
      <c r="F5009" s="10" t="s">
        <v>538</v>
      </c>
      <c r="G5009" s="10" t="s">
        <v>76</v>
      </c>
      <c r="H5009" s="7" t="s">
        <v>24</v>
      </c>
      <c r="I5009" s="7" t="s">
        <v>25</v>
      </c>
      <c r="J5009" s="13" t="str">
        <f>HYPERLINK("https://www.airitibooks.com/Detail/Detail?PublicationID=P20130322019", "https://www.airitibooks.com/Detail/Detail?PublicationID=P20130322019")</f>
        <v>https://www.airitibooks.com/Detail/Detail?PublicationID=P20130322019</v>
      </c>
      <c r="K5009" s="13" t="str">
        <f>HYPERLINK("https://ntsu.idm.oclc.org/login?url=https://www.airitibooks.com/Detail/Detail?PublicationID=P20130322019", "https://ntsu.idm.oclc.org/login?url=https://www.airitibooks.com/Detail/Detail?PublicationID=P20130322019")</f>
        <v>https://ntsu.idm.oclc.org/login?url=https://www.airitibooks.com/Detail/Detail?PublicationID=P20130322019</v>
      </c>
    </row>
    <row r="5010" spans="1:11" ht="51" x14ac:dyDescent="0.4">
      <c r="A5010" s="10" t="s">
        <v>539</v>
      </c>
      <c r="B5010" s="10" t="s">
        <v>540</v>
      </c>
      <c r="C5010" s="10" t="s">
        <v>536</v>
      </c>
      <c r="D5010" s="10" t="s">
        <v>541</v>
      </c>
      <c r="E5010" s="10" t="s">
        <v>20</v>
      </c>
      <c r="F5010" s="10" t="s">
        <v>538</v>
      </c>
      <c r="G5010" s="10" t="s">
        <v>76</v>
      </c>
      <c r="H5010" s="7" t="s">
        <v>24</v>
      </c>
      <c r="I5010" s="7" t="s">
        <v>25</v>
      </c>
      <c r="J5010" s="13" t="str">
        <f>HYPERLINK("https://www.airitibooks.com/Detail/Detail?PublicationID=P20130322020", "https://www.airitibooks.com/Detail/Detail?PublicationID=P20130322020")</f>
        <v>https://www.airitibooks.com/Detail/Detail?PublicationID=P20130322020</v>
      </c>
      <c r="K5010" s="13" t="str">
        <f>HYPERLINK("https://ntsu.idm.oclc.org/login?url=https://www.airitibooks.com/Detail/Detail?PublicationID=P20130322020", "https://ntsu.idm.oclc.org/login?url=https://www.airitibooks.com/Detail/Detail?PublicationID=P20130322020")</f>
        <v>https://ntsu.idm.oclc.org/login?url=https://www.airitibooks.com/Detail/Detail?PublicationID=P20130322020</v>
      </c>
    </row>
    <row r="5011" spans="1:11" ht="51" x14ac:dyDescent="0.4">
      <c r="A5011" s="10" t="s">
        <v>640</v>
      </c>
      <c r="B5011" s="10" t="s">
        <v>641</v>
      </c>
      <c r="C5011" s="10" t="s">
        <v>642</v>
      </c>
      <c r="D5011" s="10" t="s">
        <v>643</v>
      </c>
      <c r="E5011" s="10" t="s">
        <v>20</v>
      </c>
      <c r="F5011" s="10" t="s">
        <v>538</v>
      </c>
      <c r="G5011" s="10" t="s">
        <v>76</v>
      </c>
      <c r="H5011" s="7" t="s">
        <v>24</v>
      </c>
      <c r="I5011" s="7" t="s">
        <v>25</v>
      </c>
      <c r="J5011" s="13" t="str">
        <f>HYPERLINK("https://www.airitibooks.com/Detail/Detail?PublicationID=P20130523044", "https://www.airitibooks.com/Detail/Detail?PublicationID=P20130523044")</f>
        <v>https://www.airitibooks.com/Detail/Detail?PublicationID=P20130523044</v>
      </c>
      <c r="K5011" s="13" t="str">
        <f>HYPERLINK("https://ntsu.idm.oclc.org/login?url=https://www.airitibooks.com/Detail/Detail?PublicationID=P20130523044", "https://ntsu.idm.oclc.org/login?url=https://www.airitibooks.com/Detail/Detail?PublicationID=P20130523044")</f>
        <v>https://ntsu.idm.oclc.org/login?url=https://www.airitibooks.com/Detail/Detail?PublicationID=P20130523044</v>
      </c>
    </row>
    <row r="5012" spans="1:11" ht="51" x14ac:dyDescent="0.4">
      <c r="A5012" s="10" t="s">
        <v>2008</v>
      </c>
      <c r="B5012" s="10" t="s">
        <v>2009</v>
      </c>
      <c r="C5012" s="10" t="s">
        <v>101</v>
      </c>
      <c r="D5012" s="10" t="s">
        <v>2010</v>
      </c>
      <c r="E5012" s="10" t="s">
        <v>20</v>
      </c>
      <c r="F5012" s="10" t="s">
        <v>2004</v>
      </c>
      <c r="G5012" s="10" t="s">
        <v>76</v>
      </c>
      <c r="H5012" s="7" t="s">
        <v>24</v>
      </c>
      <c r="I5012" s="7" t="s">
        <v>25</v>
      </c>
      <c r="J5012" s="13" t="str">
        <f>HYPERLINK("https://www.airitibooks.com/Detail/Detail?PublicationID=P20150211026", "https://www.airitibooks.com/Detail/Detail?PublicationID=P20150211026")</f>
        <v>https://www.airitibooks.com/Detail/Detail?PublicationID=P20150211026</v>
      </c>
      <c r="K5012" s="13" t="str">
        <f>HYPERLINK("https://ntsu.idm.oclc.org/login?url=https://www.airitibooks.com/Detail/Detail?PublicationID=P20150211026", "https://ntsu.idm.oclc.org/login?url=https://www.airitibooks.com/Detail/Detail?PublicationID=P20150211026")</f>
        <v>https://ntsu.idm.oclc.org/login?url=https://www.airitibooks.com/Detail/Detail?PublicationID=P20150211026</v>
      </c>
    </row>
    <row r="5013" spans="1:11" ht="51" x14ac:dyDescent="0.4">
      <c r="A5013" s="10" t="s">
        <v>123</v>
      </c>
      <c r="B5013" s="10" t="s">
        <v>124</v>
      </c>
      <c r="C5013" s="10" t="s">
        <v>125</v>
      </c>
      <c r="D5013" s="10" t="s">
        <v>126</v>
      </c>
      <c r="E5013" s="10" t="s">
        <v>20</v>
      </c>
      <c r="F5013" s="10" t="s">
        <v>127</v>
      </c>
      <c r="G5013" s="10" t="s">
        <v>87</v>
      </c>
      <c r="H5013" s="7" t="s">
        <v>24</v>
      </c>
      <c r="I5013" s="7" t="s">
        <v>25</v>
      </c>
      <c r="J5013" s="13" t="str">
        <f>HYPERLINK("https://www.airitibooks.com/Detail/Detail?PublicationID=P20100614055", "https://www.airitibooks.com/Detail/Detail?PublicationID=P20100614055")</f>
        <v>https://www.airitibooks.com/Detail/Detail?PublicationID=P20100614055</v>
      </c>
      <c r="K5013" s="13" t="str">
        <f>HYPERLINK("https://ntsu.idm.oclc.org/login?url=https://www.airitibooks.com/Detail/Detail?PublicationID=P20100614055", "https://ntsu.idm.oclc.org/login?url=https://www.airitibooks.com/Detail/Detail?PublicationID=P20100614055")</f>
        <v>https://ntsu.idm.oclc.org/login?url=https://www.airitibooks.com/Detail/Detail?PublicationID=P20100614055</v>
      </c>
    </row>
    <row r="5014" spans="1:11" ht="51" x14ac:dyDescent="0.4">
      <c r="A5014" s="10" t="s">
        <v>128</v>
      </c>
      <c r="B5014" s="10" t="s">
        <v>129</v>
      </c>
      <c r="C5014" s="10" t="s">
        <v>130</v>
      </c>
      <c r="D5014" s="10" t="s">
        <v>131</v>
      </c>
      <c r="E5014" s="10" t="s">
        <v>20</v>
      </c>
      <c r="F5014" s="10" t="s">
        <v>132</v>
      </c>
      <c r="G5014" s="10" t="s">
        <v>87</v>
      </c>
      <c r="H5014" s="7" t="s">
        <v>24</v>
      </c>
      <c r="I5014" s="7" t="s">
        <v>25</v>
      </c>
      <c r="J5014" s="13" t="str">
        <f>HYPERLINK("https://www.airitibooks.com/Detail/Detail?PublicationID=P20100728024", "https://www.airitibooks.com/Detail/Detail?PublicationID=P20100728024")</f>
        <v>https://www.airitibooks.com/Detail/Detail?PublicationID=P20100728024</v>
      </c>
      <c r="K5014" s="13" t="str">
        <f>HYPERLINK("https://ntsu.idm.oclc.org/login?url=https://www.airitibooks.com/Detail/Detail?PublicationID=P20100728024", "https://ntsu.idm.oclc.org/login?url=https://www.airitibooks.com/Detail/Detail?PublicationID=P20100728024")</f>
        <v>https://ntsu.idm.oclc.org/login?url=https://www.airitibooks.com/Detail/Detail?PublicationID=P20100728024</v>
      </c>
    </row>
    <row r="5015" spans="1:11" ht="51" x14ac:dyDescent="0.4">
      <c r="A5015" s="10" t="s">
        <v>139</v>
      </c>
      <c r="B5015" s="10" t="s">
        <v>140</v>
      </c>
      <c r="C5015" s="10" t="s">
        <v>141</v>
      </c>
      <c r="D5015" s="10" t="s">
        <v>142</v>
      </c>
      <c r="E5015" s="10" t="s">
        <v>20</v>
      </c>
      <c r="F5015" s="10" t="s">
        <v>144</v>
      </c>
      <c r="G5015" s="10" t="s">
        <v>87</v>
      </c>
      <c r="H5015" s="7" t="s">
        <v>24</v>
      </c>
      <c r="I5015" s="7" t="s">
        <v>25</v>
      </c>
      <c r="J5015" s="13" t="str">
        <f>HYPERLINK("https://www.airitibooks.com/Detail/Detail?PublicationID=P20110324010", "https://www.airitibooks.com/Detail/Detail?PublicationID=P20110324010")</f>
        <v>https://www.airitibooks.com/Detail/Detail?PublicationID=P20110324010</v>
      </c>
      <c r="K5015" s="13" t="str">
        <f>HYPERLINK("https://ntsu.idm.oclc.org/login?url=https://www.airitibooks.com/Detail/Detail?PublicationID=P20110324010", "https://ntsu.idm.oclc.org/login?url=https://www.airitibooks.com/Detail/Detail?PublicationID=P20110324010")</f>
        <v>https://ntsu.idm.oclc.org/login?url=https://www.airitibooks.com/Detail/Detail?PublicationID=P20110324010</v>
      </c>
    </row>
    <row r="5016" spans="1:11" ht="51" x14ac:dyDescent="0.4">
      <c r="A5016" s="10" t="s">
        <v>225</v>
      </c>
      <c r="B5016" s="10" t="s">
        <v>226</v>
      </c>
      <c r="C5016" s="10" t="s">
        <v>125</v>
      </c>
      <c r="D5016" s="10" t="s">
        <v>227</v>
      </c>
      <c r="E5016" s="10" t="s">
        <v>20</v>
      </c>
      <c r="F5016" s="10" t="s">
        <v>228</v>
      </c>
      <c r="G5016" s="10" t="s">
        <v>87</v>
      </c>
      <c r="H5016" s="7" t="s">
        <v>24</v>
      </c>
      <c r="I5016" s="7" t="s">
        <v>25</v>
      </c>
      <c r="J5016" s="13" t="str">
        <f>HYPERLINK("https://www.airitibooks.com/Detail/Detail?PublicationID=P20110907006", "https://www.airitibooks.com/Detail/Detail?PublicationID=P20110907006")</f>
        <v>https://www.airitibooks.com/Detail/Detail?PublicationID=P20110907006</v>
      </c>
      <c r="K5016" s="13" t="str">
        <f>HYPERLINK("https://ntsu.idm.oclc.org/login?url=https://www.airitibooks.com/Detail/Detail?PublicationID=P20110907006", "https://ntsu.idm.oclc.org/login?url=https://www.airitibooks.com/Detail/Detail?PublicationID=P20110907006")</f>
        <v>https://ntsu.idm.oclc.org/login?url=https://www.airitibooks.com/Detail/Detail?PublicationID=P20110907006</v>
      </c>
    </row>
    <row r="5017" spans="1:11" ht="51" x14ac:dyDescent="0.4">
      <c r="A5017" s="10" t="s">
        <v>229</v>
      </c>
      <c r="B5017" s="10" t="s">
        <v>230</v>
      </c>
      <c r="C5017" s="10" t="s">
        <v>125</v>
      </c>
      <c r="D5017" s="10" t="s">
        <v>231</v>
      </c>
      <c r="E5017" s="10" t="s">
        <v>20</v>
      </c>
      <c r="F5017" s="10" t="s">
        <v>232</v>
      </c>
      <c r="G5017" s="10" t="s">
        <v>87</v>
      </c>
      <c r="H5017" s="7" t="s">
        <v>24</v>
      </c>
      <c r="I5017" s="7" t="s">
        <v>25</v>
      </c>
      <c r="J5017" s="13" t="str">
        <f>HYPERLINK("https://www.airitibooks.com/Detail/Detail?PublicationID=P20110907010", "https://www.airitibooks.com/Detail/Detail?PublicationID=P20110907010")</f>
        <v>https://www.airitibooks.com/Detail/Detail?PublicationID=P20110907010</v>
      </c>
      <c r="K5017" s="13" t="str">
        <f>HYPERLINK("https://ntsu.idm.oclc.org/login?url=https://www.airitibooks.com/Detail/Detail?PublicationID=P20110907010", "https://ntsu.idm.oclc.org/login?url=https://www.airitibooks.com/Detail/Detail?PublicationID=P20110907010")</f>
        <v>https://ntsu.idm.oclc.org/login?url=https://www.airitibooks.com/Detail/Detail?PublicationID=P20110907010</v>
      </c>
    </row>
    <row r="5018" spans="1:11" ht="51" x14ac:dyDescent="0.4">
      <c r="A5018" s="10" t="s">
        <v>280</v>
      </c>
      <c r="B5018" s="10" t="s">
        <v>281</v>
      </c>
      <c r="C5018" s="10" t="s">
        <v>282</v>
      </c>
      <c r="D5018" s="10" t="s">
        <v>283</v>
      </c>
      <c r="E5018" s="10" t="s">
        <v>20</v>
      </c>
      <c r="F5018" s="10" t="s">
        <v>284</v>
      </c>
      <c r="G5018" s="10" t="s">
        <v>87</v>
      </c>
      <c r="H5018" s="7" t="s">
        <v>24</v>
      </c>
      <c r="I5018" s="7" t="s">
        <v>25</v>
      </c>
      <c r="J5018" s="13" t="str">
        <f>HYPERLINK("https://www.airitibooks.com/Detail/Detail?PublicationID=P20120131001", "https://www.airitibooks.com/Detail/Detail?PublicationID=P20120131001")</f>
        <v>https://www.airitibooks.com/Detail/Detail?PublicationID=P20120131001</v>
      </c>
      <c r="K5018" s="13" t="str">
        <f>HYPERLINK("https://ntsu.idm.oclc.org/login?url=https://www.airitibooks.com/Detail/Detail?PublicationID=P20120131001", "https://ntsu.idm.oclc.org/login?url=https://www.airitibooks.com/Detail/Detail?PublicationID=P20120131001")</f>
        <v>https://ntsu.idm.oclc.org/login?url=https://www.airitibooks.com/Detail/Detail?PublicationID=P20120131001</v>
      </c>
    </row>
    <row r="5019" spans="1:11" ht="51" x14ac:dyDescent="0.4">
      <c r="A5019" s="10" t="s">
        <v>634</v>
      </c>
      <c r="B5019" s="10" t="s">
        <v>635</v>
      </c>
      <c r="C5019" s="10" t="s">
        <v>627</v>
      </c>
      <c r="D5019" s="10" t="s">
        <v>631</v>
      </c>
      <c r="E5019" s="10" t="s">
        <v>20</v>
      </c>
      <c r="F5019" s="10" t="s">
        <v>633</v>
      </c>
      <c r="G5019" s="10" t="s">
        <v>87</v>
      </c>
      <c r="H5019" s="7" t="s">
        <v>24</v>
      </c>
      <c r="I5019" s="7" t="s">
        <v>25</v>
      </c>
      <c r="J5019" s="13" t="str">
        <f>HYPERLINK("https://www.airitibooks.com/Detail/Detail?PublicationID=P20130517069", "https://www.airitibooks.com/Detail/Detail?PublicationID=P20130517069")</f>
        <v>https://www.airitibooks.com/Detail/Detail?PublicationID=P20130517069</v>
      </c>
      <c r="K5019" s="13" t="str">
        <f>HYPERLINK("https://ntsu.idm.oclc.org/login?url=https://www.airitibooks.com/Detail/Detail?PublicationID=P20130517069", "https://ntsu.idm.oclc.org/login?url=https://www.airitibooks.com/Detail/Detail?PublicationID=P20130517069")</f>
        <v>https://ntsu.idm.oclc.org/login?url=https://www.airitibooks.com/Detail/Detail?PublicationID=P20130517069</v>
      </c>
    </row>
    <row r="5020" spans="1:11" ht="51" x14ac:dyDescent="0.4">
      <c r="A5020" s="10" t="s">
        <v>16</v>
      </c>
      <c r="B5020" s="10" t="s">
        <v>17</v>
      </c>
      <c r="C5020" s="10" t="s">
        <v>18</v>
      </c>
      <c r="D5020" s="10" t="s">
        <v>19</v>
      </c>
      <c r="E5020" s="10" t="s">
        <v>20</v>
      </c>
      <c r="F5020" s="10" t="s">
        <v>22</v>
      </c>
      <c r="G5020" s="10" t="s">
        <v>23</v>
      </c>
      <c r="H5020" s="7" t="s">
        <v>24</v>
      </c>
      <c r="I5020" s="7" t="s">
        <v>25</v>
      </c>
      <c r="J5020" s="13" t="str">
        <f>HYPERLINK("https://www.airitibooks.com/Detail/Detail?PublicationID=P200903281525", "https://www.airitibooks.com/Detail/Detail?PublicationID=P200903281525")</f>
        <v>https://www.airitibooks.com/Detail/Detail?PublicationID=P200903281525</v>
      </c>
      <c r="K5020" s="13" t="str">
        <f>HYPERLINK("https://ntsu.idm.oclc.org/login?url=https://www.airitibooks.com/Detail/Detail?PublicationID=P200903281525", "https://ntsu.idm.oclc.org/login?url=https://www.airitibooks.com/Detail/Detail?PublicationID=P200903281525")</f>
        <v>https://ntsu.idm.oclc.org/login?url=https://www.airitibooks.com/Detail/Detail?PublicationID=P200903281525</v>
      </c>
    </row>
    <row r="5021" spans="1:11" ht="51" x14ac:dyDescent="0.4">
      <c r="A5021" s="10" t="s">
        <v>210</v>
      </c>
      <c r="B5021" s="10" t="s">
        <v>211</v>
      </c>
      <c r="C5021" s="10" t="s">
        <v>212</v>
      </c>
      <c r="D5021" s="10" t="s">
        <v>213</v>
      </c>
      <c r="E5021" s="10" t="s">
        <v>20</v>
      </c>
      <c r="F5021" s="10" t="s">
        <v>214</v>
      </c>
      <c r="G5021" s="10" t="s">
        <v>23</v>
      </c>
      <c r="H5021" s="7" t="s">
        <v>24</v>
      </c>
      <c r="I5021" s="7" t="s">
        <v>25</v>
      </c>
      <c r="J5021" s="13" t="str">
        <f>HYPERLINK("https://www.airitibooks.com/Detail/Detail?PublicationID=P20110823008", "https://www.airitibooks.com/Detail/Detail?PublicationID=P20110823008")</f>
        <v>https://www.airitibooks.com/Detail/Detail?PublicationID=P20110823008</v>
      </c>
      <c r="K5021" s="13" t="str">
        <f>HYPERLINK("https://ntsu.idm.oclc.org/login?url=https://www.airitibooks.com/Detail/Detail?PublicationID=P20110823008", "https://ntsu.idm.oclc.org/login?url=https://www.airitibooks.com/Detail/Detail?PublicationID=P20110823008")</f>
        <v>https://ntsu.idm.oclc.org/login?url=https://www.airitibooks.com/Detail/Detail?PublicationID=P20110823008</v>
      </c>
    </row>
    <row r="5022" spans="1:11" ht="51" x14ac:dyDescent="0.4">
      <c r="A5022" s="10" t="s">
        <v>215</v>
      </c>
      <c r="B5022" s="10" t="s">
        <v>216</v>
      </c>
      <c r="C5022" s="10" t="s">
        <v>217</v>
      </c>
      <c r="D5022" s="10" t="s">
        <v>218</v>
      </c>
      <c r="E5022" s="10" t="s">
        <v>20</v>
      </c>
      <c r="F5022" s="10" t="s">
        <v>219</v>
      </c>
      <c r="G5022" s="10" t="s">
        <v>23</v>
      </c>
      <c r="H5022" s="7" t="s">
        <v>24</v>
      </c>
      <c r="I5022" s="7" t="s">
        <v>25</v>
      </c>
      <c r="J5022" s="13" t="str">
        <f>HYPERLINK("https://www.airitibooks.com/Detail/Detail?PublicationID=P20110825002", "https://www.airitibooks.com/Detail/Detail?PublicationID=P20110825002")</f>
        <v>https://www.airitibooks.com/Detail/Detail?PublicationID=P20110825002</v>
      </c>
      <c r="K5022" s="13" t="str">
        <f>HYPERLINK("https://ntsu.idm.oclc.org/login?url=https://www.airitibooks.com/Detail/Detail?PublicationID=P20110825002", "https://ntsu.idm.oclc.org/login?url=https://www.airitibooks.com/Detail/Detail?PublicationID=P20110825002")</f>
        <v>https://ntsu.idm.oclc.org/login?url=https://www.airitibooks.com/Detail/Detail?PublicationID=P20110825002</v>
      </c>
    </row>
    <row r="5023" spans="1:11" ht="51" x14ac:dyDescent="0.4">
      <c r="A5023" s="10" t="s">
        <v>238</v>
      </c>
      <c r="B5023" s="10" t="s">
        <v>239</v>
      </c>
      <c r="C5023" s="10" t="s">
        <v>240</v>
      </c>
      <c r="D5023" s="10" t="s">
        <v>241</v>
      </c>
      <c r="E5023" s="10" t="s">
        <v>20</v>
      </c>
      <c r="F5023" s="10" t="s">
        <v>243</v>
      </c>
      <c r="G5023" s="10" t="s">
        <v>23</v>
      </c>
      <c r="H5023" s="7" t="s">
        <v>24</v>
      </c>
      <c r="I5023" s="7" t="s">
        <v>25</v>
      </c>
      <c r="J5023" s="13" t="str">
        <f>HYPERLINK("https://www.airitibooks.com/Detail/Detail?PublicationID=P20110920021", "https://www.airitibooks.com/Detail/Detail?PublicationID=P20110920021")</f>
        <v>https://www.airitibooks.com/Detail/Detail?PublicationID=P20110920021</v>
      </c>
      <c r="K5023" s="13" t="str">
        <f>HYPERLINK("https://ntsu.idm.oclc.org/login?url=https://www.airitibooks.com/Detail/Detail?PublicationID=P20110920021", "https://ntsu.idm.oclc.org/login?url=https://www.airitibooks.com/Detail/Detail?PublicationID=P20110920021")</f>
        <v>https://ntsu.idm.oclc.org/login?url=https://www.airitibooks.com/Detail/Detail?PublicationID=P20110920021</v>
      </c>
    </row>
    <row r="5024" spans="1:11" ht="51" x14ac:dyDescent="0.4">
      <c r="A5024" s="10" t="s">
        <v>446</v>
      </c>
      <c r="B5024" s="10" t="s">
        <v>447</v>
      </c>
      <c r="C5024" s="10" t="s">
        <v>448</v>
      </c>
      <c r="D5024" s="10" t="s">
        <v>449</v>
      </c>
      <c r="E5024" s="10" t="s">
        <v>20</v>
      </c>
      <c r="F5024" s="10" t="s">
        <v>386</v>
      </c>
      <c r="G5024" s="10" t="s">
        <v>23</v>
      </c>
      <c r="H5024" s="7" t="s">
        <v>24</v>
      </c>
      <c r="I5024" s="7" t="s">
        <v>25</v>
      </c>
      <c r="J5024" s="13" t="str">
        <f>HYPERLINK("https://www.airitibooks.com/Detail/Detail?PublicationID=P20121105022", "https://www.airitibooks.com/Detail/Detail?PublicationID=P20121105022")</f>
        <v>https://www.airitibooks.com/Detail/Detail?PublicationID=P20121105022</v>
      </c>
      <c r="K5024" s="13" t="str">
        <f>HYPERLINK("https://ntsu.idm.oclc.org/login?url=https://www.airitibooks.com/Detail/Detail?PublicationID=P20121105022", "https://ntsu.idm.oclc.org/login?url=https://www.airitibooks.com/Detail/Detail?PublicationID=P20121105022")</f>
        <v>https://ntsu.idm.oclc.org/login?url=https://www.airitibooks.com/Detail/Detail?PublicationID=P20121105022</v>
      </c>
    </row>
    <row r="5025" spans="1:11" ht="68" x14ac:dyDescent="0.4">
      <c r="A5025" s="10" t="s">
        <v>692</v>
      </c>
      <c r="B5025" s="10" t="s">
        <v>693</v>
      </c>
      <c r="C5025" s="10" t="s">
        <v>694</v>
      </c>
      <c r="D5025" s="10" t="s">
        <v>695</v>
      </c>
      <c r="E5025" s="10" t="s">
        <v>20</v>
      </c>
      <c r="F5025" s="10" t="s">
        <v>696</v>
      </c>
      <c r="G5025" s="10" t="s">
        <v>23</v>
      </c>
      <c r="H5025" s="7" t="s">
        <v>24</v>
      </c>
      <c r="I5025" s="7" t="s">
        <v>25</v>
      </c>
      <c r="J5025" s="13" t="str">
        <f>HYPERLINK("https://www.airitibooks.com/Detail/Detail?PublicationID=P20130711023", "https://www.airitibooks.com/Detail/Detail?PublicationID=P20130711023")</f>
        <v>https://www.airitibooks.com/Detail/Detail?PublicationID=P20130711023</v>
      </c>
      <c r="K5025" s="13" t="str">
        <f>HYPERLINK("https://ntsu.idm.oclc.org/login?url=https://www.airitibooks.com/Detail/Detail?PublicationID=P20130711023", "https://ntsu.idm.oclc.org/login?url=https://www.airitibooks.com/Detail/Detail?PublicationID=P20130711023")</f>
        <v>https://ntsu.idm.oclc.org/login?url=https://www.airitibooks.com/Detail/Detail?PublicationID=P20130711023</v>
      </c>
    </row>
    <row r="5026" spans="1:11" ht="51" x14ac:dyDescent="0.4">
      <c r="A5026" s="10" t="s">
        <v>705</v>
      </c>
      <c r="B5026" s="10" t="s">
        <v>706</v>
      </c>
      <c r="C5026" s="10" t="s">
        <v>707</v>
      </c>
      <c r="D5026" s="10" t="s">
        <v>708</v>
      </c>
      <c r="E5026" s="10" t="s">
        <v>20</v>
      </c>
      <c r="F5026" s="10" t="s">
        <v>710</v>
      </c>
      <c r="G5026" s="10" t="s">
        <v>23</v>
      </c>
      <c r="H5026" s="7" t="s">
        <v>24</v>
      </c>
      <c r="I5026" s="7" t="s">
        <v>25</v>
      </c>
      <c r="J5026" s="13" t="str">
        <f>HYPERLINK("https://www.airitibooks.com/Detail/Detail?PublicationID=P20130802062", "https://www.airitibooks.com/Detail/Detail?PublicationID=P20130802062")</f>
        <v>https://www.airitibooks.com/Detail/Detail?PublicationID=P20130802062</v>
      </c>
      <c r="K5026" s="13" t="str">
        <f>HYPERLINK("https://ntsu.idm.oclc.org/login?url=https://www.airitibooks.com/Detail/Detail?PublicationID=P20130802062", "https://ntsu.idm.oclc.org/login?url=https://www.airitibooks.com/Detail/Detail?PublicationID=P20130802062")</f>
        <v>https://ntsu.idm.oclc.org/login?url=https://www.airitibooks.com/Detail/Detail?PublicationID=P20130802062</v>
      </c>
    </row>
    <row r="5027" spans="1:11" ht="51" x14ac:dyDescent="0.4">
      <c r="A5027" s="10" t="s">
        <v>711</v>
      </c>
      <c r="B5027" s="10" t="s">
        <v>712</v>
      </c>
      <c r="C5027" s="10" t="s">
        <v>707</v>
      </c>
      <c r="D5027" s="10" t="s">
        <v>713</v>
      </c>
      <c r="E5027" s="10" t="s">
        <v>20</v>
      </c>
      <c r="F5027" s="10" t="s">
        <v>710</v>
      </c>
      <c r="G5027" s="10" t="s">
        <v>23</v>
      </c>
      <c r="H5027" s="7" t="s">
        <v>24</v>
      </c>
      <c r="I5027" s="7" t="s">
        <v>25</v>
      </c>
      <c r="J5027" s="13" t="str">
        <f>HYPERLINK("https://www.airitibooks.com/Detail/Detail?PublicationID=P20130802063", "https://www.airitibooks.com/Detail/Detail?PublicationID=P20130802063")</f>
        <v>https://www.airitibooks.com/Detail/Detail?PublicationID=P20130802063</v>
      </c>
      <c r="K5027" s="13" t="str">
        <f>HYPERLINK("https://ntsu.idm.oclc.org/login?url=https://www.airitibooks.com/Detail/Detail?PublicationID=P20130802063", "https://ntsu.idm.oclc.org/login?url=https://www.airitibooks.com/Detail/Detail?PublicationID=P20130802063")</f>
        <v>https://ntsu.idm.oclc.org/login?url=https://www.airitibooks.com/Detail/Detail?PublicationID=P20130802063</v>
      </c>
    </row>
    <row r="5028" spans="1:11" ht="51" x14ac:dyDescent="0.4">
      <c r="A5028" s="10" t="s">
        <v>714</v>
      </c>
      <c r="B5028" s="10" t="s">
        <v>715</v>
      </c>
      <c r="C5028" s="10" t="s">
        <v>707</v>
      </c>
      <c r="D5028" s="10" t="s">
        <v>716</v>
      </c>
      <c r="E5028" s="10" t="s">
        <v>20</v>
      </c>
      <c r="F5028" s="10" t="s">
        <v>710</v>
      </c>
      <c r="G5028" s="10" t="s">
        <v>23</v>
      </c>
      <c r="H5028" s="7" t="s">
        <v>24</v>
      </c>
      <c r="I5028" s="7" t="s">
        <v>25</v>
      </c>
      <c r="J5028" s="13" t="str">
        <f>HYPERLINK("https://www.airitibooks.com/Detail/Detail?PublicationID=P20130802064", "https://www.airitibooks.com/Detail/Detail?PublicationID=P20130802064")</f>
        <v>https://www.airitibooks.com/Detail/Detail?PublicationID=P20130802064</v>
      </c>
      <c r="K5028" s="13" t="str">
        <f>HYPERLINK("https://ntsu.idm.oclc.org/login?url=https://www.airitibooks.com/Detail/Detail?PublicationID=P20130802064", "https://ntsu.idm.oclc.org/login?url=https://www.airitibooks.com/Detail/Detail?PublicationID=P20130802064")</f>
        <v>https://ntsu.idm.oclc.org/login?url=https://www.airitibooks.com/Detail/Detail?PublicationID=P20130802064</v>
      </c>
    </row>
    <row r="5029" spans="1:11" ht="51" x14ac:dyDescent="0.4">
      <c r="A5029" s="10" t="s">
        <v>721</v>
      </c>
      <c r="B5029" s="10" t="s">
        <v>722</v>
      </c>
      <c r="C5029" s="10" t="s">
        <v>723</v>
      </c>
      <c r="D5029" s="10" t="s">
        <v>724</v>
      </c>
      <c r="E5029" s="10" t="s">
        <v>20</v>
      </c>
      <c r="F5029" s="10" t="s">
        <v>167</v>
      </c>
      <c r="G5029" s="10" t="s">
        <v>23</v>
      </c>
      <c r="H5029" s="7" t="s">
        <v>24</v>
      </c>
      <c r="I5029" s="7" t="s">
        <v>25</v>
      </c>
      <c r="J5029" s="13" t="str">
        <f>HYPERLINK("https://www.airitibooks.com/Detail/Detail?PublicationID=P20130802097", "https://www.airitibooks.com/Detail/Detail?PublicationID=P20130802097")</f>
        <v>https://www.airitibooks.com/Detail/Detail?PublicationID=P20130802097</v>
      </c>
      <c r="K5029" s="13" t="str">
        <f>HYPERLINK("https://ntsu.idm.oclc.org/login?url=https://www.airitibooks.com/Detail/Detail?PublicationID=P20130802097", "https://ntsu.idm.oclc.org/login?url=https://www.airitibooks.com/Detail/Detail?PublicationID=P20130802097")</f>
        <v>https://ntsu.idm.oclc.org/login?url=https://www.airitibooks.com/Detail/Detail?PublicationID=P20130802097</v>
      </c>
    </row>
    <row r="5030" spans="1:11" ht="51" x14ac:dyDescent="0.4">
      <c r="A5030" s="10" t="s">
        <v>725</v>
      </c>
      <c r="B5030" s="10" t="s">
        <v>726</v>
      </c>
      <c r="C5030" s="10" t="s">
        <v>723</v>
      </c>
      <c r="D5030" s="10" t="s">
        <v>727</v>
      </c>
      <c r="E5030" s="10" t="s">
        <v>20</v>
      </c>
      <c r="F5030" s="10" t="s">
        <v>728</v>
      </c>
      <c r="G5030" s="10" t="s">
        <v>23</v>
      </c>
      <c r="H5030" s="7" t="s">
        <v>24</v>
      </c>
      <c r="I5030" s="7" t="s">
        <v>25</v>
      </c>
      <c r="J5030" s="13" t="str">
        <f>HYPERLINK("https://www.airitibooks.com/Detail/Detail?PublicationID=P20130802101", "https://www.airitibooks.com/Detail/Detail?PublicationID=P20130802101")</f>
        <v>https://www.airitibooks.com/Detail/Detail?PublicationID=P20130802101</v>
      </c>
      <c r="K5030" s="13" t="str">
        <f>HYPERLINK("https://ntsu.idm.oclc.org/login?url=https://www.airitibooks.com/Detail/Detail?PublicationID=P20130802101", "https://ntsu.idm.oclc.org/login?url=https://www.airitibooks.com/Detail/Detail?PublicationID=P20130802101")</f>
        <v>https://ntsu.idm.oclc.org/login?url=https://www.airitibooks.com/Detail/Detail?PublicationID=P20130802101</v>
      </c>
    </row>
    <row r="5031" spans="1:11" ht="51" x14ac:dyDescent="0.4">
      <c r="A5031" s="10" t="s">
        <v>2333</v>
      </c>
      <c r="B5031" s="10" t="s">
        <v>2334</v>
      </c>
      <c r="C5031" s="10" t="s">
        <v>1982</v>
      </c>
      <c r="D5031" s="10" t="s">
        <v>2335</v>
      </c>
      <c r="E5031" s="10" t="s">
        <v>20</v>
      </c>
      <c r="F5031" s="10" t="s">
        <v>2325</v>
      </c>
      <c r="G5031" s="10" t="s">
        <v>23</v>
      </c>
      <c r="H5031" s="7" t="s">
        <v>24</v>
      </c>
      <c r="I5031" s="7" t="s">
        <v>25</v>
      </c>
      <c r="J5031" s="13" t="str">
        <f>HYPERLINK("https://www.airitibooks.com/Detail/Detail?PublicationID=P20150409059", "https://www.airitibooks.com/Detail/Detail?PublicationID=P20150409059")</f>
        <v>https://www.airitibooks.com/Detail/Detail?PublicationID=P20150409059</v>
      </c>
      <c r="K5031" s="13" t="str">
        <f>HYPERLINK("https://ntsu.idm.oclc.org/login?url=https://www.airitibooks.com/Detail/Detail?PublicationID=P20150409059", "https://ntsu.idm.oclc.org/login?url=https://www.airitibooks.com/Detail/Detail?PublicationID=P20150409059")</f>
        <v>https://ntsu.idm.oclc.org/login?url=https://www.airitibooks.com/Detail/Detail?PublicationID=P20150409059</v>
      </c>
    </row>
    <row r="5032" spans="1:11" ht="85" x14ac:dyDescent="0.4">
      <c r="A5032" s="10" t="s">
        <v>2416</v>
      </c>
      <c r="B5032" s="10" t="s">
        <v>2417</v>
      </c>
      <c r="C5032" s="10" t="s">
        <v>2299</v>
      </c>
      <c r="D5032" s="10" t="s">
        <v>2418</v>
      </c>
      <c r="E5032" s="10" t="s">
        <v>20</v>
      </c>
      <c r="F5032" s="10" t="s">
        <v>1646</v>
      </c>
      <c r="G5032" s="10" t="s">
        <v>23</v>
      </c>
      <c r="H5032" s="7" t="s">
        <v>1467</v>
      </c>
      <c r="I5032" s="7" t="s">
        <v>25</v>
      </c>
      <c r="J5032" s="13" t="str">
        <f>HYPERLINK("https://www.airitibooks.com/Detail/Detail?PublicationID=P20150420029", "https://www.airitibooks.com/Detail/Detail?PublicationID=P20150420029")</f>
        <v>https://www.airitibooks.com/Detail/Detail?PublicationID=P20150420029</v>
      </c>
      <c r="K5032" s="13" t="str">
        <f>HYPERLINK("https://ntsu.idm.oclc.org/login?url=https://www.airitibooks.com/Detail/Detail?PublicationID=P20150420029", "https://ntsu.idm.oclc.org/login?url=https://www.airitibooks.com/Detail/Detail?PublicationID=P20150420029")</f>
        <v>https://ntsu.idm.oclc.org/login?url=https://www.airitibooks.com/Detail/Detail?PublicationID=P20150420029</v>
      </c>
    </row>
    <row r="5033" spans="1:11" ht="51" x14ac:dyDescent="0.4">
      <c r="A5033" s="10" t="s">
        <v>2556</v>
      </c>
      <c r="B5033" s="10" t="s">
        <v>2557</v>
      </c>
      <c r="C5033" s="10" t="s">
        <v>2558</v>
      </c>
      <c r="D5033" s="10" t="s">
        <v>2559</v>
      </c>
      <c r="E5033" s="10" t="s">
        <v>20</v>
      </c>
      <c r="F5033" s="10" t="s">
        <v>2560</v>
      </c>
      <c r="G5033" s="10" t="s">
        <v>23</v>
      </c>
      <c r="H5033" s="7" t="s">
        <v>24</v>
      </c>
      <c r="I5033" s="7" t="s">
        <v>25</v>
      </c>
      <c r="J5033" s="13" t="str">
        <f>HYPERLINK("https://www.airitibooks.com/Detail/Detail?PublicationID=P20150511048", "https://www.airitibooks.com/Detail/Detail?PublicationID=P20150511048")</f>
        <v>https://www.airitibooks.com/Detail/Detail?PublicationID=P20150511048</v>
      </c>
      <c r="K5033" s="13" t="str">
        <f>HYPERLINK("https://ntsu.idm.oclc.org/login?url=https://www.airitibooks.com/Detail/Detail?PublicationID=P20150511048", "https://ntsu.idm.oclc.org/login?url=https://www.airitibooks.com/Detail/Detail?PublicationID=P20150511048")</f>
        <v>https://ntsu.idm.oclc.org/login?url=https://www.airitibooks.com/Detail/Detail?PublicationID=P20150511048</v>
      </c>
    </row>
    <row r="5034" spans="1:11" ht="51" x14ac:dyDescent="0.4">
      <c r="A5034" s="10" t="s">
        <v>2561</v>
      </c>
      <c r="B5034" s="10" t="s">
        <v>2562</v>
      </c>
      <c r="C5034" s="10" t="s">
        <v>2558</v>
      </c>
      <c r="D5034" s="10" t="s">
        <v>2563</v>
      </c>
      <c r="E5034" s="10" t="s">
        <v>20</v>
      </c>
      <c r="F5034" s="10" t="s">
        <v>2560</v>
      </c>
      <c r="G5034" s="10" t="s">
        <v>23</v>
      </c>
      <c r="H5034" s="7" t="s">
        <v>24</v>
      </c>
      <c r="I5034" s="7" t="s">
        <v>25</v>
      </c>
      <c r="J5034" s="13" t="str">
        <f>HYPERLINK("https://www.airitibooks.com/Detail/Detail?PublicationID=P20150511069", "https://www.airitibooks.com/Detail/Detail?PublicationID=P20150511069")</f>
        <v>https://www.airitibooks.com/Detail/Detail?PublicationID=P20150511069</v>
      </c>
      <c r="K5034" s="13" t="str">
        <f>HYPERLINK("https://ntsu.idm.oclc.org/login?url=https://www.airitibooks.com/Detail/Detail?PublicationID=P20150511069", "https://ntsu.idm.oclc.org/login?url=https://www.airitibooks.com/Detail/Detail?PublicationID=P20150511069")</f>
        <v>https://ntsu.idm.oclc.org/login?url=https://www.airitibooks.com/Detail/Detail?PublicationID=P20150511069</v>
      </c>
    </row>
    <row r="5035" spans="1:11" ht="51" x14ac:dyDescent="0.4">
      <c r="A5035" s="10" t="s">
        <v>106</v>
      </c>
      <c r="B5035" s="10" t="s">
        <v>107</v>
      </c>
      <c r="C5035" s="10" t="s">
        <v>108</v>
      </c>
      <c r="D5035" s="10" t="s">
        <v>109</v>
      </c>
      <c r="E5035" s="10" t="s">
        <v>20</v>
      </c>
      <c r="F5035" s="10" t="s">
        <v>110</v>
      </c>
      <c r="G5035" s="10" t="s">
        <v>32</v>
      </c>
      <c r="H5035" s="7" t="s">
        <v>24</v>
      </c>
      <c r="I5035" s="7" t="s">
        <v>25</v>
      </c>
      <c r="J5035" s="13" t="str">
        <f>HYPERLINK("https://www.airitibooks.com/Detail/Detail?PublicationID=P20100505057", "https://www.airitibooks.com/Detail/Detail?PublicationID=P20100505057")</f>
        <v>https://www.airitibooks.com/Detail/Detail?PublicationID=P20100505057</v>
      </c>
      <c r="K5035" s="13" t="str">
        <f>HYPERLINK("https://ntsu.idm.oclc.org/login?url=https://www.airitibooks.com/Detail/Detail?PublicationID=P20100505057", "https://ntsu.idm.oclc.org/login?url=https://www.airitibooks.com/Detail/Detail?PublicationID=P20100505057")</f>
        <v>https://ntsu.idm.oclc.org/login?url=https://www.airitibooks.com/Detail/Detail?PublicationID=P20100505057</v>
      </c>
    </row>
    <row r="5036" spans="1:11" ht="51" x14ac:dyDescent="0.4">
      <c r="A5036" s="10" t="s">
        <v>145</v>
      </c>
      <c r="B5036" s="10" t="s">
        <v>146</v>
      </c>
      <c r="C5036" s="10" t="s">
        <v>147</v>
      </c>
      <c r="D5036" s="10" t="s">
        <v>148</v>
      </c>
      <c r="E5036" s="10" t="s">
        <v>20</v>
      </c>
      <c r="F5036" s="10" t="s">
        <v>149</v>
      </c>
      <c r="G5036" s="10" t="s">
        <v>32</v>
      </c>
      <c r="H5036" s="7" t="s">
        <v>24</v>
      </c>
      <c r="I5036" s="7" t="s">
        <v>25</v>
      </c>
      <c r="J5036" s="13" t="str">
        <f>HYPERLINK("https://www.airitibooks.com/Detail/Detail?PublicationID=P201103302407", "https://www.airitibooks.com/Detail/Detail?PublicationID=P201103302407")</f>
        <v>https://www.airitibooks.com/Detail/Detail?PublicationID=P201103302407</v>
      </c>
      <c r="K5036" s="13" t="str">
        <f>HYPERLINK("https://ntsu.idm.oclc.org/login?url=https://www.airitibooks.com/Detail/Detail?PublicationID=P201103302407", "https://ntsu.idm.oclc.org/login?url=https://www.airitibooks.com/Detail/Detail?PublicationID=P201103302407")</f>
        <v>https://ntsu.idm.oclc.org/login?url=https://www.airitibooks.com/Detail/Detail?PublicationID=P201103302407</v>
      </c>
    </row>
    <row r="5037" spans="1:11" ht="51" x14ac:dyDescent="0.4">
      <c r="A5037" s="10" t="s">
        <v>155</v>
      </c>
      <c r="B5037" s="10" t="s">
        <v>156</v>
      </c>
      <c r="C5037" s="10" t="s">
        <v>152</v>
      </c>
      <c r="D5037" s="10" t="s">
        <v>157</v>
      </c>
      <c r="E5037" s="10" t="s">
        <v>20</v>
      </c>
      <c r="F5037" s="10" t="s">
        <v>158</v>
      </c>
      <c r="G5037" s="10" t="s">
        <v>32</v>
      </c>
      <c r="H5037" s="7" t="s">
        <v>24</v>
      </c>
      <c r="I5037" s="7" t="s">
        <v>25</v>
      </c>
      <c r="J5037" s="13" t="str">
        <f>HYPERLINK("https://www.airitibooks.com/Detail/Detail?PublicationID=P20110513206", "https://www.airitibooks.com/Detail/Detail?PublicationID=P20110513206")</f>
        <v>https://www.airitibooks.com/Detail/Detail?PublicationID=P20110513206</v>
      </c>
      <c r="K5037" s="13" t="str">
        <f>HYPERLINK("https://ntsu.idm.oclc.org/login?url=https://www.airitibooks.com/Detail/Detail?PublicationID=P20110513206", "https://ntsu.idm.oclc.org/login?url=https://www.airitibooks.com/Detail/Detail?PublicationID=P20110513206")</f>
        <v>https://ntsu.idm.oclc.org/login?url=https://www.airitibooks.com/Detail/Detail?PublicationID=P20110513206</v>
      </c>
    </row>
    <row r="5038" spans="1:11" ht="51" x14ac:dyDescent="0.4">
      <c r="A5038" s="10" t="s">
        <v>159</v>
      </c>
      <c r="B5038" s="10" t="s">
        <v>160</v>
      </c>
      <c r="C5038" s="10" t="s">
        <v>152</v>
      </c>
      <c r="D5038" s="10" t="s">
        <v>161</v>
      </c>
      <c r="E5038" s="10" t="s">
        <v>20</v>
      </c>
      <c r="F5038" s="10" t="s">
        <v>162</v>
      </c>
      <c r="G5038" s="10" t="s">
        <v>32</v>
      </c>
      <c r="H5038" s="7" t="s">
        <v>24</v>
      </c>
      <c r="I5038" s="7" t="s">
        <v>25</v>
      </c>
      <c r="J5038" s="13" t="str">
        <f>HYPERLINK("https://www.airitibooks.com/Detail/Detail?PublicationID=P20110513207", "https://www.airitibooks.com/Detail/Detail?PublicationID=P20110513207")</f>
        <v>https://www.airitibooks.com/Detail/Detail?PublicationID=P20110513207</v>
      </c>
      <c r="K5038" s="13" t="str">
        <f>HYPERLINK("https://ntsu.idm.oclc.org/login?url=https://www.airitibooks.com/Detail/Detail?PublicationID=P20110513207", "https://ntsu.idm.oclc.org/login?url=https://www.airitibooks.com/Detail/Detail?PublicationID=P20110513207")</f>
        <v>https://ntsu.idm.oclc.org/login?url=https://www.airitibooks.com/Detail/Detail?PublicationID=P20110513207</v>
      </c>
    </row>
    <row r="5039" spans="1:11" ht="51" x14ac:dyDescent="0.4">
      <c r="A5039" s="10" t="s">
        <v>168</v>
      </c>
      <c r="B5039" s="10" t="s">
        <v>169</v>
      </c>
      <c r="C5039" s="10" t="s">
        <v>170</v>
      </c>
      <c r="D5039" s="10" t="s">
        <v>171</v>
      </c>
      <c r="E5039" s="10" t="s">
        <v>20</v>
      </c>
      <c r="F5039" s="10" t="s">
        <v>172</v>
      </c>
      <c r="G5039" s="10" t="s">
        <v>32</v>
      </c>
      <c r="H5039" s="7" t="s">
        <v>24</v>
      </c>
      <c r="I5039" s="7" t="s">
        <v>25</v>
      </c>
      <c r="J5039" s="13" t="str">
        <f>HYPERLINK("https://www.airitibooks.com/Detail/Detail?PublicationID=P20110701011", "https://www.airitibooks.com/Detail/Detail?PublicationID=P20110701011")</f>
        <v>https://www.airitibooks.com/Detail/Detail?PublicationID=P20110701011</v>
      </c>
      <c r="K5039" s="13" t="str">
        <f>HYPERLINK("https://ntsu.idm.oclc.org/login?url=https://www.airitibooks.com/Detail/Detail?PublicationID=P20110701011", "https://ntsu.idm.oclc.org/login?url=https://www.airitibooks.com/Detail/Detail?PublicationID=P20110701011")</f>
        <v>https://ntsu.idm.oclc.org/login?url=https://www.airitibooks.com/Detail/Detail?PublicationID=P20110701011</v>
      </c>
    </row>
    <row r="5040" spans="1:11" ht="51" x14ac:dyDescent="0.4">
      <c r="A5040" s="10" t="s">
        <v>173</v>
      </c>
      <c r="B5040" s="10" t="s">
        <v>174</v>
      </c>
      <c r="C5040" s="10" t="s">
        <v>170</v>
      </c>
      <c r="D5040" s="10" t="s">
        <v>175</v>
      </c>
      <c r="E5040" s="10" t="s">
        <v>20</v>
      </c>
      <c r="F5040" s="10" t="s">
        <v>176</v>
      </c>
      <c r="G5040" s="10" t="s">
        <v>32</v>
      </c>
      <c r="H5040" s="7" t="s">
        <v>24</v>
      </c>
      <c r="I5040" s="7" t="s">
        <v>25</v>
      </c>
      <c r="J5040" s="13" t="str">
        <f>HYPERLINK("https://www.airitibooks.com/Detail/Detail?PublicationID=P20110701016", "https://www.airitibooks.com/Detail/Detail?PublicationID=P20110701016")</f>
        <v>https://www.airitibooks.com/Detail/Detail?PublicationID=P20110701016</v>
      </c>
      <c r="K5040" s="13" t="str">
        <f>HYPERLINK("https://ntsu.idm.oclc.org/login?url=https://www.airitibooks.com/Detail/Detail?PublicationID=P20110701016", "https://ntsu.idm.oclc.org/login?url=https://www.airitibooks.com/Detail/Detail?PublicationID=P20110701016")</f>
        <v>https://ntsu.idm.oclc.org/login?url=https://www.airitibooks.com/Detail/Detail?PublicationID=P20110701016</v>
      </c>
    </row>
    <row r="5041" spans="1:11" ht="51" x14ac:dyDescent="0.4">
      <c r="A5041" s="10" t="s">
        <v>177</v>
      </c>
      <c r="B5041" s="10" t="s">
        <v>178</v>
      </c>
      <c r="C5041" s="10" t="s">
        <v>179</v>
      </c>
      <c r="D5041" s="10" t="s">
        <v>180</v>
      </c>
      <c r="E5041" s="10" t="s">
        <v>20</v>
      </c>
      <c r="F5041" s="10" t="s">
        <v>181</v>
      </c>
      <c r="G5041" s="10" t="s">
        <v>32</v>
      </c>
      <c r="H5041" s="7" t="s">
        <v>24</v>
      </c>
      <c r="I5041" s="7" t="s">
        <v>25</v>
      </c>
      <c r="J5041" s="13" t="str">
        <f>HYPERLINK("https://www.airitibooks.com/Detail/Detail?PublicationID=P20110812004", "https://www.airitibooks.com/Detail/Detail?PublicationID=P20110812004")</f>
        <v>https://www.airitibooks.com/Detail/Detail?PublicationID=P20110812004</v>
      </c>
      <c r="K5041" s="13" t="str">
        <f>HYPERLINK("https://ntsu.idm.oclc.org/login?url=https://www.airitibooks.com/Detail/Detail?PublicationID=P20110812004", "https://ntsu.idm.oclc.org/login?url=https://www.airitibooks.com/Detail/Detail?PublicationID=P20110812004")</f>
        <v>https://ntsu.idm.oclc.org/login?url=https://www.airitibooks.com/Detail/Detail?PublicationID=P20110812004</v>
      </c>
    </row>
    <row r="5042" spans="1:11" ht="51" x14ac:dyDescent="0.4">
      <c r="A5042" s="10" t="s">
        <v>182</v>
      </c>
      <c r="B5042" s="10" t="s">
        <v>183</v>
      </c>
      <c r="C5042" s="10" t="s">
        <v>179</v>
      </c>
      <c r="D5042" s="10" t="s">
        <v>184</v>
      </c>
      <c r="E5042" s="10" t="s">
        <v>20</v>
      </c>
      <c r="F5042" s="10" t="s">
        <v>185</v>
      </c>
      <c r="G5042" s="10" t="s">
        <v>32</v>
      </c>
      <c r="H5042" s="7" t="s">
        <v>24</v>
      </c>
      <c r="I5042" s="7" t="s">
        <v>25</v>
      </c>
      <c r="J5042" s="13" t="str">
        <f>HYPERLINK("https://www.airitibooks.com/Detail/Detail?PublicationID=P20110812005", "https://www.airitibooks.com/Detail/Detail?PublicationID=P20110812005")</f>
        <v>https://www.airitibooks.com/Detail/Detail?PublicationID=P20110812005</v>
      </c>
      <c r="K5042" s="13" t="str">
        <f>HYPERLINK("https://ntsu.idm.oclc.org/login?url=https://www.airitibooks.com/Detail/Detail?PublicationID=P20110812005", "https://ntsu.idm.oclc.org/login?url=https://www.airitibooks.com/Detail/Detail?PublicationID=P20110812005")</f>
        <v>https://ntsu.idm.oclc.org/login?url=https://www.airitibooks.com/Detail/Detail?PublicationID=P20110812005</v>
      </c>
    </row>
    <row r="5043" spans="1:11" ht="51" x14ac:dyDescent="0.4">
      <c r="A5043" s="10" t="s">
        <v>186</v>
      </c>
      <c r="B5043" s="10" t="s">
        <v>187</v>
      </c>
      <c r="C5043" s="10" t="s">
        <v>188</v>
      </c>
      <c r="D5043" s="10" t="s">
        <v>189</v>
      </c>
      <c r="E5043" s="10" t="s">
        <v>20</v>
      </c>
      <c r="F5043" s="10" t="s">
        <v>190</v>
      </c>
      <c r="G5043" s="10" t="s">
        <v>32</v>
      </c>
      <c r="H5043" s="7" t="s">
        <v>24</v>
      </c>
      <c r="I5043" s="7" t="s">
        <v>25</v>
      </c>
      <c r="J5043" s="13" t="str">
        <f>HYPERLINK("https://www.airitibooks.com/Detail/Detail?PublicationID=P20110812017", "https://www.airitibooks.com/Detail/Detail?PublicationID=P20110812017")</f>
        <v>https://www.airitibooks.com/Detail/Detail?PublicationID=P20110812017</v>
      </c>
      <c r="K5043" s="13" t="str">
        <f>HYPERLINK("https://ntsu.idm.oclc.org/login?url=https://www.airitibooks.com/Detail/Detail?PublicationID=P20110812017", "https://ntsu.idm.oclc.org/login?url=https://www.airitibooks.com/Detail/Detail?PublicationID=P20110812017")</f>
        <v>https://ntsu.idm.oclc.org/login?url=https://www.airitibooks.com/Detail/Detail?PublicationID=P20110812017</v>
      </c>
    </row>
    <row r="5044" spans="1:11" ht="51" x14ac:dyDescent="0.4">
      <c r="A5044" s="10" t="s">
        <v>200</v>
      </c>
      <c r="B5044" s="10" t="s">
        <v>201</v>
      </c>
      <c r="C5044" s="10" t="s">
        <v>170</v>
      </c>
      <c r="D5044" s="10" t="s">
        <v>202</v>
      </c>
      <c r="E5044" s="10" t="s">
        <v>20</v>
      </c>
      <c r="F5044" s="10" t="s">
        <v>203</v>
      </c>
      <c r="G5044" s="10" t="s">
        <v>32</v>
      </c>
      <c r="H5044" s="7" t="s">
        <v>24</v>
      </c>
      <c r="I5044" s="7" t="s">
        <v>25</v>
      </c>
      <c r="J5044" s="13" t="str">
        <f>HYPERLINK("https://www.airitibooks.com/Detail/Detail?PublicationID=P20110819006", "https://www.airitibooks.com/Detail/Detail?PublicationID=P20110819006")</f>
        <v>https://www.airitibooks.com/Detail/Detail?PublicationID=P20110819006</v>
      </c>
      <c r="K5044" s="13" t="str">
        <f>HYPERLINK("https://ntsu.idm.oclc.org/login?url=https://www.airitibooks.com/Detail/Detail?PublicationID=P20110819006", "https://ntsu.idm.oclc.org/login?url=https://www.airitibooks.com/Detail/Detail?PublicationID=P20110819006")</f>
        <v>https://ntsu.idm.oclc.org/login?url=https://www.airitibooks.com/Detail/Detail?PublicationID=P20110819006</v>
      </c>
    </row>
    <row r="5045" spans="1:11" ht="51" x14ac:dyDescent="0.4">
      <c r="A5045" s="10" t="s">
        <v>262</v>
      </c>
      <c r="B5045" s="10" t="s">
        <v>263</v>
      </c>
      <c r="C5045" s="10" t="s">
        <v>264</v>
      </c>
      <c r="D5045" s="10" t="s">
        <v>265</v>
      </c>
      <c r="E5045" s="10" t="s">
        <v>20</v>
      </c>
      <c r="F5045" s="10" t="s">
        <v>266</v>
      </c>
      <c r="G5045" s="10" t="s">
        <v>32</v>
      </c>
      <c r="H5045" s="7" t="s">
        <v>24</v>
      </c>
      <c r="I5045" s="7" t="s">
        <v>25</v>
      </c>
      <c r="J5045" s="13" t="str">
        <f>HYPERLINK("https://www.airitibooks.com/Detail/Detail?PublicationID=P20111012058", "https://www.airitibooks.com/Detail/Detail?PublicationID=P20111012058")</f>
        <v>https://www.airitibooks.com/Detail/Detail?PublicationID=P20111012058</v>
      </c>
      <c r="K5045" s="13" t="str">
        <f>HYPERLINK("https://ntsu.idm.oclc.org/login?url=https://www.airitibooks.com/Detail/Detail?PublicationID=P20111012058", "https://ntsu.idm.oclc.org/login?url=https://www.airitibooks.com/Detail/Detail?PublicationID=P20111012058")</f>
        <v>https://ntsu.idm.oclc.org/login?url=https://www.airitibooks.com/Detail/Detail?PublicationID=P20111012058</v>
      </c>
    </row>
    <row r="5046" spans="1:11" ht="51" x14ac:dyDescent="0.4">
      <c r="A5046" s="10" t="s">
        <v>1037</v>
      </c>
      <c r="B5046" s="10" t="s">
        <v>1038</v>
      </c>
      <c r="C5046" s="10" t="s">
        <v>1039</v>
      </c>
      <c r="D5046" s="10" t="s">
        <v>1040</v>
      </c>
      <c r="E5046" s="10" t="s">
        <v>20</v>
      </c>
      <c r="F5046" s="10" t="s">
        <v>1041</v>
      </c>
      <c r="G5046" s="10" t="s">
        <v>32</v>
      </c>
      <c r="H5046" s="7" t="s">
        <v>24</v>
      </c>
      <c r="I5046" s="7" t="s">
        <v>25</v>
      </c>
      <c r="J5046" s="13" t="str">
        <f>HYPERLINK("https://www.airitibooks.com/Detail/Detail?PublicationID=P20131128015", "https://www.airitibooks.com/Detail/Detail?PublicationID=P20131128015")</f>
        <v>https://www.airitibooks.com/Detail/Detail?PublicationID=P20131128015</v>
      </c>
      <c r="K5046" s="13" t="str">
        <f>HYPERLINK("https://ntsu.idm.oclc.org/login?url=https://www.airitibooks.com/Detail/Detail?PublicationID=P20131128015", "https://ntsu.idm.oclc.org/login?url=https://www.airitibooks.com/Detail/Detail?PublicationID=P20131128015")</f>
        <v>https://ntsu.idm.oclc.org/login?url=https://www.airitibooks.com/Detail/Detail?PublicationID=P20131128015</v>
      </c>
    </row>
    <row r="5047" spans="1:11" ht="51" x14ac:dyDescent="0.4">
      <c r="A5047" s="10" t="s">
        <v>1776</v>
      </c>
      <c r="B5047" s="10" t="s">
        <v>1777</v>
      </c>
      <c r="C5047" s="10" t="s">
        <v>1778</v>
      </c>
      <c r="D5047" s="10" t="s">
        <v>1779</v>
      </c>
      <c r="E5047" s="10" t="s">
        <v>20</v>
      </c>
      <c r="F5047" s="10" t="s">
        <v>1780</v>
      </c>
      <c r="G5047" s="10" t="s">
        <v>37</v>
      </c>
      <c r="H5047" s="7" t="s">
        <v>24</v>
      </c>
      <c r="I5047" s="7" t="s">
        <v>25</v>
      </c>
      <c r="J5047" s="13" t="str">
        <f>HYPERLINK("https://www.airitibooks.com/Detail/Detail?PublicationID=P20141211109", "https://www.airitibooks.com/Detail/Detail?PublicationID=P20141211109")</f>
        <v>https://www.airitibooks.com/Detail/Detail?PublicationID=P20141211109</v>
      </c>
      <c r="K5047" s="13" t="str">
        <f>HYPERLINK("https://ntsu.idm.oclc.org/login?url=https://www.airitibooks.com/Detail/Detail?PublicationID=P20141211109", "https://ntsu.idm.oclc.org/login?url=https://www.airitibooks.com/Detail/Detail?PublicationID=P20141211109")</f>
        <v>https://ntsu.idm.oclc.org/login?url=https://www.airitibooks.com/Detail/Detail?PublicationID=P20141211109</v>
      </c>
    </row>
    <row r="5048" spans="1:11" ht="51" x14ac:dyDescent="0.4">
      <c r="A5048" s="10" t="s">
        <v>117</v>
      </c>
      <c r="B5048" s="10" t="s">
        <v>118</v>
      </c>
      <c r="C5048" s="10" t="s">
        <v>119</v>
      </c>
      <c r="D5048" s="10" t="s">
        <v>120</v>
      </c>
      <c r="E5048" s="10" t="s">
        <v>121</v>
      </c>
      <c r="F5048" s="10" t="s">
        <v>122</v>
      </c>
      <c r="G5048" s="10" t="s">
        <v>23</v>
      </c>
      <c r="H5048" s="7" t="s">
        <v>24</v>
      </c>
      <c r="I5048" s="7" t="s">
        <v>25</v>
      </c>
      <c r="J5048" s="13" t="str">
        <f>HYPERLINK("https://www.airitibooks.com/Detail/Detail?PublicationID=P20100610103", "https://www.airitibooks.com/Detail/Detail?PublicationID=P20100610103")</f>
        <v>https://www.airitibooks.com/Detail/Detail?PublicationID=P20100610103</v>
      </c>
      <c r="K5048" s="13" t="str">
        <f>HYPERLINK("https://ntsu.idm.oclc.org/login?url=https://www.airitibooks.com/Detail/Detail?PublicationID=P20100610103", "https://ntsu.idm.oclc.org/login?url=https://www.airitibooks.com/Detail/Detail?PublicationID=P20100610103")</f>
        <v>https://ntsu.idm.oclc.org/login?url=https://www.airitibooks.com/Detail/Detail?PublicationID=P20100610103</v>
      </c>
    </row>
    <row r="5049" spans="1:11" ht="51" x14ac:dyDescent="0.4">
      <c r="A5049" s="10" t="s">
        <v>111</v>
      </c>
      <c r="B5049" s="10" t="s">
        <v>112</v>
      </c>
      <c r="C5049" s="10" t="s">
        <v>113</v>
      </c>
      <c r="D5049" s="10" t="s">
        <v>114</v>
      </c>
      <c r="E5049" s="10" t="s">
        <v>115</v>
      </c>
      <c r="F5049" s="10" t="s">
        <v>116</v>
      </c>
      <c r="G5049" s="10" t="s">
        <v>76</v>
      </c>
      <c r="H5049" s="7" t="s">
        <v>24</v>
      </c>
      <c r="I5049" s="7" t="s">
        <v>25</v>
      </c>
      <c r="J5049" s="13" t="str">
        <f>HYPERLINK("https://www.airitibooks.com/Detail/Detail?PublicationID=P20100525021", "https://www.airitibooks.com/Detail/Detail?PublicationID=P20100525021")</f>
        <v>https://www.airitibooks.com/Detail/Detail?PublicationID=P20100525021</v>
      </c>
      <c r="K5049" s="13" t="str">
        <f>HYPERLINK("https://ntsu.idm.oclc.org/login?url=https://www.airitibooks.com/Detail/Detail?PublicationID=P20100525021", "https://ntsu.idm.oclc.org/login?url=https://www.airitibooks.com/Detail/Detail?PublicationID=P20100525021")</f>
        <v>https://ntsu.idm.oclc.org/login?url=https://www.airitibooks.com/Detail/Detail?PublicationID=P20100525021</v>
      </c>
    </row>
  </sheetData>
  <sortState ref="A5:P5049">
    <sortCondition descending="1" ref="E5:E5049"/>
    <sortCondition ref="G5:G5049"/>
  </sortState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 逢甲聯盟贈品(一年期書目)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A00789</dc:creator>
  <cp:lastModifiedBy>User</cp:lastModifiedBy>
  <dcterms:created xsi:type="dcterms:W3CDTF">2014-09-30T03:25:05Z</dcterms:created>
  <dcterms:modified xsi:type="dcterms:W3CDTF">2023-03-17T03:58:16Z</dcterms:modified>
</cp:coreProperties>
</file>